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Aggregations" sheetId="1" r:id="rId4"/>
    <sheet state="visible" name="Stats" sheetId="2" r:id="rId5"/>
    <sheet state="visible" name="KPI" sheetId="3" r:id="rId6"/>
  </sheets>
  <definedNames/>
  <calcPr/>
</workbook>
</file>

<file path=xl/sharedStrings.xml><?xml version="1.0" encoding="utf-8"?>
<sst xmlns="http://schemas.openxmlformats.org/spreadsheetml/2006/main" count="60" uniqueCount="45">
  <si>
    <t>Date</t>
  </si>
  <si>
    <t>conversationsCount</t>
  </si>
  <si>
    <t>messagesCount</t>
  </si>
  <si>
    <t>averageMessages</t>
  </si>
  <si>
    <t>conversationsDuration</t>
  </si>
  <si>
    <t>averageConversationsDuration</t>
  </si>
  <si>
    <t>nluFallbacks</t>
  </si>
  <si>
    <t>functionalFallbacks</t>
  </si>
  <si>
    <t>nbUniqueUsersWithOneCall</t>
  </si>
  <si>
    <t>nbUniqueUsersWithTwoCalls</t>
  </si>
  <si>
    <t>nbUniqueUsersWithThreeCalls</t>
  </si>
  <si>
    <t>nbUniqueUsersWithMoreFourCalls</t>
  </si>
  <si>
    <t>nbUniqueUsers</t>
  </si>
  <si>
    <t>welcome_printemps_fr</t>
  </si>
  <si>
    <t>welcome_printemps_en</t>
  </si>
  <si>
    <t>welcome_citadium_fr</t>
  </si>
  <si>
    <t>satisfaction_ko_printemps_fr</t>
  </si>
  <si>
    <t>satisfaction_ko_citadium_fr</t>
  </si>
  <si>
    <t>order_not_found</t>
  </si>
  <si>
    <t>satisfaction_ok_printemps_fr</t>
  </si>
  <si>
    <t>satisfaction_ok_printemps_en</t>
  </si>
  <si>
    <t>satisfaction_ko</t>
  </si>
  <si>
    <t>satisfaction_ok_citadium_fr</t>
  </si>
  <si>
    <t>wrong_order_number</t>
  </si>
  <si>
    <t>order_found</t>
  </si>
  <si>
    <t>satisfaction_ok</t>
  </si>
  <si>
    <t>satisfaction_ko_printemps_en</t>
  </si>
  <si>
    <t>handover</t>
  </si>
  <si>
    <t>back_to_svi</t>
  </si>
  <si>
    <t>Nb de conversations</t>
  </si>
  <si>
    <t>Nb de messages</t>
  </si>
  <si>
    <t>Nb de messages moyen / conversations</t>
  </si>
  <si>
    <t>Durée totale cumulée (secondes)</t>
  </si>
  <si>
    <t>Durée moyenne (secondes)</t>
  </si>
  <si>
    <t>Printemps FR</t>
  </si>
  <si>
    <t>Printemps EN</t>
  </si>
  <si>
    <t>Citadium FR</t>
  </si>
  <si>
    <t>Mauvais numéro de commande</t>
  </si>
  <si>
    <t>Nb de commandes trouvées</t>
  </si>
  <si>
    <t>Nb de commandes non trouvées</t>
  </si>
  <si>
    <t>Satisfaits</t>
  </si>
  <si>
    <t>Non satisfaits</t>
  </si>
  <si>
    <t>Transfert à un agent</t>
  </si>
  <si>
    <t>Retour au menu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</si>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</sst>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8">
    <font>
      <sz val="10.0"/>
      <color rgb="FF000000"/>
      <name val="Arial"/>
      <scheme val="minor"/>
    </font>
    <font>
      <sz val="9.0"/>
      <color theme="1"/>
      <name val="Arial"/>
      <scheme val="minor"/>
    </font>
    <font>
      <color theme="1"/>
      <name val="Arial"/>
      <scheme val="minor"/>
    </font>
    <font>
      <sz val="8.0"/>
      <color theme="1"/>
      <name val="Arial"/>
      <scheme val="minor"/>
    </font>
    <font>
      <b/>
      <color theme="1"/>
      <name val="Arial"/>
      <scheme val="minor"/>
    </font>
    <font>
      <b/>
      <color theme="0"/>
      <name val="Arial"/>
      <scheme val="minor"/>
    </font>
    <font>
      <color theme="1"/>
      <name val="Arial"/>
    </font>
    <font>
      <sz val="11.0"/>
      <color theme="1"/>
      <name val="Inconsolata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B5394"/>
        <bgColor rgb="FF0B5394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shrinkToFit="0" wrapText="0"/>
    </xf>
    <xf borderId="0" fillId="0" fontId="2" numFmtId="164" xfId="0" applyAlignment="1" applyFont="1" applyNumberFormat="1">
      <alignment shrinkToFit="0" wrapText="1"/>
    </xf>
    <xf borderId="0" fillId="0" fontId="2" numFmtId="0" xfId="0" applyAlignment="1" applyFont="1">
      <alignment shrinkToFit="0" wrapText="1"/>
    </xf>
    <xf borderId="0" fillId="0" fontId="2" numFmtId="164" xfId="0" applyAlignment="1" applyFont="1" applyNumberFormat="1">
      <alignment readingOrder="0" shrinkToFit="0" wrapText="1"/>
    </xf>
    <xf borderId="0" fillId="0" fontId="2" numFmtId="3" xfId="0" applyAlignment="1" applyFont="1" applyNumberFormat="1">
      <alignment shrinkToFit="0" wrapText="1"/>
    </xf>
    <xf borderId="0" fillId="0" fontId="3" numFmtId="0" xfId="0" applyFont="1"/>
    <xf borderId="0" fillId="0" fontId="3" numFmtId="0" xfId="0" applyAlignment="1" applyFont="1">
      <alignment shrinkToFit="0" wrapText="1"/>
    </xf>
    <xf borderId="0" fillId="0" fontId="3" numFmtId="0" xfId="0" applyAlignment="1" applyFont="1">
      <alignment readingOrder="0" shrinkToFit="0" wrapText="1"/>
    </xf>
    <xf borderId="0" fillId="0" fontId="3" numFmtId="0" xfId="0" applyAlignment="1" applyFont="1">
      <alignment readingOrder="0"/>
    </xf>
    <xf borderId="0" fillId="0" fontId="3" numFmtId="3" xfId="0" applyFont="1" applyNumberFormat="1"/>
    <xf borderId="0" fillId="0" fontId="4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3" fontId="5" numFmtId="0" xfId="0" applyFill="1" applyFont="1"/>
    <xf borderId="0" fillId="3" fontId="5" numFmtId="3" xfId="0" applyFont="1" applyNumberFormat="1"/>
    <xf borderId="0" fillId="3" fontId="5" numFmtId="9" xfId="0" applyFont="1" applyNumberFormat="1"/>
    <xf borderId="0" fillId="3" fontId="5" numFmtId="10" xfId="0" applyFont="1" applyNumberFormat="1"/>
    <xf borderId="0" fillId="0" fontId="6" numFmtId="164" xfId="0" applyAlignment="1" applyFont="1" applyNumberFormat="1">
      <alignment horizontal="right" vertical="bottom"/>
    </xf>
    <xf borderId="0" fillId="4" fontId="6" numFmtId="3" xfId="0" applyAlignment="1" applyFill="1" applyFont="1" applyNumberFormat="1">
      <alignment vertical="bottom"/>
    </xf>
    <xf borderId="0" fillId="4" fontId="7" numFmtId="3" xfId="0" applyAlignment="1" applyFont="1" applyNumberFormat="1">
      <alignment vertical="bottom"/>
    </xf>
    <xf borderId="0" fillId="0" fontId="2" numFmtId="164" xfId="0" applyFont="1" applyNumberFormat="1"/>
    <xf borderId="0" fillId="0" fontId="2" numFmtId="0" xfId="0" applyFont="1"/>
    <xf borderId="0" fillId="0" fontId="2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88"/>
    <col customWidth="1" min="3" max="4" width="16.25"/>
    <col customWidth="1" min="5" max="5" width="17.63"/>
    <col customWidth="1" min="6" max="6" width="24.0"/>
    <col customWidth="1" min="7" max="7" width="23.0"/>
    <col customWidth="1" min="8" max="8" width="18.38"/>
    <col customWidth="1" min="9" max="9" width="21.25"/>
    <col customWidth="1" min="10" max="10" width="17.13"/>
    <col customWidth="1" min="11" max="11" width="14.13"/>
    <col customWidth="1" min="12" max="12" width="26.75"/>
    <col customWidth="1" min="13" max="13" width="12.0"/>
    <col customWidth="1" min="14" max="14" width="18.13"/>
    <col customWidth="1" min="15" max="15" width="18.63"/>
    <col customWidth="1" min="16" max="16" width="22.38"/>
    <col customWidth="1" min="17" max="17" width="26.25"/>
    <col customWidth="1" min="18" max="18" width="25.88"/>
    <col customWidth="1" min="22" max="22" width="20.13"/>
    <col customWidth="1" min="67" max="67" width="19.0"/>
    <col customWidth="1" min="194" max="194" width="1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</row>
    <row r="2">
      <c r="A2" s="5">
        <v>45120.0</v>
      </c>
      <c r="B2" s="6">
        <v>48.0</v>
      </c>
      <c r="C2" s="6">
        <v>172.0</v>
      </c>
      <c r="D2" s="6">
        <v>4.0</v>
      </c>
      <c r="E2" s="6">
        <v>2286.0</v>
      </c>
      <c r="F2" s="6">
        <v>48.0</v>
      </c>
      <c r="G2" s="6">
        <v>0.0</v>
      </c>
      <c r="H2" s="4"/>
      <c r="I2" s="6">
        <v>4.0</v>
      </c>
      <c r="J2" s="6">
        <v>3.0</v>
      </c>
      <c r="K2" s="6">
        <v>0.0</v>
      </c>
      <c r="L2" s="6">
        <v>2.0</v>
      </c>
      <c r="M2" s="6">
        <v>9.0</v>
      </c>
      <c r="N2" s="6">
        <v>2.0</v>
      </c>
      <c r="O2" s="6">
        <v>0.0</v>
      </c>
      <c r="P2" s="6">
        <v>0.0</v>
      </c>
      <c r="Q2" s="6">
        <v>0.0</v>
      </c>
      <c r="R2" s="6">
        <v>0.0</v>
      </c>
      <c r="S2" s="6">
        <v>0.0</v>
      </c>
      <c r="T2" s="6">
        <v>2.0</v>
      </c>
      <c r="U2" s="6">
        <v>0.0</v>
      </c>
      <c r="V2" s="6">
        <v>0.0</v>
      </c>
      <c r="W2" s="6">
        <v>0.0</v>
      </c>
      <c r="X2" s="6">
        <v>0.0</v>
      </c>
      <c r="Y2" s="6">
        <v>2.0</v>
      </c>
      <c r="Z2" s="6">
        <v>2.0</v>
      </c>
      <c r="AA2" s="6">
        <v>0.0</v>
      </c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</row>
    <row r="3">
      <c r="A3" s="5">
        <v>45121.0</v>
      </c>
      <c r="B3" s="6">
        <v>0.0</v>
      </c>
      <c r="C3" s="6">
        <v>0.0</v>
      </c>
      <c r="D3" s="6">
        <v>0.0</v>
      </c>
      <c r="E3" s="6">
        <v>0.0</v>
      </c>
      <c r="F3" s="6">
        <v>0.0</v>
      </c>
      <c r="G3" s="6">
        <v>0.0</v>
      </c>
      <c r="H3" s="4"/>
      <c r="I3" s="6">
        <v>0.0</v>
      </c>
      <c r="J3" s="6">
        <v>0.0</v>
      </c>
      <c r="K3" s="6">
        <v>0.0</v>
      </c>
      <c r="L3" s="6">
        <v>0.0</v>
      </c>
      <c r="M3" s="6">
        <v>0.0</v>
      </c>
      <c r="N3" s="6">
        <v>0.0</v>
      </c>
      <c r="O3" s="6">
        <v>0.0</v>
      </c>
      <c r="P3" s="6">
        <v>0.0</v>
      </c>
      <c r="Q3" s="6">
        <v>0.0</v>
      </c>
      <c r="R3" s="6">
        <v>0.0</v>
      </c>
      <c r="S3" s="6">
        <v>0.0</v>
      </c>
      <c r="T3" s="6">
        <v>0.0</v>
      </c>
      <c r="U3" s="6">
        <v>0.0</v>
      </c>
      <c r="V3" s="6">
        <v>0.0</v>
      </c>
      <c r="W3" s="6">
        <v>0.0</v>
      </c>
      <c r="X3" s="6">
        <v>0.0</v>
      </c>
      <c r="Y3" s="6">
        <v>0.0</v>
      </c>
      <c r="Z3" s="6">
        <v>0.0</v>
      </c>
      <c r="AA3" s="6">
        <v>0.0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</row>
    <row r="4">
      <c r="A4" s="5">
        <v>45122.0</v>
      </c>
      <c r="B4" s="6">
        <v>0.0</v>
      </c>
      <c r="C4" s="6">
        <v>0.0</v>
      </c>
      <c r="D4" s="6">
        <v>0.0</v>
      </c>
      <c r="E4" s="6">
        <v>0.0</v>
      </c>
      <c r="F4" s="6">
        <v>0.0</v>
      </c>
      <c r="G4" s="6">
        <v>0.0</v>
      </c>
      <c r="H4" s="4"/>
      <c r="I4" s="6">
        <v>0.0</v>
      </c>
      <c r="J4" s="6">
        <v>0.0</v>
      </c>
      <c r="K4" s="6">
        <v>0.0</v>
      </c>
      <c r="L4" s="6">
        <v>0.0</v>
      </c>
      <c r="M4" s="6">
        <v>0.0</v>
      </c>
      <c r="N4" s="6">
        <v>0.0</v>
      </c>
      <c r="O4" s="6">
        <v>0.0</v>
      </c>
      <c r="P4" s="6">
        <v>0.0</v>
      </c>
      <c r="Q4" s="6">
        <v>0.0</v>
      </c>
      <c r="R4" s="6">
        <v>0.0</v>
      </c>
      <c r="S4" s="6">
        <v>0.0</v>
      </c>
      <c r="T4" s="6">
        <v>0.0</v>
      </c>
      <c r="U4" s="6">
        <v>0.0</v>
      </c>
      <c r="V4" s="6">
        <v>0.0</v>
      </c>
      <c r="W4" s="6">
        <v>0.0</v>
      </c>
      <c r="X4" s="6">
        <v>0.0</v>
      </c>
      <c r="Y4" s="6">
        <v>0.0</v>
      </c>
      <c r="Z4" s="6">
        <v>0.0</v>
      </c>
      <c r="AA4" s="6">
        <v>0.0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</row>
    <row r="5">
      <c r="A5" s="5">
        <v>45123.0</v>
      </c>
      <c r="B5" s="6">
        <v>0.0</v>
      </c>
      <c r="C5" s="6">
        <v>0.0</v>
      </c>
      <c r="D5" s="6">
        <v>0.0</v>
      </c>
      <c r="E5" s="6">
        <v>0.0</v>
      </c>
      <c r="F5" s="6">
        <v>0.0</v>
      </c>
      <c r="G5" s="6">
        <v>0.0</v>
      </c>
      <c r="H5" s="4"/>
      <c r="I5" s="6">
        <v>0.0</v>
      </c>
      <c r="J5" s="6">
        <v>0.0</v>
      </c>
      <c r="K5" s="6">
        <v>0.0</v>
      </c>
      <c r="L5" s="6">
        <v>0.0</v>
      </c>
      <c r="M5" s="6">
        <v>0.0</v>
      </c>
      <c r="N5" s="6">
        <v>0.0</v>
      </c>
      <c r="O5" s="6">
        <v>0.0</v>
      </c>
      <c r="P5" s="6">
        <v>0.0</v>
      </c>
      <c r="Q5" s="6">
        <v>0.0</v>
      </c>
      <c r="R5" s="6">
        <v>0.0</v>
      </c>
      <c r="S5" s="6">
        <v>0.0</v>
      </c>
      <c r="T5" s="6">
        <v>0.0</v>
      </c>
      <c r="U5" s="6">
        <v>0.0</v>
      </c>
      <c r="V5" s="6">
        <v>0.0</v>
      </c>
      <c r="W5" s="6">
        <v>0.0</v>
      </c>
      <c r="X5" s="6">
        <v>0.0</v>
      </c>
      <c r="Y5" s="6">
        <v>0.0</v>
      </c>
      <c r="Z5" s="6">
        <v>0.0</v>
      </c>
      <c r="AA5" s="6">
        <v>0.0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</row>
    <row r="6">
      <c r="A6" s="5">
        <v>45124.0</v>
      </c>
      <c r="B6" s="6">
        <v>0.0</v>
      </c>
      <c r="C6" s="6">
        <v>0.0</v>
      </c>
      <c r="D6" s="6">
        <v>0.0</v>
      </c>
      <c r="E6" s="6">
        <v>0.0</v>
      </c>
      <c r="F6" s="6">
        <v>0.0</v>
      </c>
      <c r="G6" s="6">
        <v>0.0</v>
      </c>
      <c r="H6" s="4"/>
      <c r="I6" s="6">
        <v>0.0</v>
      </c>
      <c r="J6" s="6">
        <v>0.0</v>
      </c>
      <c r="K6" s="6">
        <v>0.0</v>
      </c>
      <c r="L6" s="6">
        <v>0.0</v>
      </c>
      <c r="M6" s="6">
        <v>0.0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6">
        <v>0.0</v>
      </c>
      <c r="T6" s="6">
        <v>0.0</v>
      </c>
      <c r="U6" s="6">
        <v>0.0</v>
      </c>
      <c r="V6" s="6">
        <v>0.0</v>
      </c>
      <c r="W6" s="6">
        <v>0.0</v>
      </c>
      <c r="X6" s="6">
        <v>0.0</v>
      </c>
      <c r="Y6" s="6">
        <v>0.0</v>
      </c>
      <c r="Z6" s="6">
        <v>0.0</v>
      </c>
      <c r="AA6" s="6">
        <v>0.0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</row>
    <row r="7">
      <c r="A7" s="5">
        <v>45125.0</v>
      </c>
      <c r="B7" s="6">
        <v>7.0</v>
      </c>
      <c r="C7" s="6">
        <v>20.0</v>
      </c>
      <c r="D7" s="6">
        <v>3.0</v>
      </c>
      <c r="E7" s="6">
        <v>299.0</v>
      </c>
      <c r="F7" s="6">
        <v>43.0</v>
      </c>
      <c r="G7" s="6">
        <v>0.0</v>
      </c>
      <c r="H7" s="4"/>
      <c r="I7" s="6">
        <v>0.0</v>
      </c>
      <c r="J7" s="6">
        <v>0.0</v>
      </c>
      <c r="K7" s="6">
        <v>0.0</v>
      </c>
      <c r="L7" s="6">
        <v>1.0</v>
      </c>
      <c r="M7" s="6">
        <v>1.0</v>
      </c>
      <c r="N7" s="6">
        <v>7.0</v>
      </c>
      <c r="O7" s="6">
        <v>0.0</v>
      </c>
      <c r="P7" s="6">
        <v>0.0</v>
      </c>
      <c r="Q7" s="6">
        <v>0.0</v>
      </c>
      <c r="R7" s="6">
        <v>0.0</v>
      </c>
      <c r="S7" s="6">
        <v>0.0</v>
      </c>
      <c r="T7" s="6">
        <v>1.0</v>
      </c>
      <c r="U7" s="6">
        <v>0.0</v>
      </c>
      <c r="V7" s="6">
        <v>0.0</v>
      </c>
      <c r="W7" s="6">
        <v>0.0</v>
      </c>
      <c r="X7" s="6">
        <v>0.0</v>
      </c>
      <c r="Y7" s="6">
        <v>5.0</v>
      </c>
      <c r="Z7" s="6">
        <v>1.0</v>
      </c>
      <c r="AA7" s="6">
        <v>0.0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</row>
    <row r="8">
      <c r="A8" s="5">
        <v>45126.0</v>
      </c>
      <c r="B8" s="6">
        <v>0.0</v>
      </c>
      <c r="C8" s="6">
        <v>0.0</v>
      </c>
      <c r="D8" s="6">
        <v>0.0</v>
      </c>
      <c r="E8" s="6">
        <v>0.0</v>
      </c>
      <c r="F8" s="6">
        <v>0.0</v>
      </c>
      <c r="G8" s="6">
        <v>0.0</v>
      </c>
      <c r="H8" s="4"/>
      <c r="I8" s="6">
        <v>0.0</v>
      </c>
      <c r="J8" s="6">
        <v>0.0</v>
      </c>
      <c r="K8" s="6">
        <v>0.0</v>
      </c>
      <c r="L8" s="6">
        <v>0.0</v>
      </c>
      <c r="M8" s="6">
        <v>0.0</v>
      </c>
      <c r="N8" s="6">
        <v>0.0</v>
      </c>
      <c r="O8" s="6">
        <v>0.0</v>
      </c>
      <c r="P8" s="6">
        <v>0.0</v>
      </c>
      <c r="Q8" s="6">
        <v>0.0</v>
      </c>
      <c r="R8" s="6">
        <v>0.0</v>
      </c>
      <c r="S8" s="6">
        <v>0.0</v>
      </c>
      <c r="T8" s="6">
        <v>0.0</v>
      </c>
      <c r="U8" s="6">
        <v>0.0</v>
      </c>
      <c r="V8" s="6">
        <v>0.0</v>
      </c>
      <c r="W8" s="6">
        <v>0.0</v>
      </c>
      <c r="X8" s="6">
        <v>0.0</v>
      </c>
      <c r="Y8" s="6">
        <v>0.0</v>
      </c>
      <c r="Z8" s="6">
        <v>0.0</v>
      </c>
      <c r="AA8" s="6">
        <v>0.0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</row>
    <row r="9">
      <c r="A9" s="5">
        <v>45127.0</v>
      </c>
      <c r="B9" s="6">
        <v>42.0</v>
      </c>
      <c r="C9" s="6">
        <v>140.0</v>
      </c>
      <c r="D9" s="6">
        <v>3.0</v>
      </c>
      <c r="E9" s="6">
        <v>1716.0</v>
      </c>
      <c r="F9" s="6">
        <v>41.0</v>
      </c>
      <c r="G9" s="6">
        <v>0.0</v>
      </c>
      <c r="H9" s="4"/>
      <c r="I9" s="6">
        <v>1.0</v>
      </c>
      <c r="J9" s="6">
        <v>0.0</v>
      </c>
      <c r="K9" s="6">
        <v>0.0</v>
      </c>
      <c r="L9" s="6">
        <v>1.0</v>
      </c>
      <c r="M9" s="6">
        <v>2.0</v>
      </c>
      <c r="N9" s="6">
        <v>25.0</v>
      </c>
      <c r="O9" s="6">
        <v>14.0</v>
      </c>
      <c r="P9" s="6">
        <v>0.0</v>
      </c>
      <c r="Q9" s="6">
        <v>1.0</v>
      </c>
      <c r="R9" s="6">
        <v>0.0</v>
      </c>
      <c r="S9" s="6">
        <v>1.0</v>
      </c>
      <c r="T9" s="6">
        <v>1.0</v>
      </c>
      <c r="U9" s="6">
        <v>1.0</v>
      </c>
      <c r="V9" s="6">
        <v>2.0</v>
      </c>
      <c r="W9" s="6">
        <v>0.0</v>
      </c>
      <c r="X9" s="6">
        <v>0.0</v>
      </c>
      <c r="Y9" s="6">
        <v>34.0</v>
      </c>
      <c r="Z9" s="6">
        <v>2.0</v>
      </c>
      <c r="AA9" s="6">
        <v>1.0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</row>
    <row r="10">
      <c r="A10" s="5">
        <v>45128.0</v>
      </c>
      <c r="B10" s="6">
        <v>0.0</v>
      </c>
      <c r="C10" s="6">
        <v>0.0</v>
      </c>
      <c r="D10" s="6">
        <v>0.0</v>
      </c>
      <c r="E10" s="6">
        <v>0.0</v>
      </c>
      <c r="F10" s="6">
        <v>0.0</v>
      </c>
      <c r="G10" s="6">
        <v>0.0</v>
      </c>
      <c r="H10" s="4"/>
      <c r="I10" s="6">
        <v>0.0</v>
      </c>
      <c r="J10" s="6">
        <v>0.0</v>
      </c>
      <c r="K10" s="6">
        <v>0.0</v>
      </c>
      <c r="L10" s="6">
        <v>0.0</v>
      </c>
      <c r="M10" s="6">
        <v>0.0</v>
      </c>
      <c r="N10" s="6">
        <v>0.0</v>
      </c>
      <c r="O10" s="6">
        <v>0.0</v>
      </c>
      <c r="P10" s="6">
        <v>0.0</v>
      </c>
      <c r="Q10" s="6">
        <v>0.0</v>
      </c>
      <c r="R10" s="6">
        <v>0.0</v>
      </c>
      <c r="S10" s="6">
        <v>0.0</v>
      </c>
      <c r="T10" s="6">
        <v>0.0</v>
      </c>
      <c r="U10" s="6">
        <v>0.0</v>
      </c>
      <c r="V10" s="6">
        <v>0.0</v>
      </c>
      <c r="W10" s="6">
        <v>0.0</v>
      </c>
      <c r="X10" s="6">
        <v>0.0</v>
      </c>
      <c r="Y10" s="6">
        <v>0.0</v>
      </c>
      <c r="Z10" s="6">
        <v>0.0</v>
      </c>
      <c r="AA10" s="6">
        <v>0.0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</row>
    <row r="11">
      <c r="A11" s="5">
        <v>45129.0</v>
      </c>
      <c r="B11" s="6">
        <v>0.0</v>
      </c>
      <c r="C11" s="6">
        <v>0.0</v>
      </c>
      <c r="D11" s="6">
        <v>0.0</v>
      </c>
      <c r="E11" s="6">
        <v>0.0</v>
      </c>
      <c r="F11" s="6">
        <v>0.0</v>
      </c>
      <c r="G11" s="6">
        <v>0.0</v>
      </c>
      <c r="H11" s="4"/>
      <c r="I11" s="6">
        <v>0.0</v>
      </c>
      <c r="J11" s="6">
        <v>0.0</v>
      </c>
      <c r="K11" s="6">
        <v>0.0</v>
      </c>
      <c r="L11" s="6">
        <v>0.0</v>
      </c>
      <c r="M11" s="6">
        <v>0.0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6">
        <v>0.0</v>
      </c>
      <c r="T11" s="6">
        <v>0.0</v>
      </c>
      <c r="U11" s="6">
        <v>0.0</v>
      </c>
      <c r="V11" s="6">
        <v>0.0</v>
      </c>
      <c r="W11" s="6">
        <v>0.0</v>
      </c>
      <c r="X11" s="6">
        <v>0.0</v>
      </c>
      <c r="Y11" s="6">
        <v>0.0</v>
      </c>
      <c r="Z11" s="6">
        <v>0.0</v>
      </c>
      <c r="AA11" s="6">
        <v>0.0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</row>
    <row r="12">
      <c r="A12" s="5">
        <v>45130.0</v>
      </c>
      <c r="B12" s="6">
        <v>0.0</v>
      </c>
      <c r="C12" s="6">
        <v>0.0</v>
      </c>
      <c r="D12" s="6">
        <v>0.0</v>
      </c>
      <c r="E12" s="6">
        <v>0.0</v>
      </c>
      <c r="F12" s="6">
        <v>0.0</v>
      </c>
      <c r="G12" s="6">
        <v>0.0</v>
      </c>
      <c r="H12" s="4"/>
      <c r="I12" s="6">
        <v>0.0</v>
      </c>
      <c r="J12" s="6">
        <v>0.0</v>
      </c>
      <c r="K12" s="6">
        <v>0.0</v>
      </c>
      <c r="L12" s="6">
        <v>0.0</v>
      </c>
      <c r="M12" s="6">
        <v>0.0</v>
      </c>
      <c r="N12" s="6">
        <v>0.0</v>
      </c>
      <c r="O12" s="6">
        <v>0.0</v>
      </c>
      <c r="P12" s="6">
        <v>0.0</v>
      </c>
      <c r="Q12" s="6">
        <v>0.0</v>
      </c>
      <c r="R12" s="6">
        <v>0.0</v>
      </c>
      <c r="S12" s="6">
        <v>0.0</v>
      </c>
      <c r="T12" s="6">
        <v>0.0</v>
      </c>
      <c r="U12" s="6">
        <v>0.0</v>
      </c>
      <c r="V12" s="6">
        <v>0.0</v>
      </c>
      <c r="W12" s="6">
        <v>0.0</v>
      </c>
      <c r="X12" s="6">
        <v>0.0</v>
      </c>
      <c r="Y12" s="6">
        <v>0.0</v>
      </c>
      <c r="Z12" s="6">
        <v>0.0</v>
      </c>
      <c r="AA12" s="6">
        <v>0.0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</row>
    <row r="13">
      <c r="A13" s="5">
        <v>45131.0</v>
      </c>
      <c r="B13" s="6">
        <v>25.0</v>
      </c>
      <c r="C13" s="6">
        <v>72.0</v>
      </c>
      <c r="D13" s="6">
        <v>3.0</v>
      </c>
      <c r="E13" s="6">
        <v>973.0</v>
      </c>
      <c r="F13" s="6">
        <v>39.0</v>
      </c>
      <c r="G13" s="6">
        <v>0.0</v>
      </c>
      <c r="H13" s="4"/>
      <c r="I13" s="6">
        <v>0.0</v>
      </c>
      <c r="J13" s="6">
        <v>0.0</v>
      </c>
      <c r="K13" s="6">
        <v>0.0</v>
      </c>
      <c r="L13" s="6">
        <v>1.0</v>
      </c>
      <c r="M13" s="6">
        <v>1.0</v>
      </c>
      <c r="N13" s="6">
        <v>25.0</v>
      </c>
      <c r="O13" s="6">
        <v>0.0</v>
      </c>
      <c r="P13" s="6">
        <v>0.0</v>
      </c>
      <c r="Q13" s="6">
        <v>0.0</v>
      </c>
      <c r="R13" s="6">
        <v>0.0</v>
      </c>
      <c r="S13" s="6">
        <v>0.0</v>
      </c>
      <c r="T13" s="6">
        <v>0.0</v>
      </c>
      <c r="U13" s="6">
        <v>0.0</v>
      </c>
      <c r="V13" s="6">
        <v>0.0</v>
      </c>
      <c r="W13" s="6">
        <v>0.0</v>
      </c>
      <c r="X13" s="6">
        <v>0.0</v>
      </c>
      <c r="Y13" s="6">
        <v>21.0</v>
      </c>
      <c r="Z13" s="6">
        <v>0.0</v>
      </c>
      <c r="AA13" s="6">
        <v>0.0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</row>
    <row r="14">
      <c r="A14" s="5">
        <v>45132.0</v>
      </c>
      <c r="B14" s="6">
        <v>6.0</v>
      </c>
      <c r="C14" s="6">
        <v>14.0</v>
      </c>
      <c r="D14" s="6">
        <v>2.0</v>
      </c>
      <c r="E14" s="6">
        <v>88.0</v>
      </c>
      <c r="F14" s="6">
        <v>15.0</v>
      </c>
      <c r="G14" s="6">
        <v>0.0</v>
      </c>
      <c r="H14" s="4"/>
      <c r="I14" s="6">
        <v>3.0</v>
      </c>
      <c r="J14" s="6">
        <v>0.0</v>
      </c>
      <c r="K14" s="6">
        <v>1.0</v>
      </c>
      <c r="L14" s="6">
        <v>0.0</v>
      </c>
      <c r="M14" s="6">
        <v>4.0</v>
      </c>
      <c r="N14" s="6">
        <v>3.0</v>
      </c>
      <c r="O14" s="6">
        <v>1.0</v>
      </c>
      <c r="P14" s="6">
        <v>2.0</v>
      </c>
      <c r="Q14" s="6">
        <v>0.0</v>
      </c>
      <c r="R14" s="6">
        <v>0.0</v>
      </c>
      <c r="S14" s="6">
        <v>0.0</v>
      </c>
      <c r="T14" s="6">
        <v>0.0</v>
      </c>
      <c r="U14" s="6">
        <v>0.0</v>
      </c>
      <c r="V14" s="6">
        <v>0.0</v>
      </c>
      <c r="W14" s="6">
        <v>0.0</v>
      </c>
      <c r="X14" s="6">
        <v>0.0</v>
      </c>
      <c r="Y14" s="6">
        <v>2.0</v>
      </c>
      <c r="Z14" s="6">
        <v>0.0</v>
      </c>
      <c r="AA14" s="6">
        <v>0.0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</row>
    <row r="15">
      <c r="A15" s="5">
        <v>45133.0</v>
      </c>
      <c r="B15" s="6">
        <v>22.0</v>
      </c>
      <c r="C15" s="6">
        <v>98.0</v>
      </c>
      <c r="D15" s="6">
        <v>4.0</v>
      </c>
      <c r="E15" s="6">
        <v>1046.0</v>
      </c>
      <c r="F15" s="6">
        <v>48.0</v>
      </c>
      <c r="G15" s="6">
        <v>0.0</v>
      </c>
      <c r="H15" s="4"/>
      <c r="I15" s="6">
        <v>0.0</v>
      </c>
      <c r="J15" s="6">
        <v>0.0</v>
      </c>
      <c r="K15" s="6">
        <v>2.0</v>
      </c>
      <c r="L15" s="6">
        <v>2.0</v>
      </c>
      <c r="M15" s="6">
        <v>4.0</v>
      </c>
      <c r="N15" s="6">
        <v>9.0</v>
      </c>
      <c r="O15" s="6">
        <v>4.0</v>
      </c>
      <c r="P15" s="6">
        <v>8.0</v>
      </c>
      <c r="Q15" s="6">
        <v>2.0</v>
      </c>
      <c r="R15" s="6">
        <v>2.0</v>
      </c>
      <c r="S15" s="6">
        <v>7.0</v>
      </c>
      <c r="T15" s="6">
        <v>6.0</v>
      </c>
      <c r="U15" s="6">
        <v>3.0</v>
      </c>
      <c r="V15" s="6">
        <v>4.0</v>
      </c>
      <c r="W15" s="6">
        <v>7.0</v>
      </c>
      <c r="X15" s="6">
        <v>2.0</v>
      </c>
      <c r="Y15" s="6">
        <v>20.0</v>
      </c>
      <c r="Z15" s="6">
        <v>15.0</v>
      </c>
      <c r="AA15" s="6">
        <v>0.0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</row>
    <row r="16">
      <c r="A16" s="5">
        <v>45134.0</v>
      </c>
      <c r="B16" s="6">
        <v>0.0</v>
      </c>
      <c r="C16" s="6">
        <v>0.0</v>
      </c>
      <c r="D16" s="6">
        <v>0.0</v>
      </c>
      <c r="E16" s="6">
        <v>0.0</v>
      </c>
      <c r="F16" s="6">
        <v>0.0</v>
      </c>
      <c r="G16" s="6">
        <v>0.0</v>
      </c>
      <c r="H16" s="4"/>
      <c r="I16" s="6">
        <v>0.0</v>
      </c>
      <c r="J16" s="6">
        <v>0.0</v>
      </c>
      <c r="K16" s="6">
        <v>0.0</v>
      </c>
      <c r="L16" s="6">
        <v>0.0</v>
      </c>
      <c r="M16" s="6">
        <v>0.0</v>
      </c>
      <c r="N16" s="6">
        <v>0.0</v>
      </c>
      <c r="O16" s="6">
        <v>0.0</v>
      </c>
      <c r="P16" s="6">
        <v>0.0</v>
      </c>
      <c r="Q16" s="6">
        <v>0.0</v>
      </c>
      <c r="R16" s="6">
        <v>0.0</v>
      </c>
      <c r="S16" s="6">
        <v>0.0</v>
      </c>
      <c r="T16" s="6">
        <v>0.0</v>
      </c>
      <c r="U16" s="6">
        <v>0.0</v>
      </c>
      <c r="V16" s="6">
        <v>0.0</v>
      </c>
      <c r="W16" s="6">
        <v>0.0</v>
      </c>
      <c r="X16" s="6">
        <v>0.0</v>
      </c>
      <c r="Y16" s="6">
        <v>0.0</v>
      </c>
      <c r="Z16" s="6">
        <v>0.0</v>
      </c>
      <c r="AA16" s="6">
        <v>0.0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</row>
    <row r="17">
      <c r="A17" s="5">
        <v>45135.0</v>
      </c>
      <c r="B17" s="6">
        <v>0.0</v>
      </c>
      <c r="C17" s="6">
        <v>0.0</v>
      </c>
      <c r="D17" s="6">
        <v>0.0</v>
      </c>
      <c r="E17" s="6">
        <v>0.0</v>
      </c>
      <c r="F17" s="6">
        <v>0.0</v>
      </c>
      <c r="G17" s="6">
        <v>0.0</v>
      </c>
      <c r="H17" s="4"/>
      <c r="I17" s="6">
        <v>0.0</v>
      </c>
      <c r="J17" s="6">
        <v>0.0</v>
      </c>
      <c r="K17" s="6">
        <v>0.0</v>
      </c>
      <c r="L17" s="6">
        <v>0.0</v>
      </c>
      <c r="M17" s="6">
        <v>0.0</v>
      </c>
      <c r="N17" s="6">
        <v>0.0</v>
      </c>
      <c r="O17" s="6">
        <v>0.0</v>
      </c>
      <c r="P17" s="6">
        <v>0.0</v>
      </c>
      <c r="Q17" s="6">
        <v>0.0</v>
      </c>
      <c r="R17" s="6">
        <v>0.0</v>
      </c>
      <c r="S17" s="6">
        <v>0.0</v>
      </c>
      <c r="T17" s="6">
        <v>0.0</v>
      </c>
      <c r="U17" s="6">
        <v>0.0</v>
      </c>
      <c r="V17" s="6">
        <v>0.0</v>
      </c>
      <c r="W17" s="6">
        <v>0.0</v>
      </c>
      <c r="X17" s="6">
        <v>0.0</v>
      </c>
      <c r="Y17" s="6">
        <v>0.0</v>
      </c>
      <c r="Z17" s="6">
        <v>0.0</v>
      </c>
      <c r="AA17" s="6">
        <v>0.0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</row>
    <row r="18">
      <c r="A18" s="5">
        <v>45136.0</v>
      </c>
      <c r="B18" s="6">
        <v>0.0</v>
      </c>
      <c r="C18" s="6">
        <v>0.0</v>
      </c>
      <c r="D18" s="6">
        <v>0.0</v>
      </c>
      <c r="E18" s="6">
        <v>0.0</v>
      </c>
      <c r="F18" s="6">
        <v>0.0</v>
      </c>
      <c r="G18" s="6">
        <v>0.0</v>
      </c>
      <c r="H18" s="4"/>
      <c r="I18" s="6">
        <v>0.0</v>
      </c>
      <c r="J18" s="6">
        <v>0.0</v>
      </c>
      <c r="K18" s="6">
        <v>0.0</v>
      </c>
      <c r="L18" s="6">
        <v>0.0</v>
      </c>
      <c r="M18" s="6">
        <v>0.0</v>
      </c>
      <c r="N18" s="6">
        <v>0.0</v>
      </c>
      <c r="O18" s="6">
        <v>0.0</v>
      </c>
      <c r="P18" s="6">
        <v>0.0</v>
      </c>
      <c r="Q18" s="6">
        <v>0.0</v>
      </c>
      <c r="R18" s="6">
        <v>0.0</v>
      </c>
      <c r="S18" s="6">
        <v>0.0</v>
      </c>
      <c r="T18" s="6">
        <v>0.0</v>
      </c>
      <c r="U18" s="6">
        <v>0.0</v>
      </c>
      <c r="V18" s="6">
        <v>0.0</v>
      </c>
      <c r="W18" s="6">
        <v>0.0</v>
      </c>
      <c r="X18" s="6">
        <v>0.0</v>
      </c>
      <c r="Y18" s="6">
        <v>0.0</v>
      </c>
      <c r="Z18" s="6">
        <v>0.0</v>
      </c>
      <c r="AA18" s="6">
        <v>0.0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</row>
    <row r="19">
      <c r="A19" s="5">
        <v>45137.0</v>
      </c>
      <c r="B19" s="6">
        <v>0.0</v>
      </c>
      <c r="C19" s="6">
        <v>0.0</v>
      </c>
      <c r="D19" s="6">
        <v>0.0</v>
      </c>
      <c r="E19" s="6">
        <v>0.0</v>
      </c>
      <c r="F19" s="6">
        <v>0.0</v>
      </c>
      <c r="G19" s="6">
        <v>0.0</v>
      </c>
      <c r="H19" s="4"/>
      <c r="I19" s="6">
        <v>0.0</v>
      </c>
      <c r="J19" s="6">
        <v>0.0</v>
      </c>
      <c r="K19" s="6">
        <v>0.0</v>
      </c>
      <c r="L19" s="6">
        <v>0.0</v>
      </c>
      <c r="M19" s="6">
        <v>0.0</v>
      </c>
      <c r="N19" s="6">
        <v>0.0</v>
      </c>
      <c r="O19" s="6">
        <v>0.0</v>
      </c>
      <c r="P19" s="6">
        <v>0.0</v>
      </c>
      <c r="Q19" s="6">
        <v>0.0</v>
      </c>
      <c r="R19" s="6">
        <v>0.0</v>
      </c>
      <c r="S19" s="6">
        <v>0.0</v>
      </c>
      <c r="T19" s="6">
        <v>0.0</v>
      </c>
      <c r="U19" s="6">
        <v>0.0</v>
      </c>
      <c r="V19" s="6">
        <v>0.0</v>
      </c>
      <c r="W19" s="6">
        <v>0.0</v>
      </c>
      <c r="X19" s="6">
        <v>0.0</v>
      </c>
      <c r="Y19" s="6">
        <v>0.0</v>
      </c>
      <c r="Z19" s="6">
        <v>0.0</v>
      </c>
      <c r="AA19" s="6">
        <v>0.0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</row>
    <row r="20">
      <c r="A20" s="5">
        <v>45138.0</v>
      </c>
      <c r="B20" s="6">
        <v>131.0</v>
      </c>
      <c r="C20" s="6">
        <v>500.0</v>
      </c>
      <c r="D20" s="6">
        <v>4.0</v>
      </c>
      <c r="E20" s="6">
        <v>7959.0</v>
      </c>
      <c r="F20" s="6">
        <v>61.0</v>
      </c>
      <c r="G20" s="6">
        <v>0.0</v>
      </c>
      <c r="H20" s="4"/>
      <c r="I20" s="6">
        <v>51.0</v>
      </c>
      <c r="J20" s="6">
        <v>10.0</v>
      </c>
      <c r="K20" s="6">
        <v>4.0</v>
      </c>
      <c r="L20" s="6">
        <v>4.0</v>
      </c>
      <c r="M20" s="6">
        <v>73.0</v>
      </c>
      <c r="N20" s="6">
        <v>93.0</v>
      </c>
      <c r="O20" s="6">
        <v>0.0</v>
      </c>
      <c r="P20" s="6">
        <v>37.0</v>
      </c>
      <c r="Q20" s="6">
        <v>65.0</v>
      </c>
      <c r="R20" s="6">
        <v>23.0</v>
      </c>
      <c r="S20" s="6">
        <v>36.0</v>
      </c>
      <c r="T20" s="6">
        <v>6.0</v>
      </c>
      <c r="U20" s="6">
        <v>0.0</v>
      </c>
      <c r="V20" s="6">
        <v>88.0</v>
      </c>
      <c r="W20" s="6">
        <v>0.0</v>
      </c>
      <c r="X20" s="6">
        <v>51.0</v>
      </c>
      <c r="Y20" s="6">
        <v>102.0</v>
      </c>
      <c r="Z20" s="6">
        <v>6.0</v>
      </c>
      <c r="AA20" s="6">
        <v>0.0</v>
      </c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</row>
    <row r="21">
      <c r="A21" s="5">
        <v>45139.0</v>
      </c>
      <c r="B21" s="6">
        <v>128.0</v>
      </c>
      <c r="C21" s="6">
        <v>519.0</v>
      </c>
      <c r="D21" s="6">
        <v>4.0</v>
      </c>
      <c r="E21" s="6">
        <v>9659.0</v>
      </c>
      <c r="F21" s="6">
        <v>75.0</v>
      </c>
      <c r="G21" s="6">
        <v>0.0</v>
      </c>
      <c r="H21" s="4"/>
      <c r="I21" s="6">
        <v>86.0</v>
      </c>
      <c r="J21" s="6">
        <v>13.0</v>
      </c>
      <c r="K21" s="6">
        <v>2.0</v>
      </c>
      <c r="L21" s="6">
        <v>1.0</v>
      </c>
      <c r="M21" s="6">
        <v>103.0</v>
      </c>
      <c r="N21" s="6">
        <v>107.0</v>
      </c>
      <c r="O21" s="6">
        <v>0.0</v>
      </c>
      <c r="P21" s="6">
        <v>21.0</v>
      </c>
      <c r="Q21" s="6">
        <v>67.0</v>
      </c>
      <c r="R21" s="6">
        <v>15.0</v>
      </c>
      <c r="S21" s="6">
        <v>77.0</v>
      </c>
      <c r="T21" s="6">
        <v>5.0</v>
      </c>
      <c r="U21" s="6">
        <v>0.0</v>
      </c>
      <c r="V21" s="6">
        <v>82.0</v>
      </c>
      <c r="W21" s="6">
        <v>1.0</v>
      </c>
      <c r="X21" s="6">
        <v>66.0</v>
      </c>
      <c r="Y21" s="6">
        <v>95.0</v>
      </c>
      <c r="Z21" s="6">
        <v>6.0</v>
      </c>
      <c r="AA21" s="6">
        <v>0.0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</row>
    <row r="22">
      <c r="A22" s="5">
        <v>45140.0</v>
      </c>
      <c r="B22" s="6">
        <v>131.0</v>
      </c>
      <c r="C22" s="6">
        <v>519.0</v>
      </c>
      <c r="D22" s="6">
        <v>4.0</v>
      </c>
      <c r="E22" s="6">
        <v>9274.0</v>
      </c>
      <c r="F22" s="6">
        <v>71.0</v>
      </c>
      <c r="G22" s="6">
        <v>0.0</v>
      </c>
      <c r="H22" s="4"/>
      <c r="I22" s="6">
        <v>94.0</v>
      </c>
      <c r="J22" s="6">
        <v>14.0</v>
      </c>
      <c r="K22" s="6">
        <v>3.0</v>
      </c>
      <c r="L22" s="6">
        <v>0.0</v>
      </c>
      <c r="M22" s="6">
        <v>111.0</v>
      </c>
      <c r="N22" s="6">
        <v>103.0</v>
      </c>
      <c r="O22" s="6">
        <v>0.0</v>
      </c>
      <c r="P22" s="6">
        <v>28.0</v>
      </c>
      <c r="Q22" s="6">
        <v>69.0</v>
      </c>
      <c r="R22" s="6">
        <v>13.0</v>
      </c>
      <c r="S22" s="6">
        <v>52.0</v>
      </c>
      <c r="T22" s="6">
        <v>8.0</v>
      </c>
      <c r="U22" s="6">
        <v>0.0</v>
      </c>
      <c r="V22" s="6">
        <v>82.0</v>
      </c>
      <c r="W22" s="6">
        <v>5.0</v>
      </c>
      <c r="X22" s="6">
        <v>67.0</v>
      </c>
      <c r="Y22" s="6">
        <v>103.0</v>
      </c>
      <c r="Z22" s="6">
        <v>11.0</v>
      </c>
      <c r="AA22" s="6">
        <v>0.0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</row>
    <row r="23">
      <c r="A23" s="5">
        <v>45141.0</v>
      </c>
      <c r="B23" s="6">
        <v>70.0</v>
      </c>
      <c r="C23" s="6">
        <v>275.0</v>
      </c>
      <c r="D23" s="6">
        <v>4.0</v>
      </c>
      <c r="E23" s="6">
        <v>5203.0</v>
      </c>
      <c r="F23" s="6">
        <v>74.0</v>
      </c>
      <c r="G23" s="6">
        <v>0.0</v>
      </c>
      <c r="H23" s="4"/>
      <c r="I23" s="6">
        <v>53.0</v>
      </c>
      <c r="J23" s="6">
        <v>4.0</v>
      </c>
      <c r="K23" s="6">
        <v>3.0</v>
      </c>
      <c r="L23" s="6">
        <v>0.0</v>
      </c>
      <c r="M23" s="6">
        <v>60.0</v>
      </c>
      <c r="N23" s="6">
        <v>52.0</v>
      </c>
      <c r="O23" s="6">
        <v>0.0</v>
      </c>
      <c r="P23" s="6">
        <v>18.0</v>
      </c>
      <c r="Q23" s="6">
        <v>36.0</v>
      </c>
      <c r="R23" s="6">
        <v>12.0</v>
      </c>
      <c r="S23" s="6">
        <v>22.0</v>
      </c>
      <c r="T23" s="6">
        <v>1.0</v>
      </c>
      <c r="U23" s="6">
        <v>0.0</v>
      </c>
      <c r="V23" s="6">
        <v>48.0</v>
      </c>
      <c r="W23" s="6">
        <v>1.0</v>
      </c>
      <c r="X23" s="6">
        <v>49.0</v>
      </c>
      <c r="Y23" s="6">
        <v>52.0</v>
      </c>
      <c r="Z23" s="6">
        <v>2.0</v>
      </c>
      <c r="AA23" s="6">
        <v>0.0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</row>
    <row r="24">
      <c r="A24" s="5">
        <v>45142.0</v>
      </c>
      <c r="B24" s="6">
        <v>66.0</v>
      </c>
      <c r="C24" s="6">
        <v>227.0</v>
      </c>
      <c r="D24" s="6">
        <v>3.0</v>
      </c>
      <c r="E24" s="6">
        <v>3936.0</v>
      </c>
      <c r="F24" s="6">
        <v>60.0</v>
      </c>
      <c r="G24" s="6">
        <v>0.0</v>
      </c>
      <c r="H24" s="4"/>
      <c r="I24" s="6">
        <v>42.0</v>
      </c>
      <c r="J24" s="6">
        <v>9.0</v>
      </c>
      <c r="K24" s="6">
        <v>0.0</v>
      </c>
      <c r="L24" s="6">
        <v>1.0</v>
      </c>
      <c r="M24" s="6">
        <v>52.0</v>
      </c>
      <c r="N24" s="6">
        <v>50.0</v>
      </c>
      <c r="O24" s="6">
        <v>0.0</v>
      </c>
      <c r="P24" s="6">
        <v>16.0</v>
      </c>
      <c r="Q24" s="6">
        <v>31.0</v>
      </c>
      <c r="R24" s="6">
        <v>11.0</v>
      </c>
      <c r="S24" s="6">
        <v>7.0</v>
      </c>
      <c r="T24" s="6">
        <v>1.0</v>
      </c>
      <c r="U24" s="6">
        <v>0.0</v>
      </c>
      <c r="V24" s="6">
        <v>42.0</v>
      </c>
      <c r="W24" s="6">
        <v>1.0</v>
      </c>
      <c r="X24" s="6">
        <v>28.0</v>
      </c>
      <c r="Y24" s="6">
        <v>50.0</v>
      </c>
      <c r="Z24" s="6">
        <v>2.0</v>
      </c>
      <c r="AA24" s="6">
        <v>0.0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</row>
    <row r="25">
      <c r="A25" s="5">
        <v>45143.0</v>
      </c>
      <c r="B25" s="6">
        <v>31.0</v>
      </c>
      <c r="C25" s="6">
        <v>111.0</v>
      </c>
      <c r="D25" s="6">
        <v>4.0</v>
      </c>
      <c r="E25" s="6">
        <v>1905.0</v>
      </c>
      <c r="F25" s="6">
        <v>61.0</v>
      </c>
      <c r="G25" s="6">
        <v>0.0</v>
      </c>
      <c r="H25" s="4"/>
      <c r="I25" s="6">
        <v>23.0</v>
      </c>
      <c r="J25" s="6">
        <v>4.0</v>
      </c>
      <c r="K25" s="6">
        <v>0.0</v>
      </c>
      <c r="L25" s="6">
        <v>0.0</v>
      </c>
      <c r="M25" s="6">
        <v>27.0</v>
      </c>
      <c r="N25" s="6">
        <v>22.0</v>
      </c>
      <c r="O25" s="6">
        <v>0.0</v>
      </c>
      <c r="P25" s="6">
        <v>9.0</v>
      </c>
      <c r="Q25" s="6">
        <v>14.0</v>
      </c>
      <c r="R25" s="6">
        <v>8.0</v>
      </c>
      <c r="S25" s="6">
        <v>9.0</v>
      </c>
      <c r="T25" s="6">
        <v>3.0</v>
      </c>
      <c r="U25" s="6">
        <v>0.0</v>
      </c>
      <c r="V25" s="6">
        <v>22.0</v>
      </c>
      <c r="W25" s="6">
        <v>0.0</v>
      </c>
      <c r="X25" s="6">
        <v>9.0</v>
      </c>
      <c r="Y25" s="6">
        <v>25.0</v>
      </c>
      <c r="Z25" s="6">
        <v>3.0</v>
      </c>
      <c r="AA25" s="6">
        <v>0.0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</row>
    <row r="26">
      <c r="A26" s="5">
        <v>45144.0</v>
      </c>
      <c r="B26" s="6">
        <v>0.0</v>
      </c>
      <c r="C26" s="6">
        <v>0.0</v>
      </c>
      <c r="D26" s="6">
        <v>0.0</v>
      </c>
      <c r="E26" s="6">
        <v>0.0</v>
      </c>
      <c r="F26" s="6">
        <v>0.0</v>
      </c>
      <c r="G26" s="6">
        <v>0.0</v>
      </c>
      <c r="H26" s="4"/>
      <c r="I26" s="6">
        <v>0.0</v>
      </c>
      <c r="J26" s="6">
        <v>0.0</v>
      </c>
      <c r="K26" s="6">
        <v>0.0</v>
      </c>
      <c r="L26" s="6">
        <v>0.0</v>
      </c>
      <c r="M26" s="6">
        <v>0.0</v>
      </c>
      <c r="N26" s="6">
        <v>0.0</v>
      </c>
      <c r="O26" s="6">
        <v>0.0</v>
      </c>
      <c r="P26" s="6">
        <v>0.0</v>
      </c>
      <c r="Q26" s="6">
        <v>0.0</v>
      </c>
      <c r="R26" s="6">
        <v>0.0</v>
      </c>
      <c r="S26" s="6">
        <v>0.0</v>
      </c>
      <c r="T26" s="6">
        <v>0.0</v>
      </c>
      <c r="U26" s="6">
        <v>0.0</v>
      </c>
      <c r="V26" s="6">
        <v>0.0</v>
      </c>
      <c r="W26" s="6">
        <v>0.0</v>
      </c>
      <c r="X26" s="6">
        <v>0.0</v>
      </c>
      <c r="Y26" s="6">
        <v>0.0</v>
      </c>
      <c r="Z26" s="6">
        <v>0.0</v>
      </c>
      <c r="AA26" s="6">
        <v>0.0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</row>
    <row r="27">
      <c r="A27" s="5">
        <v>45145.0</v>
      </c>
      <c r="B27" s="6">
        <v>57.0</v>
      </c>
      <c r="C27" s="6">
        <v>235.0</v>
      </c>
      <c r="D27" s="6">
        <v>4.0</v>
      </c>
      <c r="E27" s="6">
        <v>4147.0</v>
      </c>
      <c r="F27" s="6">
        <v>73.0</v>
      </c>
      <c r="G27" s="6">
        <v>0.0</v>
      </c>
      <c r="H27" s="4"/>
      <c r="I27" s="6">
        <v>39.0</v>
      </c>
      <c r="J27" s="6">
        <v>5.0</v>
      </c>
      <c r="K27" s="6">
        <v>1.0</v>
      </c>
      <c r="L27" s="6">
        <v>1.0</v>
      </c>
      <c r="M27" s="6">
        <v>46.0</v>
      </c>
      <c r="N27" s="6">
        <v>44.0</v>
      </c>
      <c r="O27" s="6">
        <v>0.0</v>
      </c>
      <c r="P27" s="6">
        <v>13.0</v>
      </c>
      <c r="Q27" s="6">
        <v>27.0</v>
      </c>
      <c r="R27" s="6">
        <v>8.0</v>
      </c>
      <c r="S27" s="6">
        <v>30.0</v>
      </c>
      <c r="T27" s="6">
        <v>4.0</v>
      </c>
      <c r="U27" s="6">
        <v>0.0</v>
      </c>
      <c r="V27" s="6">
        <v>35.0</v>
      </c>
      <c r="W27" s="6">
        <v>0.0</v>
      </c>
      <c r="X27" s="6">
        <v>32.0</v>
      </c>
      <c r="Y27" s="6">
        <v>44.0</v>
      </c>
      <c r="Z27" s="6">
        <v>4.0</v>
      </c>
      <c r="AA27" s="6">
        <v>0.0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</row>
    <row r="28">
      <c r="A28" s="5">
        <v>45146.0</v>
      </c>
      <c r="B28" s="6">
        <v>51.0</v>
      </c>
      <c r="C28" s="6">
        <v>189.0</v>
      </c>
      <c r="D28" s="6">
        <v>4.0</v>
      </c>
      <c r="E28" s="6">
        <v>3448.0</v>
      </c>
      <c r="F28" s="6">
        <v>68.0</v>
      </c>
      <c r="G28" s="6">
        <v>0.0</v>
      </c>
      <c r="H28" s="4"/>
      <c r="I28" s="6">
        <v>37.0</v>
      </c>
      <c r="J28" s="6">
        <v>5.0</v>
      </c>
      <c r="K28" s="6">
        <v>0.0</v>
      </c>
      <c r="L28" s="6">
        <v>1.0</v>
      </c>
      <c r="M28" s="6">
        <v>43.0</v>
      </c>
      <c r="N28" s="6">
        <v>46.0</v>
      </c>
      <c r="O28" s="6">
        <v>0.0</v>
      </c>
      <c r="P28" s="6">
        <v>5.0</v>
      </c>
      <c r="Q28" s="6">
        <v>23.0</v>
      </c>
      <c r="R28" s="6">
        <v>3.0</v>
      </c>
      <c r="S28" s="6">
        <v>23.0</v>
      </c>
      <c r="T28" s="6">
        <v>4.0</v>
      </c>
      <c r="U28" s="6">
        <v>0.0</v>
      </c>
      <c r="V28" s="6">
        <v>26.0</v>
      </c>
      <c r="W28" s="6">
        <v>0.0</v>
      </c>
      <c r="X28" s="6">
        <v>26.0</v>
      </c>
      <c r="Y28" s="6">
        <v>34.0</v>
      </c>
      <c r="Z28" s="6">
        <v>4.0</v>
      </c>
      <c r="AA28" s="6">
        <v>0.0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</row>
    <row r="29">
      <c r="A29" s="5">
        <v>45147.0</v>
      </c>
      <c r="B29" s="6">
        <v>59.0</v>
      </c>
      <c r="C29" s="6">
        <v>216.0</v>
      </c>
      <c r="D29" s="6">
        <v>4.0</v>
      </c>
      <c r="E29" s="6">
        <v>3814.0</v>
      </c>
      <c r="F29" s="6">
        <v>65.0</v>
      </c>
      <c r="G29" s="6">
        <v>0.0</v>
      </c>
      <c r="H29" s="4"/>
      <c r="I29" s="6">
        <v>43.0</v>
      </c>
      <c r="J29" s="6">
        <v>8.0</v>
      </c>
      <c r="K29" s="6">
        <v>0.0</v>
      </c>
      <c r="L29" s="6">
        <v>0.0</v>
      </c>
      <c r="M29" s="6">
        <v>51.0</v>
      </c>
      <c r="N29" s="6">
        <v>43.0</v>
      </c>
      <c r="O29" s="6">
        <v>0.0</v>
      </c>
      <c r="P29" s="6">
        <v>16.0</v>
      </c>
      <c r="Q29" s="6">
        <v>26.0</v>
      </c>
      <c r="R29" s="6">
        <v>13.0</v>
      </c>
      <c r="S29" s="6">
        <v>18.0</v>
      </c>
      <c r="T29" s="6">
        <v>3.0</v>
      </c>
      <c r="U29" s="6">
        <v>0.0</v>
      </c>
      <c r="V29" s="6">
        <v>39.0</v>
      </c>
      <c r="W29" s="6">
        <v>1.0</v>
      </c>
      <c r="X29" s="6">
        <v>26.0</v>
      </c>
      <c r="Y29" s="6">
        <v>48.0</v>
      </c>
      <c r="Z29" s="6">
        <v>4.0</v>
      </c>
      <c r="AA29" s="6">
        <v>0.0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</row>
    <row r="30">
      <c r="A30" s="5">
        <v>45148.0</v>
      </c>
      <c r="B30" s="6">
        <v>62.0</v>
      </c>
      <c r="C30" s="6">
        <v>253.0</v>
      </c>
      <c r="D30" s="6">
        <v>4.0</v>
      </c>
      <c r="E30" s="6">
        <v>4255.0</v>
      </c>
      <c r="F30" s="6">
        <v>69.0</v>
      </c>
      <c r="G30" s="6">
        <v>0.0</v>
      </c>
      <c r="H30" s="4"/>
      <c r="I30" s="6">
        <v>38.0</v>
      </c>
      <c r="J30" s="6">
        <v>10.0</v>
      </c>
      <c r="K30" s="6">
        <v>0.0</v>
      </c>
      <c r="L30" s="6">
        <v>1.0</v>
      </c>
      <c r="M30" s="6">
        <v>49.0</v>
      </c>
      <c r="N30" s="6">
        <v>48.0</v>
      </c>
      <c r="O30" s="6">
        <v>0.0</v>
      </c>
      <c r="P30" s="6">
        <v>13.0</v>
      </c>
      <c r="Q30" s="6">
        <v>28.0</v>
      </c>
      <c r="R30" s="6">
        <v>11.0</v>
      </c>
      <c r="S30" s="6">
        <v>35.0</v>
      </c>
      <c r="T30" s="6">
        <v>3.0</v>
      </c>
      <c r="U30" s="6">
        <v>0.0</v>
      </c>
      <c r="V30" s="6">
        <v>39.0</v>
      </c>
      <c r="W30" s="6">
        <v>0.0</v>
      </c>
      <c r="X30" s="6">
        <v>24.0</v>
      </c>
      <c r="Y30" s="6">
        <v>45.0</v>
      </c>
      <c r="Z30" s="6">
        <v>3.0</v>
      </c>
      <c r="AA30" s="6">
        <v>0.0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</row>
    <row r="31">
      <c r="A31" s="5">
        <v>45149.0</v>
      </c>
      <c r="B31" s="6">
        <v>43.0</v>
      </c>
      <c r="C31" s="6">
        <v>154.0</v>
      </c>
      <c r="D31" s="6">
        <v>4.0</v>
      </c>
      <c r="E31" s="6">
        <v>2604.0</v>
      </c>
      <c r="F31" s="6">
        <v>61.0</v>
      </c>
      <c r="G31" s="6">
        <v>0.0</v>
      </c>
      <c r="H31" s="4"/>
      <c r="I31" s="6">
        <v>32.0</v>
      </c>
      <c r="J31" s="6">
        <v>4.0</v>
      </c>
      <c r="K31" s="6">
        <v>1.0</v>
      </c>
      <c r="L31" s="6">
        <v>0.0</v>
      </c>
      <c r="M31" s="6">
        <v>37.0</v>
      </c>
      <c r="N31" s="6">
        <v>36.0</v>
      </c>
      <c r="O31" s="6">
        <v>0.0</v>
      </c>
      <c r="P31" s="6">
        <v>7.0</v>
      </c>
      <c r="Q31" s="6">
        <v>21.0</v>
      </c>
      <c r="R31" s="6">
        <v>4.0</v>
      </c>
      <c r="S31" s="6">
        <v>15.0</v>
      </c>
      <c r="T31" s="6">
        <v>2.0</v>
      </c>
      <c r="U31" s="6">
        <v>0.0</v>
      </c>
      <c r="V31" s="6">
        <v>25.0</v>
      </c>
      <c r="W31" s="6">
        <v>1.0</v>
      </c>
      <c r="X31" s="6">
        <v>16.0</v>
      </c>
      <c r="Y31" s="6">
        <v>32.0</v>
      </c>
      <c r="Z31" s="6">
        <v>3.0</v>
      </c>
      <c r="AA31" s="6">
        <v>0.0</v>
      </c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</row>
    <row r="32">
      <c r="A32" s="5">
        <v>45150.0</v>
      </c>
      <c r="B32" s="6">
        <v>27.0</v>
      </c>
      <c r="C32" s="6">
        <v>101.0</v>
      </c>
      <c r="D32" s="6">
        <v>4.0</v>
      </c>
      <c r="E32" s="6">
        <v>1372.0</v>
      </c>
      <c r="F32" s="6">
        <v>51.0</v>
      </c>
      <c r="G32" s="6">
        <v>0.0</v>
      </c>
      <c r="H32" s="4"/>
      <c r="I32" s="6">
        <v>10.0</v>
      </c>
      <c r="J32" s="6">
        <v>4.0</v>
      </c>
      <c r="K32" s="6">
        <v>3.0</v>
      </c>
      <c r="L32" s="6">
        <v>0.0</v>
      </c>
      <c r="M32" s="6">
        <v>17.0</v>
      </c>
      <c r="N32" s="6">
        <v>22.0</v>
      </c>
      <c r="O32" s="6">
        <v>0.0</v>
      </c>
      <c r="P32" s="6">
        <v>5.0</v>
      </c>
      <c r="Q32" s="6">
        <v>10.0</v>
      </c>
      <c r="R32" s="6">
        <v>3.0</v>
      </c>
      <c r="S32" s="6">
        <v>9.0</v>
      </c>
      <c r="T32" s="6">
        <v>0.0</v>
      </c>
      <c r="U32" s="6">
        <v>0.0</v>
      </c>
      <c r="V32" s="6">
        <v>13.0</v>
      </c>
      <c r="W32" s="6">
        <v>1.0</v>
      </c>
      <c r="X32" s="6">
        <v>9.0</v>
      </c>
      <c r="Y32" s="6">
        <v>16.0</v>
      </c>
      <c r="Z32" s="6">
        <v>1.0</v>
      </c>
      <c r="AA32" s="6">
        <v>0.0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</row>
    <row r="33">
      <c r="A33" s="5">
        <v>45151.0</v>
      </c>
      <c r="B33" s="6">
        <v>0.0</v>
      </c>
      <c r="C33" s="6">
        <v>0.0</v>
      </c>
      <c r="D33" s="6">
        <v>0.0</v>
      </c>
      <c r="E33" s="6">
        <v>0.0</v>
      </c>
      <c r="F33" s="6">
        <v>0.0</v>
      </c>
      <c r="G33" s="6">
        <v>0.0</v>
      </c>
      <c r="H33" s="4"/>
      <c r="I33" s="6">
        <v>0.0</v>
      </c>
      <c r="J33" s="6">
        <v>0.0</v>
      </c>
      <c r="K33" s="6">
        <v>0.0</v>
      </c>
      <c r="L33" s="6">
        <v>0.0</v>
      </c>
      <c r="M33" s="6">
        <v>0.0</v>
      </c>
      <c r="N33" s="6">
        <v>0.0</v>
      </c>
      <c r="O33" s="6">
        <v>0.0</v>
      </c>
      <c r="P33" s="6">
        <v>0.0</v>
      </c>
      <c r="Q33" s="6">
        <v>0.0</v>
      </c>
      <c r="R33" s="6">
        <v>0.0</v>
      </c>
      <c r="S33" s="6">
        <v>0.0</v>
      </c>
      <c r="T33" s="6">
        <v>0.0</v>
      </c>
      <c r="U33" s="6">
        <v>0.0</v>
      </c>
      <c r="V33" s="6">
        <v>0.0</v>
      </c>
      <c r="W33" s="6">
        <v>0.0</v>
      </c>
      <c r="X33" s="6">
        <v>0.0</v>
      </c>
      <c r="Y33" s="6">
        <v>0.0</v>
      </c>
      <c r="Z33" s="6">
        <v>0.0</v>
      </c>
      <c r="AA33" s="6">
        <v>0.0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</row>
    <row r="34">
      <c r="A34" s="5">
        <v>45152.0</v>
      </c>
      <c r="B34" s="6">
        <v>34.0</v>
      </c>
      <c r="C34" s="6">
        <v>120.0</v>
      </c>
      <c r="D34" s="6">
        <v>4.0</v>
      </c>
      <c r="E34" s="6">
        <v>2004.0</v>
      </c>
      <c r="F34" s="6">
        <v>59.0</v>
      </c>
      <c r="G34" s="6">
        <v>0.0</v>
      </c>
      <c r="H34" s="4"/>
      <c r="I34" s="6">
        <v>22.0</v>
      </c>
      <c r="J34" s="6">
        <v>3.0</v>
      </c>
      <c r="K34" s="6">
        <v>2.0</v>
      </c>
      <c r="L34" s="6">
        <v>0.0</v>
      </c>
      <c r="M34" s="6">
        <v>27.0</v>
      </c>
      <c r="N34" s="6">
        <v>26.0</v>
      </c>
      <c r="O34" s="6">
        <v>0.0</v>
      </c>
      <c r="P34" s="6">
        <v>8.0</v>
      </c>
      <c r="Q34" s="6">
        <v>16.0</v>
      </c>
      <c r="R34" s="6">
        <v>4.0</v>
      </c>
      <c r="S34" s="6">
        <v>6.0</v>
      </c>
      <c r="T34" s="6">
        <v>1.0</v>
      </c>
      <c r="U34" s="6">
        <v>0.0</v>
      </c>
      <c r="V34" s="6">
        <v>20.0</v>
      </c>
      <c r="W34" s="6">
        <v>1.0</v>
      </c>
      <c r="X34" s="6">
        <v>18.0</v>
      </c>
      <c r="Y34" s="6">
        <v>24.0</v>
      </c>
      <c r="Z34" s="6">
        <v>2.0</v>
      </c>
      <c r="AA34" s="6">
        <v>0.0</v>
      </c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</row>
    <row r="35">
      <c r="A35" s="5">
        <v>45153.0</v>
      </c>
      <c r="B35" s="6">
        <v>10.0</v>
      </c>
      <c r="C35" s="6">
        <v>43.0</v>
      </c>
      <c r="D35" s="6">
        <v>4.0</v>
      </c>
      <c r="E35" s="6">
        <v>873.0</v>
      </c>
      <c r="F35" s="6">
        <v>87.0</v>
      </c>
      <c r="G35" s="6">
        <v>0.0</v>
      </c>
      <c r="H35" s="4"/>
      <c r="I35" s="6">
        <v>10.0</v>
      </c>
      <c r="J35" s="6">
        <v>0.0</v>
      </c>
      <c r="K35" s="6">
        <v>0.0</v>
      </c>
      <c r="L35" s="6">
        <v>0.0</v>
      </c>
      <c r="M35" s="6">
        <v>10.0</v>
      </c>
      <c r="N35" s="6">
        <v>7.0</v>
      </c>
      <c r="O35" s="6">
        <v>0.0</v>
      </c>
      <c r="P35" s="6">
        <v>3.0</v>
      </c>
      <c r="Q35" s="6">
        <v>4.0</v>
      </c>
      <c r="R35" s="6">
        <v>3.0</v>
      </c>
      <c r="S35" s="6">
        <v>6.0</v>
      </c>
      <c r="T35" s="6">
        <v>0.0</v>
      </c>
      <c r="U35" s="6">
        <v>0.0</v>
      </c>
      <c r="V35" s="6">
        <v>7.0</v>
      </c>
      <c r="W35" s="6">
        <v>0.0</v>
      </c>
      <c r="X35" s="6">
        <v>9.0</v>
      </c>
      <c r="Y35" s="6">
        <v>8.0</v>
      </c>
      <c r="Z35" s="6">
        <v>0.0</v>
      </c>
      <c r="AA35" s="6">
        <v>0.0</v>
      </c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</row>
    <row r="36">
      <c r="A36" s="5">
        <v>45154.0</v>
      </c>
      <c r="B36" s="6">
        <v>42.0</v>
      </c>
      <c r="C36" s="6">
        <v>161.0</v>
      </c>
      <c r="D36" s="6">
        <v>4.0</v>
      </c>
      <c r="E36" s="6">
        <v>3039.0</v>
      </c>
      <c r="F36" s="6">
        <v>72.0</v>
      </c>
      <c r="G36" s="6">
        <v>0.0</v>
      </c>
      <c r="H36" s="4"/>
      <c r="I36" s="6">
        <v>26.0</v>
      </c>
      <c r="J36" s="6">
        <v>5.0</v>
      </c>
      <c r="K36" s="6">
        <v>2.0</v>
      </c>
      <c r="L36" s="6">
        <v>0.0</v>
      </c>
      <c r="M36" s="6">
        <v>33.0</v>
      </c>
      <c r="N36" s="6">
        <v>26.0</v>
      </c>
      <c r="O36" s="6">
        <v>0.0</v>
      </c>
      <c r="P36" s="6">
        <v>16.0</v>
      </c>
      <c r="Q36" s="6">
        <v>14.0</v>
      </c>
      <c r="R36" s="6">
        <v>10.0</v>
      </c>
      <c r="S36" s="6">
        <v>10.0</v>
      </c>
      <c r="T36" s="6">
        <v>1.0</v>
      </c>
      <c r="U36" s="6">
        <v>0.0</v>
      </c>
      <c r="V36" s="6">
        <v>24.0</v>
      </c>
      <c r="W36" s="6">
        <v>0.0</v>
      </c>
      <c r="X36" s="6">
        <v>35.0</v>
      </c>
      <c r="Y36" s="6">
        <v>29.0</v>
      </c>
      <c r="Z36" s="6">
        <v>1.0</v>
      </c>
      <c r="AA36" s="6">
        <v>0.0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</row>
    <row r="37">
      <c r="A37" s="5">
        <v>45155.0</v>
      </c>
      <c r="B37" s="6">
        <v>19.0</v>
      </c>
      <c r="C37" s="6">
        <v>91.0</v>
      </c>
      <c r="D37" s="6">
        <v>5.0</v>
      </c>
      <c r="E37" s="6">
        <v>1879.0</v>
      </c>
      <c r="F37" s="6">
        <v>99.0</v>
      </c>
      <c r="G37" s="6">
        <v>0.0</v>
      </c>
      <c r="H37" s="4"/>
      <c r="I37" s="6">
        <v>17.0</v>
      </c>
      <c r="J37" s="6">
        <v>1.0</v>
      </c>
      <c r="K37" s="6">
        <v>0.0</v>
      </c>
      <c r="L37" s="6">
        <v>0.0</v>
      </c>
      <c r="M37" s="6">
        <v>18.0</v>
      </c>
      <c r="N37" s="6">
        <v>14.0</v>
      </c>
      <c r="O37" s="6">
        <v>1.0</v>
      </c>
      <c r="P37" s="6">
        <v>4.0</v>
      </c>
      <c r="Q37" s="6">
        <v>8.0</v>
      </c>
      <c r="R37" s="6">
        <v>3.0</v>
      </c>
      <c r="S37" s="6">
        <v>10.0</v>
      </c>
      <c r="T37" s="6">
        <v>1.0</v>
      </c>
      <c r="U37" s="6">
        <v>0.0</v>
      </c>
      <c r="V37" s="6">
        <v>12.0</v>
      </c>
      <c r="W37" s="6">
        <v>3.0</v>
      </c>
      <c r="X37" s="6">
        <v>24.0</v>
      </c>
      <c r="Y37" s="6">
        <v>14.0</v>
      </c>
      <c r="Z37" s="6">
        <v>2.0</v>
      </c>
      <c r="AA37" s="6">
        <v>1.0</v>
      </c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</row>
    <row r="38">
      <c r="A38" s="5">
        <v>45156.0</v>
      </c>
      <c r="B38" s="6">
        <v>25.0</v>
      </c>
      <c r="C38" s="6">
        <v>100.0</v>
      </c>
      <c r="D38" s="6">
        <v>4.0</v>
      </c>
      <c r="E38" s="6">
        <v>2028.0</v>
      </c>
      <c r="F38" s="6">
        <v>81.0</v>
      </c>
      <c r="G38" s="6">
        <v>0.0</v>
      </c>
      <c r="H38" s="4"/>
      <c r="I38" s="6">
        <v>16.0</v>
      </c>
      <c r="J38" s="6">
        <v>3.0</v>
      </c>
      <c r="K38" s="6">
        <v>1.0</v>
      </c>
      <c r="L38" s="6">
        <v>0.0</v>
      </c>
      <c r="M38" s="6">
        <v>20.0</v>
      </c>
      <c r="N38" s="6">
        <v>12.0</v>
      </c>
      <c r="O38" s="6">
        <v>2.0</v>
      </c>
      <c r="P38" s="6">
        <v>11.0</v>
      </c>
      <c r="Q38" s="6">
        <v>9.0</v>
      </c>
      <c r="R38" s="6">
        <v>6.0</v>
      </c>
      <c r="S38" s="6">
        <v>8.0</v>
      </c>
      <c r="T38" s="6">
        <v>0.0</v>
      </c>
      <c r="U38" s="6">
        <v>0.0</v>
      </c>
      <c r="V38" s="6">
        <v>16.0</v>
      </c>
      <c r="W38" s="6">
        <v>2.0</v>
      </c>
      <c r="X38" s="6">
        <v>22.0</v>
      </c>
      <c r="Y38" s="6">
        <v>19.0</v>
      </c>
      <c r="Z38" s="6">
        <v>2.0</v>
      </c>
      <c r="AA38" s="6">
        <v>1.0</v>
      </c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</row>
    <row r="39">
      <c r="A39" s="5">
        <v>45157.0</v>
      </c>
      <c r="B39" s="6">
        <v>20.0</v>
      </c>
      <c r="C39" s="6">
        <v>104.0</v>
      </c>
      <c r="D39" s="6">
        <v>5.0</v>
      </c>
      <c r="E39" s="6">
        <v>2511.0</v>
      </c>
      <c r="F39" s="6">
        <v>126.0</v>
      </c>
      <c r="G39" s="6">
        <v>0.0</v>
      </c>
      <c r="H39" s="4"/>
      <c r="I39" s="6">
        <v>16.0</v>
      </c>
      <c r="J39" s="6">
        <v>2.0</v>
      </c>
      <c r="K39" s="6">
        <v>0.0</v>
      </c>
      <c r="L39" s="6">
        <v>0.0</v>
      </c>
      <c r="M39" s="6">
        <v>18.0</v>
      </c>
      <c r="N39" s="6">
        <v>13.0</v>
      </c>
      <c r="O39" s="6">
        <v>0.0</v>
      </c>
      <c r="P39" s="6">
        <v>7.0</v>
      </c>
      <c r="Q39" s="6">
        <v>9.0</v>
      </c>
      <c r="R39" s="6">
        <v>5.0</v>
      </c>
      <c r="S39" s="6">
        <v>6.0</v>
      </c>
      <c r="T39" s="6">
        <v>0.0</v>
      </c>
      <c r="U39" s="6">
        <v>0.0</v>
      </c>
      <c r="V39" s="6">
        <v>14.0</v>
      </c>
      <c r="W39" s="6">
        <v>0.0</v>
      </c>
      <c r="X39" s="6">
        <v>43.0</v>
      </c>
      <c r="Y39" s="6">
        <v>15.0</v>
      </c>
      <c r="Z39" s="6">
        <v>0.0</v>
      </c>
      <c r="AA39" s="6">
        <v>0.0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</row>
    <row r="40">
      <c r="A40" s="5">
        <v>45158.0</v>
      </c>
      <c r="B40" s="6">
        <v>0.0</v>
      </c>
      <c r="C40" s="6">
        <v>0.0</v>
      </c>
      <c r="D40" s="6">
        <v>0.0</v>
      </c>
      <c r="E40" s="6">
        <v>0.0</v>
      </c>
      <c r="F40" s="6">
        <v>0.0</v>
      </c>
      <c r="G40" s="6">
        <v>0.0</v>
      </c>
      <c r="H40" s="4"/>
      <c r="I40" s="6">
        <v>0.0</v>
      </c>
      <c r="J40" s="6">
        <v>0.0</v>
      </c>
      <c r="K40" s="6">
        <v>0.0</v>
      </c>
      <c r="L40" s="6">
        <v>0.0</v>
      </c>
      <c r="M40" s="6">
        <v>0.0</v>
      </c>
      <c r="N40" s="6">
        <v>0.0</v>
      </c>
      <c r="O40" s="6">
        <v>0.0</v>
      </c>
      <c r="P40" s="6">
        <v>0.0</v>
      </c>
      <c r="Q40" s="6">
        <v>0.0</v>
      </c>
      <c r="R40" s="6">
        <v>0.0</v>
      </c>
      <c r="S40" s="6">
        <v>0.0</v>
      </c>
      <c r="T40" s="6">
        <v>0.0</v>
      </c>
      <c r="U40" s="6">
        <v>0.0</v>
      </c>
      <c r="V40" s="6">
        <v>0.0</v>
      </c>
      <c r="W40" s="6">
        <v>0.0</v>
      </c>
      <c r="X40" s="6">
        <v>0.0</v>
      </c>
      <c r="Y40" s="6">
        <v>0.0</v>
      </c>
      <c r="Z40" s="6">
        <v>0.0</v>
      </c>
      <c r="AA40" s="6">
        <v>0.0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</row>
    <row r="41">
      <c r="A41" s="5">
        <v>45159.0</v>
      </c>
      <c r="B41" s="6">
        <v>31.0</v>
      </c>
      <c r="C41" s="6">
        <v>139.0</v>
      </c>
      <c r="D41" s="6">
        <v>4.0</v>
      </c>
      <c r="E41" s="6">
        <v>2283.0</v>
      </c>
      <c r="F41" s="6">
        <v>74.0</v>
      </c>
      <c r="G41" s="6">
        <v>0.0</v>
      </c>
      <c r="H41" s="4"/>
      <c r="I41" s="6">
        <v>23.0</v>
      </c>
      <c r="J41" s="6">
        <v>4.0</v>
      </c>
      <c r="K41" s="6">
        <v>0.0</v>
      </c>
      <c r="L41" s="6">
        <v>0.0</v>
      </c>
      <c r="M41" s="6">
        <v>27.0</v>
      </c>
      <c r="N41" s="6">
        <v>22.0</v>
      </c>
      <c r="O41" s="6">
        <v>1.0</v>
      </c>
      <c r="P41" s="6">
        <v>7.0</v>
      </c>
      <c r="Q41" s="6">
        <v>14.0</v>
      </c>
      <c r="R41" s="6">
        <v>5.0</v>
      </c>
      <c r="S41" s="6">
        <v>12.0</v>
      </c>
      <c r="T41" s="6">
        <v>0.0</v>
      </c>
      <c r="U41" s="6">
        <v>0.0</v>
      </c>
      <c r="V41" s="6">
        <v>19.0</v>
      </c>
      <c r="W41" s="6">
        <v>0.0</v>
      </c>
      <c r="X41" s="6">
        <v>26.0</v>
      </c>
      <c r="Y41" s="6">
        <v>20.0</v>
      </c>
      <c r="Z41" s="6">
        <v>0.0</v>
      </c>
      <c r="AA41" s="6">
        <v>0.0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</row>
    <row r="42">
      <c r="A42" s="5">
        <v>45160.0</v>
      </c>
      <c r="B42" s="6">
        <v>29.0</v>
      </c>
      <c r="C42" s="6">
        <v>97.0</v>
      </c>
      <c r="D42" s="6">
        <v>3.0</v>
      </c>
      <c r="E42" s="6">
        <v>1502.0</v>
      </c>
      <c r="F42" s="6">
        <v>52.0</v>
      </c>
      <c r="G42" s="6">
        <v>0.0</v>
      </c>
      <c r="H42" s="4"/>
      <c r="I42" s="6">
        <v>20.0</v>
      </c>
      <c r="J42" s="6">
        <v>3.0</v>
      </c>
      <c r="K42" s="6">
        <v>1.0</v>
      </c>
      <c r="L42" s="6">
        <v>0.0</v>
      </c>
      <c r="M42" s="6">
        <v>24.0</v>
      </c>
      <c r="N42" s="6">
        <v>17.0</v>
      </c>
      <c r="O42" s="6">
        <v>0.0</v>
      </c>
      <c r="P42" s="6">
        <v>12.0</v>
      </c>
      <c r="Q42" s="6">
        <v>7.0</v>
      </c>
      <c r="R42" s="6">
        <v>6.0</v>
      </c>
      <c r="S42" s="6">
        <v>8.0</v>
      </c>
      <c r="T42" s="6">
        <v>0.0</v>
      </c>
      <c r="U42" s="6">
        <v>0.0</v>
      </c>
      <c r="V42" s="6">
        <v>13.0</v>
      </c>
      <c r="W42" s="6">
        <v>0.0</v>
      </c>
      <c r="X42" s="6">
        <v>9.0</v>
      </c>
      <c r="Y42" s="6">
        <v>17.0</v>
      </c>
      <c r="Z42" s="6">
        <v>0.0</v>
      </c>
      <c r="AA42" s="6">
        <v>0.0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</row>
    <row r="43">
      <c r="A43" s="5">
        <v>45161.0</v>
      </c>
      <c r="B43" s="6">
        <v>42.0</v>
      </c>
      <c r="C43" s="6">
        <v>155.0</v>
      </c>
      <c r="D43" s="6">
        <v>4.0</v>
      </c>
      <c r="E43" s="6">
        <v>2682.0</v>
      </c>
      <c r="F43" s="6">
        <v>64.0</v>
      </c>
      <c r="G43" s="6">
        <v>0.0</v>
      </c>
      <c r="H43" s="4"/>
      <c r="I43" s="6">
        <v>24.0</v>
      </c>
      <c r="J43" s="6">
        <v>7.0</v>
      </c>
      <c r="K43" s="6">
        <v>0.0</v>
      </c>
      <c r="L43" s="6">
        <v>1.0</v>
      </c>
      <c r="M43" s="6">
        <v>32.0</v>
      </c>
      <c r="N43" s="6">
        <v>33.0</v>
      </c>
      <c r="O43" s="6">
        <v>0.0</v>
      </c>
      <c r="P43" s="6">
        <v>9.0</v>
      </c>
      <c r="Q43" s="6">
        <v>23.0</v>
      </c>
      <c r="R43" s="6">
        <v>7.0</v>
      </c>
      <c r="S43" s="6">
        <v>16.0</v>
      </c>
      <c r="T43" s="6">
        <v>3.0</v>
      </c>
      <c r="U43" s="6">
        <v>0.0</v>
      </c>
      <c r="V43" s="6">
        <v>30.0</v>
      </c>
      <c r="W43" s="6">
        <v>1.0</v>
      </c>
      <c r="X43" s="6">
        <v>15.0</v>
      </c>
      <c r="Y43" s="6">
        <v>33.0</v>
      </c>
      <c r="Z43" s="6">
        <v>4.0</v>
      </c>
      <c r="AA43" s="6">
        <v>0.0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</row>
    <row r="44">
      <c r="A44" s="5">
        <v>45162.0</v>
      </c>
      <c r="B44" s="6">
        <v>23.0</v>
      </c>
      <c r="C44" s="6">
        <v>88.0</v>
      </c>
      <c r="D44" s="6">
        <v>4.0</v>
      </c>
      <c r="E44" s="6">
        <v>1527.0</v>
      </c>
      <c r="F44" s="6">
        <v>66.0</v>
      </c>
      <c r="G44" s="6">
        <v>0.0</v>
      </c>
      <c r="H44" s="4"/>
      <c r="I44" s="6">
        <v>14.0</v>
      </c>
      <c r="J44" s="6">
        <v>3.0</v>
      </c>
      <c r="K44" s="6">
        <v>1.0</v>
      </c>
      <c r="L44" s="6">
        <v>0.0</v>
      </c>
      <c r="M44" s="6">
        <v>18.0</v>
      </c>
      <c r="N44" s="6">
        <v>16.0</v>
      </c>
      <c r="O44" s="6">
        <v>1.0</v>
      </c>
      <c r="P44" s="6">
        <v>6.0</v>
      </c>
      <c r="Q44" s="6">
        <v>11.0</v>
      </c>
      <c r="R44" s="6">
        <v>4.0</v>
      </c>
      <c r="S44" s="6">
        <v>6.0</v>
      </c>
      <c r="T44" s="6">
        <v>0.0</v>
      </c>
      <c r="U44" s="6">
        <v>0.0</v>
      </c>
      <c r="V44" s="6">
        <v>16.0</v>
      </c>
      <c r="W44" s="6">
        <v>0.0</v>
      </c>
      <c r="X44" s="6">
        <v>15.0</v>
      </c>
      <c r="Y44" s="6">
        <v>18.0</v>
      </c>
      <c r="Z44" s="6">
        <v>0.0</v>
      </c>
      <c r="AA44" s="6">
        <v>1.0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</row>
    <row r="45">
      <c r="A45" s="5">
        <v>45163.0</v>
      </c>
      <c r="B45" s="6">
        <v>35.0</v>
      </c>
      <c r="C45" s="6">
        <v>125.0</v>
      </c>
      <c r="D45" s="6">
        <v>4.0</v>
      </c>
      <c r="E45" s="6">
        <v>3253.0</v>
      </c>
      <c r="F45" s="6">
        <v>93.0</v>
      </c>
      <c r="G45" s="6">
        <v>0.0</v>
      </c>
      <c r="H45" s="4"/>
      <c r="I45" s="6">
        <v>25.0</v>
      </c>
      <c r="J45" s="6">
        <v>2.0</v>
      </c>
      <c r="K45" s="6">
        <v>2.0</v>
      </c>
      <c r="L45" s="6">
        <v>0.0</v>
      </c>
      <c r="M45" s="6">
        <v>29.0</v>
      </c>
      <c r="N45" s="6">
        <v>19.0</v>
      </c>
      <c r="O45" s="6">
        <v>0.0</v>
      </c>
      <c r="P45" s="6">
        <v>15.0</v>
      </c>
      <c r="Q45" s="6">
        <v>9.0</v>
      </c>
      <c r="R45" s="6">
        <v>7.0</v>
      </c>
      <c r="S45" s="6">
        <v>14.0</v>
      </c>
      <c r="T45" s="6">
        <v>0.0</v>
      </c>
      <c r="U45" s="6">
        <v>0.0</v>
      </c>
      <c r="V45" s="6">
        <v>16.0</v>
      </c>
      <c r="W45" s="6">
        <v>0.0</v>
      </c>
      <c r="X45" s="6">
        <v>19.0</v>
      </c>
      <c r="Y45" s="6">
        <v>19.0</v>
      </c>
      <c r="Z45" s="6">
        <v>0.0</v>
      </c>
      <c r="AA45" s="6">
        <v>0.0</v>
      </c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</row>
    <row r="46">
      <c r="A46" s="5">
        <v>45164.0</v>
      </c>
      <c r="B46" s="6">
        <v>12.0</v>
      </c>
      <c r="C46" s="6">
        <v>49.0</v>
      </c>
      <c r="D46" s="6">
        <v>4.0</v>
      </c>
      <c r="E46" s="6">
        <v>1074.0</v>
      </c>
      <c r="F46" s="6">
        <v>90.0</v>
      </c>
      <c r="G46" s="6">
        <v>0.0</v>
      </c>
      <c r="H46" s="4"/>
      <c r="I46" s="6">
        <v>12.0</v>
      </c>
      <c r="J46" s="6">
        <v>0.0</v>
      </c>
      <c r="K46" s="6">
        <v>0.0</v>
      </c>
      <c r="L46" s="6">
        <v>0.0</v>
      </c>
      <c r="M46" s="6">
        <v>12.0</v>
      </c>
      <c r="N46" s="6">
        <v>9.0</v>
      </c>
      <c r="O46" s="6">
        <v>1.0</v>
      </c>
      <c r="P46" s="6">
        <v>2.0</v>
      </c>
      <c r="Q46" s="6">
        <v>5.0</v>
      </c>
      <c r="R46" s="6">
        <v>1.0</v>
      </c>
      <c r="S46" s="6">
        <v>3.0</v>
      </c>
      <c r="T46" s="6">
        <v>0.0</v>
      </c>
      <c r="U46" s="6">
        <v>0.0</v>
      </c>
      <c r="V46" s="6">
        <v>7.0</v>
      </c>
      <c r="W46" s="6">
        <v>0.0</v>
      </c>
      <c r="X46" s="6">
        <v>13.0</v>
      </c>
      <c r="Y46" s="6">
        <v>8.0</v>
      </c>
      <c r="Z46" s="6">
        <v>0.0</v>
      </c>
      <c r="AA46" s="6">
        <v>1.0</v>
      </c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</row>
    <row r="47">
      <c r="A47" s="5">
        <v>45165.0</v>
      </c>
      <c r="B47" s="6">
        <v>0.0</v>
      </c>
      <c r="C47" s="6">
        <v>0.0</v>
      </c>
      <c r="D47" s="6">
        <v>0.0</v>
      </c>
      <c r="E47" s="6">
        <v>0.0</v>
      </c>
      <c r="F47" s="6">
        <v>0.0</v>
      </c>
      <c r="G47" s="6">
        <v>0.0</v>
      </c>
      <c r="H47" s="4"/>
      <c r="I47" s="6">
        <v>0.0</v>
      </c>
      <c r="J47" s="6">
        <v>0.0</v>
      </c>
      <c r="K47" s="6">
        <v>0.0</v>
      </c>
      <c r="L47" s="6">
        <v>0.0</v>
      </c>
      <c r="M47" s="6">
        <v>0.0</v>
      </c>
      <c r="N47" s="6">
        <v>0.0</v>
      </c>
      <c r="O47" s="6">
        <v>0.0</v>
      </c>
      <c r="P47" s="6">
        <v>0.0</v>
      </c>
      <c r="Q47" s="6">
        <v>0.0</v>
      </c>
      <c r="R47" s="6">
        <v>0.0</v>
      </c>
      <c r="S47" s="6">
        <v>0.0</v>
      </c>
      <c r="T47" s="6">
        <v>0.0</v>
      </c>
      <c r="U47" s="6">
        <v>0.0</v>
      </c>
      <c r="V47" s="6">
        <v>0.0</v>
      </c>
      <c r="W47" s="6">
        <v>0.0</v>
      </c>
      <c r="X47" s="6">
        <v>0.0</v>
      </c>
      <c r="Y47" s="6">
        <v>0.0</v>
      </c>
      <c r="Z47" s="6">
        <v>0.0</v>
      </c>
      <c r="AA47" s="6">
        <v>0.0</v>
      </c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</row>
    <row r="48">
      <c r="A48" s="5">
        <v>45166.0</v>
      </c>
      <c r="B48" s="6">
        <v>32.0</v>
      </c>
      <c r="C48" s="6">
        <v>133.0</v>
      </c>
      <c r="D48" s="6">
        <v>4.0</v>
      </c>
      <c r="E48" s="6">
        <v>2344.0</v>
      </c>
      <c r="F48" s="6">
        <v>73.0</v>
      </c>
      <c r="G48" s="6">
        <v>0.0</v>
      </c>
      <c r="H48" s="4"/>
      <c r="I48" s="6">
        <v>21.0</v>
      </c>
      <c r="J48" s="6">
        <v>4.0</v>
      </c>
      <c r="K48" s="6">
        <v>1.0</v>
      </c>
      <c r="L48" s="6">
        <v>0.0</v>
      </c>
      <c r="M48" s="6">
        <v>26.0</v>
      </c>
      <c r="N48" s="6">
        <v>23.0</v>
      </c>
      <c r="O48" s="6">
        <v>0.0</v>
      </c>
      <c r="P48" s="6">
        <v>9.0</v>
      </c>
      <c r="Q48" s="6">
        <v>15.0</v>
      </c>
      <c r="R48" s="6">
        <v>5.0</v>
      </c>
      <c r="S48" s="6">
        <v>21.0</v>
      </c>
      <c r="T48" s="6">
        <v>1.0</v>
      </c>
      <c r="U48" s="6">
        <v>0.0</v>
      </c>
      <c r="V48" s="6">
        <v>20.0</v>
      </c>
      <c r="W48" s="6">
        <v>1.0</v>
      </c>
      <c r="X48" s="6">
        <v>16.0</v>
      </c>
      <c r="Y48" s="6">
        <v>24.0</v>
      </c>
      <c r="Z48" s="6">
        <v>2.0</v>
      </c>
      <c r="AA48" s="6">
        <v>0.0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</row>
    <row r="49">
      <c r="A49" s="5">
        <v>45167.0</v>
      </c>
      <c r="B49" s="6">
        <v>30.0</v>
      </c>
      <c r="C49" s="6">
        <v>126.0</v>
      </c>
      <c r="D49" s="6">
        <v>4.0</v>
      </c>
      <c r="E49" s="6">
        <v>2098.0</v>
      </c>
      <c r="F49" s="6">
        <v>70.0</v>
      </c>
      <c r="G49" s="6">
        <v>0.0</v>
      </c>
      <c r="H49" s="4"/>
      <c r="I49" s="6">
        <v>22.0</v>
      </c>
      <c r="J49" s="6">
        <v>4.0</v>
      </c>
      <c r="K49" s="6">
        <v>0.0</v>
      </c>
      <c r="L49" s="6">
        <v>0.0</v>
      </c>
      <c r="M49" s="6">
        <v>26.0</v>
      </c>
      <c r="N49" s="6">
        <v>21.0</v>
      </c>
      <c r="O49" s="6">
        <v>0.0</v>
      </c>
      <c r="P49" s="6">
        <v>9.0</v>
      </c>
      <c r="Q49" s="6">
        <v>12.0</v>
      </c>
      <c r="R49" s="6">
        <v>6.0</v>
      </c>
      <c r="S49" s="6">
        <v>12.0</v>
      </c>
      <c r="T49" s="6">
        <v>0.0</v>
      </c>
      <c r="U49" s="6">
        <v>0.0</v>
      </c>
      <c r="V49" s="6">
        <v>18.0</v>
      </c>
      <c r="W49" s="6">
        <v>0.0</v>
      </c>
      <c r="X49" s="6">
        <v>19.0</v>
      </c>
      <c r="Y49" s="6">
        <v>22.0</v>
      </c>
      <c r="Z49" s="6">
        <v>0.0</v>
      </c>
      <c r="AA49" s="6">
        <v>0.0</v>
      </c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</row>
    <row r="50">
      <c r="A50" s="5">
        <v>45168.0</v>
      </c>
      <c r="B50" s="6">
        <v>39.0</v>
      </c>
      <c r="C50" s="6">
        <v>143.0</v>
      </c>
      <c r="D50" s="6">
        <v>4.0</v>
      </c>
      <c r="E50" s="6">
        <v>2637.0</v>
      </c>
      <c r="F50" s="6">
        <v>68.0</v>
      </c>
      <c r="G50" s="6">
        <v>0.0</v>
      </c>
      <c r="H50" s="4"/>
      <c r="I50" s="6">
        <v>30.0</v>
      </c>
      <c r="J50" s="6">
        <v>3.0</v>
      </c>
      <c r="K50" s="6">
        <v>1.0</v>
      </c>
      <c r="L50" s="6">
        <v>0.0</v>
      </c>
      <c r="M50" s="6">
        <v>34.0</v>
      </c>
      <c r="N50" s="6">
        <v>31.0</v>
      </c>
      <c r="O50" s="6">
        <v>0.0</v>
      </c>
      <c r="P50" s="6">
        <v>8.0</v>
      </c>
      <c r="Q50" s="6">
        <v>20.0</v>
      </c>
      <c r="R50" s="6">
        <v>5.0</v>
      </c>
      <c r="S50" s="6">
        <v>17.0</v>
      </c>
      <c r="T50" s="6">
        <v>1.0</v>
      </c>
      <c r="U50" s="6">
        <v>0.0</v>
      </c>
      <c r="V50" s="6">
        <v>25.0</v>
      </c>
      <c r="W50" s="6">
        <v>0.0</v>
      </c>
      <c r="X50" s="6">
        <v>19.0</v>
      </c>
      <c r="Y50" s="6">
        <v>29.0</v>
      </c>
      <c r="Z50" s="6">
        <v>1.0</v>
      </c>
      <c r="AA50" s="6">
        <v>0.0</v>
      </c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</row>
    <row r="51">
      <c r="A51" s="5">
        <v>45169.0</v>
      </c>
      <c r="B51" s="6">
        <v>37.0</v>
      </c>
      <c r="C51" s="6">
        <v>165.0</v>
      </c>
      <c r="D51" s="6">
        <v>4.0</v>
      </c>
      <c r="E51" s="6">
        <v>3047.0</v>
      </c>
      <c r="F51" s="6">
        <v>82.0</v>
      </c>
      <c r="G51" s="6">
        <v>0.0</v>
      </c>
      <c r="H51" s="4"/>
      <c r="I51" s="6">
        <v>29.0</v>
      </c>
      <c r="J51" s="6">
        <v>4.0</v>
      </c>
      <c r="K51" s="6">
        <v>0.0</v>
      </c>
      <c r="L51" s="6">
        <v>0.0</v>
      </c>
      <c r="M51" s="6">
        <v>33.0</v>
      </c>
      <c r="N51" s="6">
        <v>21.0</v>
      </c>
      <c r="O51" s="6">
        <v>0.0</v>
      </c>
      <c r="P51" s="6">
        <v>16.0</v>
      </c>
      <c r="Q51" s="6">
        <v>11.0</v>
      </c>
      <c r="R51" s="6">
        <v>8.0</v>
      </c>
      <c r="S51" s="6">
        <v>24.0</v>
      </c>
      <c r="T51" s="6">
        <v>1.0</v>
      </c>
      <c r="U51" s="6">
        <v>0.0</v>
      </c>
      <c r="V51" s="6">
        <v>19.0</v>
      </c>
      <c r="W51" s="6">
        <v>1.0</v>
      </c>
      <c r="X51" s="6">
        <v>32.0</v>
      </c>
      <c r="Y51" s="6">
        <v>24.0</v>
      </c>
      <c r="Z51" s="6">
        <v>2.0</v>
      </c>
      <c r="AA51" s="6">
        <v>0.0</v>
      </c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</row>
    <row r="52">
      <c r="A52" s="5">
        <v>45170.0</v>
      </c>
      <c r="B52" s="6">
        <v>31.0</v>
      </c>
      <c r="C52" s="6">
        <v>112.0</v>
      </c>
      <c r="D52" s="6">
        <v>4.0</v>
      </c>
      <c r="E52" s="6">
        <v>2003.0</v>
      </c>
      <c r="F52" s="6">
        <v>65.0</v>
      </c>
      <c r="G52" s="6">
        <v>0.0</v>
      </c>
      <c r="H52" s="4"/>
      <c r="I52" s="6">
        <v>21.0</v>
      </c>
      <c r="J52" s="6">
        <v>3.0</v>
      </c>
      <c r="K52" s="6">
        <v>0.0</v>
      </c>
      <c r="L52" s="6">
        <v>1.0</v>
      </c>
      <c r="M52" s="6">
        <v>25.0</v>
      </c>
      <c r="N52" s="6">
        <v>21.0</v>
      </c>
      <c r="O52" s="6">
        <v>2.0</v>
      </c>
      <c r="P52" s="6">
        <v>8.0</v>
      </c>
      <c r="Q52" s="6">
        <v>17.0</v>
      </c>
      <c r="R52" s="6">
        <v>5.0</v>
      </c>
      <c r="S52" s="6">
        <v>11.0</v>
      </c>
      <c r="T52" s="6">
        <v>0.0</v>
      </c>
      <c r="U52" s="6">
        <v>0.0</v>
      </c>
      <c r="V52" s="6">
        <v>22.0</v>
      </c>
      <c r="W52" s="6">
        <v>0.0</v>
      </c>
      <c r="X52" s="6">
        <v>14.0</v>
      </c>
      <c r="Y52" s="6">
        <v>23.0</v>
      </c>
      <c r="Z52" s="6">
        <v>0.0</v>
      </c>
      <c r="AA52" s="6">
        <v>0.0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</row>
    <row r="53">
      <c r="A53" s="5">
        <v>45171.0</v>
      </c>
      <c r="B53" s="6">
        <v>12.0</v>
      </c>
      <c r="C53" s="6">
        <v>40.0</v>
      </c>
      <c r="D53" s="6">
        <v>3.0</v>
      </c>
      <c r="E53" s="6">
        <v>556.0</v>
      </c>
      <c r="F53" s="6">
        <v>46.0</v>
      </c>
      <c r="G53" s="6">
        <v>0.0</v>
      </c>
      <c r="H53" s="4"/>
      <c r="I53" s="6">
        <v>10.0</v>
      </c>
      <c r="J53" s="6">
        <v>1.0</v>
      </c>
      <c r="K53" s="6">
        <v>0.0</v>
      </c>
      <c r="L53" s="6">
        <v>0.0</v>
      </c>
      <c r="M53" s="6">
        <v>11.0</v>
      </c>
      <c r="N53" s="6">
        <v>6.0</v>
      </c>
      <c r="O53" s="6">
        <v>2.0</v>
      </c>
      <c r="P53" s="6">
        <v>4.0</v>
      </c>
      <c r="Q53" s="6">
        <v>0.0</v>
      </c>
      <c r="R53" s="6">
        <v>2.0</v>
      </c>
      <c r="S53" s="6">
        <v>5.0</v>
      </c>
      <c r="T53" s="6">
        <v>1.0</v>
      </c>
      <c r="U53" s="6">
        <v>0.0</v>
      </c>
      <c r="V53" s="6">
        <v>4.0</v>
      </c>
      <c r="W53" s="6">
        <v>1.0</v>
      </c>
      <c r="X53" s="6">
        <v>2.0</v>
      </c>
      <c r="Y53" s="6">
        <v>7.0</v>
      </c>
      <c r="Z53" s="6">
        <v>2.0</v>
      </c>
      <c r="AA53" s="6">
        <v>2.0</v>
      </c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</row>
    <row r="54">
      <c r="A54" s="5">
        <v>45172.0</v>
      </c>
      <c r="B54" s="6">
        <v>0.0</v>
      </c>
      <c r="C54" s="6">
        <v>0.0</v>
      </c>
      <c r="D54" s="6">
        <v>0.0</v>
      </c>
      <c r="E54" s="6">
        <v>0.0</v>
      </c>
      <c r="F54" s="6">
        <v>0.0</v>
      </c>
      <c r="G54" s="6">
        <v>0.0</v>
      </c>
      <c r="H54" s="4"/>
      <c r="I54" s="6">
        <v>0.0</v>
      </c>
      <c r="J54" s="6">
        <v>0.0</v>
      </c>
      <c r="K54" s="6">
        <v>0.0</v>
      </c>
      <c r="L54" s="6">
        <v>0.0</v>
      </c>
      <c r="M54" s="6">
        <v>0.0</v>
      </c>
      <c r="N54" s="6">
        <v>0.0</v>
      </c>
      <c r="O54" s="6">
        <v>0.0</v>
      </c>
      <c r="P54" s="6">
        <v>0.0</v>
      </c>
      <c r="Q54" s="6">
        <v>0.0</v>
      </c>
      <c r="R54" s="6">
        <v>0.0</v>
      </c>
      <c r="S54" s="6">
        <v>0.0</v>
      </c>
      <c r="T54" s="6">
        <v>0.0</v>
      </c>
      <c r="U54" s="6">
        <v>0.0</v>
      </c>
      <c r="V54" s="6">
        <v>0.0</v>
      </c>
      <c r="W54" s="6">
        <v>0.0</v>
      </c>
      <c r="X54" s="6">
        <v>0.0</v>
      </c>
      <c r="Y54" s="6">
        <v>0.0</v>
      </c>
      <c r="Z54" s="6">
        <v>0.0</v>
      </c>
      <c r="AA54" s="6">
        <v>0.0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</row>
    <row r="55">
      <c r="A55" s="5">
        <v>45173.0</v>
      </c>
      <c r="B55" s="6">
        <v>36.0</v>
      </c>
      <c r="C55" s="6">
        <v>129.0</v>
      </c>
      <c r="D55" s="6">
        <v>4.0</v>
      </c>
      <c r="E55" s="6">
        <v>2306.0</v>
      </c>
      <c r="F55" s="6">
        <v>64.0</v>
      </c>
      <c r="G55" s="6">
        <v>0.0</v>
      </c>
      <c r="H55" s="4"/>
      <c r="I55" s="6">
        <v>32.0</v>
      </c>
      <c r="J55" s="6">
        <v>2.0</v>
      </c>
      <c r="K55" s="6">
        <v>0.0</v>
      </c>
      <c r="L55" s="6">
        <v>0.0</v>
      </c>
      <c r="M55" s="6">
        <v>34.0</v>
      </c>
      <c r="N55" s="6">
        <v>24.0</v>
      </c>
      <c r="O55" s="6">
        <v>1.0</v>
      </c>
      <c r="P55" s="6">
        <v>11.0</v>
      </c>
      <c r="Q55" s="6">
        <v>15.0</v>
      </c>
      <c r="R55" s="6">
        <v>3.0</v>
      </c>
      <c r="S55" s="6">
        <v>12.0</v>
      </c>
      <c r="T55" s="6">
        <v>2.0</v>
      </c>
      <c r="U55" s="6">
        <v>0.0</v>
      </c>
      <c r="V55" s="6">
        <v>18.0</v>
      </c>
      <c r="W55" s="6">
        <v>0.0</v>
      </c>
      <c r="X55" s="6">
        <v>16.0</v>
      </c>
      <c r="Y55" s="6">
        <v>26.0</v>
      </c>
      <c r="Z55" s="6">
        <v>2.0</v>
      </c>
      <c r="AA55" s="6">
        <v>0.0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</row>
    <row r="56">
      <c r="A56" s="5">
        <v>45174.0</v>
      </c>
      <c r="B56" s="6">
        <v>19.0</v>
      </c>
      <c r="C56" s="6">
        <v>78.0</v>
      </c>
      <c r="D56" s="6">
        <v>4.0</v>
      </c>
      <c r="E56" s="6">
        <v>1582.0</v>
      </c>
      <c r="F56" s="6">
        <v>83.0</v>
      </c>
      <c r="G56" s="6">
        <v>0.0</v>
      </c>
      <c r="H56" s="4"/>
      <c r="I56" s="6">
        <v>17.0</v>
      </c>
      <c r="J56" s="6">
        <v>1.0</v>
      </c>
      <c r="K56" s="6">
        <v>0.0</v>
      </c>
      <c r="L56" s="6">
        <v>0.0</v>
      </c>
      <c r="M56" s="6">
        <v>18.0</v>
      </c>
      <c r="N56" s="6">
        <v>14.0</v>
      </c>
      <c r="O56" s="6">
        <v>1.0</v>
      </c>
      <c r="P56" s="6">
        <v>4.0</v>
      </c>
      <c r="Q56" s="6">
        <v>10.0</v>
      </c>
      <c r="R56" s="6">
        <v>3.0</v>
      </c>
      <c r="S56" s="6">
        <v>5.0</v>
      </c>
      <c r="T56" s="6">
        <v>0.0</v>
      </c>
      <c r="U56" s="6">
        <v>0.0</v>
      </c>
      <c r="V56" s="6">
        <v>13.0</v>
      </c>
      <c r="W56" s="6">
        <v>1.0</v>
      </c>
      <c r="X56" s="6">
        <v>17.0</v>
      </c>
      <c r="Y56" s="6">
        <v>15.0</v>
      </c>
      <c r="Z56" s="6">
        <v>1.0</v>
      </c>
      <c r="AA56" s="6">
        <v>0.0</v>
      </c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</row>
    <row r="57">
      <c r="A57" s="5">
        <v>45175.0</v>
      </c>
      <c r="B57" s="6">
        <v>22.0</v>
      </c>
      <c r="C57" s="6">
        <v>102.0</v>
      </c>
      <c r="D57" s="6">
        <v>5.0</v>
      </c>
      <c r="E57" s="6">
        <v>1795.0</v>
      </c>
      <c r="F57" s="6">
        <v>82.0</v>
      </c>
      <c r="G57" s="6">
        <v>0.0</v>
      </c>
      <c r="H57" s="4"/>
      <c r="I57" s="6">
        <v>16.0</v>
      </c>
      <c r="J57" s="6">
        <v>3.0</v>
      </c>
      <c r="K57" s="6">
        <v>0.0</v>
      </c>
      <c r="L57" s="6">
        <v>0.0</v>
      </c>
      <c r="M57" s="6">
        <v>19.0</v>
      </c>
      <c r="N57" s="6">
        <v>16.0</v>
      </c>
      <c r="O57" s="6">
        <v>0.0</v>
      </c>
      <c r="P57" s="6">
        <v>6.0</v>
      </c>
      <c r="Q57" s="6">
        <v>9.0</v>
      </c>
      <c r="R57" s="6">
        <v>6.0</v>
      </c>
      <c r="S57" s="6">
        <v>12.0</v>
      </c>
      <c r="T57" s="6">
        <v>0.0</v>
      </c>
      <c r="U57" s="6">
        <v>0.0</v>
      </c>
      <c r="V57" s="6">
        <v>15.0</v>
      </c>
      <c r="W57" s="6">
        <v>0.0</v>
      </c>
      <c r="X57" s="6">
        <v>14.0</v>
      </c>
      <c r="Y57" s="6">
        <v>19.0</v>
      </c>
      <c r="Z57" s="6">
        <v>0.0</v>
      </c>
      <c r="AA57" s="6">
        <v>0.0</v>
      </c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</row>
    <row r="58">
      <c r="A58" s="5">
        <v>45176.0</v>
      </c>
      <c r="B58" s="6">
        <v>26.0</v>
      </c>
      <c r="C58" s="6">
        <v>114.0</v>
      </c>
      <c r="D58" s="6">
        <v>4.0</v>
      </c>
      <c r="E58" s="6">
        <v>2297.0</v>
      </c>
      <c r="F58" s="6">
        <v>88.0</v>
      </c>
      <c r="G58" s="6">
        <v>0.0</v>
      </c>
      <c r="H58" s="4"/>
      <c r="I58" s="6">
        <v>20.0</v>
      </c>
      <c r="J58" s="6">
        <v>3.0</v>
      </c>
      <c r="K58" s="6">
        <v>0.0</v>
      </c>
      <c r="L58" s="6">
        <v>0.0</v>
      </c>
      <c r="M58" s="6">
        <v>23.0</v>
      </c>
      <c r="N58" s="6">
        <v>16.0</v>
      </c>
      <c r="O58" s="6">
        <v>0.0</v>
      </c>
      <c r="P58" s="6">
        <v>10.0</v>
      </c>
      <c r="Q58" s="6">
        <v>11.0</v>
      </c>
      <c r="R58" s="6">
        <v>4.0</v>
      </c>
      <c r="S58" s="6">
        <v>10.0</v>
      </c>
      <c r="T58" s="6">
        <v>0.0</v>
      </c>
      <c r="U58" s="6">
        <v>0.0</v>
      </c>
      <c r="V58" s="6">
        <v>15.0</v>
      </c>
      <c r="W58" s="6">
        <v>1.0</v>
      </c>
      <c r="X58" s="6">
        <v>32.0</v>
      </c>
      <c r="Y58" s="6">
        <v>18.0</v>
      </c>
      <c r="Z58" s="6">
        <v>1.0</v>
      </c>
      <c r="AA58" s="6">
        <v>0.0</v>
      </c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</row>
    <row r="59">
      <c r="A59" s="5">
        <v>45177.0</v>
      </c>
      <c r="B59" s="6">
        <v>24.0</v>
      </c>
      <c r="C59" s="6">
        <v>86.0</v>
      </c>
      <c r="D59" s="6">
        <v>4.0</v>
      </c>
      <c r="E59" s="6">
        <v>1499.0</v>
      </c>
      <c r="F59" s="6">
        <v>62.0</v>
      </c>
      <c r="G59" s="6">
        <v>0.0</v>
      </c>
      <c r="H59" s="4"/>
      <c r="I59" s="6">
        <v>20.0</v>
      </c>
      <c r="J59" s="6">
        <v>2.0</v>
      </c>
      <c r="K59" s="6">
        <v>0.0</v>
      </c>
      <c r="L59" s="6">
        <v>0.0</v>
      </c>
      <c r="M59" s="6">
        <v>22.0</v>
      </c>
      <c r="N59" s="6">
        <v>18.0</v>
      </c>
      <c r="O59" s="6">
        <v>0.0</v>
      </c>
      <c r="P59" s="6">
        <v>6.0</v>
      </c>
      <c r="Q59" s="6">
        <v>8.0</v>
      </c>
      <c r="R59" s="6">
        <v>4.0</v>
      </c>
      <c r="S59" s="6">
        <v>5.0</v>
      </c>
      <c r="T59" s="6">
        <v>1.0</v>
      </c>
      <c r="U59" s="6">
        <v>0.0</v>
      </c>
      <c r="V59" s="6">
        <v>12.0</v>
      </c>
      <c r="W59" s="6">
        <v>1.0</v>
      </c>
      <c r="X59" s="6">
        <v>15.0</v>
      </c>
      <c r="Y59" s="6">
        <v>14.0</v>
      </c>
      <c r="Z59" s="6">
        <v>2.0</v>
      </c>
      <c r="AA59" s="6">
        <v>0.0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</row>
    <row r="60">
      <c r="A60" s="5">
        <v>45178.0</v>
      </c>
      <c r="B60" s="6">
        <v>8.0</v>
      </c>
      <c r="C60" s="6">
        <v>24.0</v>
      </c>
      <c r="D60" s="6">
        <v>3.0</v>
      </c>
      <c r="E60" s="6">
        <v>349.0</v>
      </c>
      <c r="F60" s="6">
        <v>44.0</v>
      </c>
      <c r="G60" s="6">
        <v>0.0</v>
      </c>
      <c r="H60" s="4"/>
      <c r="I60" s="6">
        <v>8.0</v>
      </c>
      <c r="J60" s="6">
        <v>0.0</v>
      </c>
      <c r="K60" s="6">
        <v>0.0</v>
      </c>
      <c r="L60" s="6">
        <v>0.0</v>
      </c>
      <c r="M60" s="6">
        <v>8.0</v>
      </c>
      <c r="N60" s="6">
        <v>6.0</v>
      </c>
      <c r="O60" s="6">
        <v>1.0</v>
      </c>
      <c r="P60" s="6">
        <v>1.0</v>
      </c>
      <c r="Q60" s="6">
        <v>4.0</v>
      </c>
      <c r="R60" s="6">
        <v>0.0</v>
      </c>
      <c r="S60" s="6">
        <v>3.0</v>
      </c>
      <c r="T60" s="6">
        <v>0.0</v>
      </c>
      <c r="U60" s="6">
        <v>0.0</v>
      </c>
      <c r="V60" s="6">
        <v>5.0</v>
      </c>
      <c r="W60" s="6">
        <v>0.0</v>
      </c>
      <c r="X60" s="6">
        <v>0.0</v>
      </c>
      <c r="Y60" s="6">
        <v>5.0</v>
      </c>
      <c r="Z60" s="6">
        <v>0.0</v>
      </c>
      <c r="AA60" s="6">
        <v>1.0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</row>
    <row r="61">
      <c r="A61" s="5">
        <v>45179.0</v>
      </c>
      <c r="B61" s="6">
        <v>0.0</v>
      </c>
      <c r="C61" s="6">
        <v>0.0</v>
      </c>
      <c r="D61" s="6">
        <v>0.0</v>
      </c>
      <c r="E61" s="6">
        <v>0.0</v>
      </c>
      <c r="F61" s="6">
        <v>0.0</v>
      </c>
      <c r="G61" s="6">
        <v>0.0</v>
      </c>
      <c r="H61" s="4"/>
      <c r="I61" s="6">
        <v>0.0</v>
      </c>
      <c r="J61" s="6">
        <v>0.0</v>
      </c>
      <c r="K61" s="6">
        <v>0.0</v>
      </c>
      <c r="L61" s="6">
        <v>0.0</v>
      </c>
      <c r="M61" s="6">
        <v>0.0</v>
      </c>
      <c r="N61" s="6">
        <v>0.0</v>
      </c>
      <c r="O61" s="6">
        <v>0.0</v>
      </c>
      <c r="P61" s="6">
        <v>0.0</v>
      </c>
      <c r="Q61" s="6">
        <v>0.0</v>
      </c>
      <c r="R61" s="6">
        <v>0.0</v>
      </c>
      <c r="S61" s="6">
        <v>0.0</v>
      </c>
      <c r="T61" s="6">
        <v>0.0</v>
      </c>
      <c r="U61" s="6">
        <v>0.0</v>
      </c>
      <c r="V61" s="6">
        <v>0.0</v>
      </c>
      <c r="W61" s="6">
        <v>0.0</v>
      </c>
      <c r="X61" s="6">
        <v>0.0</v>
      </c>
      <c r="Y61" s="6">
        <v>0.0</v>
      </c>
      <c r="Z61" s="6">
        <v>0.0</v>
      </c>
      <c r="AA61" s="6">
        <v>0.0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</row>
    <row r="62">
      <c r="A62" s="5">
        <v>45180.0</v>
      </c>
      <c r="B62" s="6">
        <v>24.0</v>
      </c>
      <c r="C62" s="6">
        <v>86.0</v>
      </c>
      <c r="D62" s="6">
        <v>4.0</v>
      </c>
      <c r="E62" s="6">
        <v>1607.0</v>
      </c>
      <c r="F62" s="6">
        <v>67.0</v>
      </c>
      <c r="G62" s="6">
        <v>0.0</v>
      </c>
      <c r="H62" s="4"/>
      <c r="I62" s="6">
        <v>18.0</v>
      </c>
      <c r="J62" s="6">
        <v>3.0</v>
      </c>
      <c r="K62" s="6">
        <v>0.0</v>
      </c>
      <c r="L62" s="6">
        <v>0.0</v>
      </c>
      <c r="M62" s="6">
        <v>21.0</v>
      </c>
      <c r="N62" s="6">
        <v>15.0</v>
      </c>
      <c r="O62" s="6">
        <v>2.0</v>
      </c>
      <c r="P62" s="6">
        <v>7.0</v>
      </c>
      <c r="Q62" s="6">
        <v>9.0</v>
      </c>
      <c r="R62" s="6">
        <v>6.0</v>
      </c>
      <c r="S62" s="6">
        <v>6.0</v>
      </c>
      <c r="T62" s="6">
        <v>0.0</v>
      </c>
      <c r="U62" s="6">
        <v>0.0</v>
      </c>
      <c r="V62" s="6">
        <v>16.0</v>
      </c>
      <c r="W62" s="6">
        <v>0.0</v>
      </c>
      <c r="X62" s="6">
        <v>11.0</v>
      </c>
      <c r="Y62" s="6">
        <v>18.0</v>
      </c>
      <c r="Z62" s="6">
        <v>0.0</v>
      </c>
      <c r="AA62" s="6">
        <v>1.0</v>
      </c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</row>
    <row r="63">
      <c r="A63" s="5">
        <v>45181.0</v>
      </c>
      <c r="B63" s="6">
        <v>23.0</v>
      </c>
      <c r="C63" s="6">
        <v>89.0</v>
      </c>
      <c r="D63" s="6">
        <v>4.0</v>
      </c>
      <c r="E63" s="6">
        <v>1582.0</v>
      </c>
      <c r="F63" s="6">
        <v>69.0</v>
      </c>
      <c r="G63" s="6">
        <v>0.0</v>
      </c>
      <c r="H63" s="4"/>
      <c r="I63" s="6">
        <v>19.0</v>
      </c>
      <c r="J63" s="6">
        <v>2.0</v>
      </c>
      <c r="K63" s="6">
        <v>0.0</v>
      </c>
      <c r="L63" s="6">
        <v>0.0</v>
      </c>
      <c r="M63" s="6">
        <v>21.0</v>
      </c>
      <c r="N63" s="6">
        <v>13.0</v>
      </c>
      <c r="O63" s="6">
        <v>0.0</v>
      </c>
      <c r="P63" s="6">
        <v>10.0</v>
      </c>
      <c r="Q63" s="6">
        <v>7.0</v>
      </c>
      <c r="R63" s="6">
        <v>6.0</v>
      </c>
      <c r="S63" s="6">
        <v>7.0</v>
      </c>
      <c r="T63" s="6">
        <v>2.0</v>
      </c>
      <c r="U63" s="6">
        <v>0.0</v>
      </c>
      <c r="V63" s="6">
        <v>13.0</v>
      </c>
      <c r="W63" s="6">
        <v>0.0</v>
      </c>
      <c r="X63" s="6">
        <v>12.0</v>
      </c>
      <c r="Y63" s="6">
        <v>17.0</v>
      </c>
      <c r="Z63" s="6">
        <v>2.0</v>
      </c>
      <c r="AA63" s="6">
        <v>0.0</v>
      </c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</row>
    <row r="64">
      <c r="A64" s="5">
        <v>45182.0</v>
      </c>
      <c r="B64" s="6">
        <v>25.0</v>
      </c>
      <c r="C64" s="6">
        <v>115.0</v>
      </c>
      <c r="D64" s="6">
        <v>5.0</v>
      </c>
      <c r="E64" s="6">
        <v>2269.0</v>
      </c>
      <c r="F64" s="6">
        <v>91.0</v>
      </c>
      <c r="G64" s="6">
        <v>0.0</v>
      </c>
      <c r="H64" s="4"/>
      <c r="I64" s="6">
        <v>19.0</v>
      </c>
      <c r="J64" s="6">
        <v>3.0</v>
      </c>
      <c r="K64" s="6">
        <v>0.0</v>
      </c>
      <c r="L64" s="6">
        <v>0.0</v>
      </c>
      <c r="M64" s="6">
        <v>22.0</v>
      </c>
      <c r="N64" s="6">
        <v>20.0</v>
      </c>
      <c r="O64" s="6">
        <v>0.0</v>
      </c>
      <c r="P64" s="6">
        <v>5.0</v>
      </c>
      <c r="Q64" s="6">
        <v>10.0</v>
      </c>
      <c r="R64" s="6">
        <v>0.0</v>
      </c>
      <c r="S64" s="6">
        <v>26.0</v>
      </c>
      <c r="T64" s="6">
        <v>0.0</v>
      </c>
      <c r="U64" s="6">
        <v>0.0</v>
      </c>
      <c r="V64" s="6">
        <v>10.0</v>
      </c>
      <c r="W64" s="6">
        <v>0.0</v>
      </c>
      <c r="X64" s="6">
        <v>26.0</v>
      </c>
      <c r="Y64" s="6">
        <v>10.0</v>
      </c>
      <c r="Z64" s="6">
        <v>0.0</v>
      </c>
      <c r="AA64" s="6">
        <v>0.0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</row>
    <row r="65">
      <c r="A65" s="5">
        <v>45183.0</v>
      </c>
      <c r="B65" s="6">
        <v>33.0</v>
      </c>
      <c r="C65" s="6">
        <v>120.0</v>
      </c>
      <c r="D65" s="6">
        <v>4.0</v>
      </c>
      <c r="E65" s="6">
        <v>2154.0</v>
      </c>
      <c r="F65" s="6">
        <v>65.0</v>
      </c>
      <c r="G65" s="6">
        <v>0.0</v>
      </c>
      <c r="H65" s="4"/>
      <c r="I65" s="6">
        <v>19.0</v>
      </c>
      <c r="J65" s="6">
        <v>5.0</v>
      </c>
      <c r="K65" s="6">
        <v>0.0</v>
      </c>
      <c r="L65" s="6">
        <v>1.0</v>
      </c>
      <c r="M65" s="6">
        <v>25.0</v>
      </c>
      <c r="N65" s="6">
        <v>26.0</v>
      </c>
      <c r="O65" s="6">
        <v>0.0</v>
      </c>
      <c r="P65" s="6">
        <v>7.0</v>
      </c>
      <c r="Q65" s="6">
        <v>15.0</v>
      </c>
      <c r="R65" s="6">
        <v>6.0</v>
      </c>
      <c r="S65" s="6">
        <v>8.0</v>
      </c>
      <c r="T65" s="6">
        <v>1.0</v>
      </c>
      <c r="U65" s="6">
        <v>0.0</v>
      </c>
      <c r="V65" s="6">
        <v>21.0</v>
      </c>
      <c r="W65" s="6">
        <v>0.0</v>
      </c>
      <c r="X65" s="6">
        <v>19.0</v>
      </c>
      <c r="Y65" s="6">
        <v>23.0</v>
      </c>
      <c r="Z65" s="6">
        <v>1.0</v>
      </c>
      <c r="AA65" s="6">
        <v>0.0</v>
      </c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</row>
    <row r="66">
      <c r="A66" s="5">
        <v>45184.0</v>
      </c>
      <c r="B66" s="6">
        <v>40.0</v>
      </c>
      <c r="C66" s="6">
        <v>166.0</v>
      </c>
      <c r="D66" s="6">
        <v>4.0</v>
      </c>
      <c r="E66" s="6">
        <v>3056.0</v>
      </c>
      <c r="F66" s="6">
        <v>76.0</v>
      </c>
      <c r="G66" s="6">
        <v>0.0</v>
      </c>
      <c r="H66" s="4"/>
      <c r="I66" s="6">
        <v>23.0</v>
      </c>
      <c r="J66" s="6">
        <v>5.0</v>
      </c>
      <c r="K66" s="6">
        <v>1.0</v>
      </c>
      <c r="L66" s="6">
        <v>1.0</v>
      </c>
      <c r="M66" s="6">
        <v>30.0</v>
      </c>
      <c r="N66" s="6">
        <v>27.0</v>
      </c>
      <c r="O66" s="6">
        <v>1.0</v>
      </c>
      <c r="P66" s="6">
        <v>12.0</v>
      </c>
      <c r="Q66" s="6">
        <v>19.0</v>
      </c>
      <c r="R66" s="6">
        <v>6.0</v>
      </c>
      <c r="S66" s="6">
        <v>23.0</v>
      </c>
      <c r="T66" s="6">
        <v>0.0</v>
      </c>
      <c r="U66" s="6">
        <v>0.0</v>
      </c>
      <c r="V66" s="6">
        <v>26.0</v>
      </c>
      <c r="W66" s="6">
        <v>0.0</v>
      </c>
      <c r="X66" s="6">
        <v>30.0</v>
      </c>
      <c r="Y66" s="6">
        <v>27.0</v>
      </c>
      <c r="Z66" s="6">
        <v>0.0</v>
      </c>
      <c r="AA66" s="6">
        <v>1.0</v>
      </c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</row>
    <row r="67">
      <c r="A67" s="5">
        <v>45185.0</v>
      </c>
      <c r="B67" s="6">
        <v>19.0</v>
      </c>
      <c r="C67" s="6">
        <v>74.0</v>
      </c>
      <c r="D67" s="6">
        <v>4.0</v>
      </c>
      <c r="E67" s="6">
        <v>1362.0</v>
      </c>
      <c r="F67" s="6">
        <v>72.0</v>
      </c>
      <c r="G67" s="6">
        <v>0.0</v>
      </c>
      <c r="H67" s="4"/>
      <c r="I67" s="6">
        <v>13.0</v>
      </c>
      <c r="J67" s="6">
        <v>3.0</v>
      </c>
      <c r="K67" s="6">
        <v>0.0</v>
      </c>
      <c r="L67" s="6">
        <v>0.0</v>
      </c>
      <c r="M67" s="6">
        <v>16.0</v>
      </c>
      <c r="N67" s="6">
        <v>13.0</v>
      </c>
      <c r="O67" s="6">
        <v>0.0</v>
      </c>
      <c r="P67" s="6">
        <v>6.0</v>
      </c>
      <c r="Q67" s="6">
        <v>5.0</v>
      </c>
      <c r="R67" s="6">
        <v>1.0</v>
      </c>
      <c r="S67" s="6">
        <v>11.0</v>
      </c>
      <c r="T67" s="6">
        <v>0.0</v>
      </c>
      <c r="U67" s="6">
        <v>0.0</v>
      </c>
      <c r="V67" s="6">
        <v>6.0</v>
      </c>
      <c r="W67" s="6">
        <v>0.0</v>
      </c>
      <c r="X67" s="6">
        <v>16.0</v>
      </c>
      <c r="Y67" s="6">
        <v>9.0</v>
      </c>
      <c r="Z67" s="6">
        <v>0.0</v>
      </c>
      <c r="AA67" s="6">
        <v>0.0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</row>
    <row r="68">
      <c r="A68" s="5">
        <v>45186.0</v>
      </c>
      <c r="B68" s="6">
        <v>0.0</v>
      </c>
      <c r="C68" s="6">
        <v>0.0</v>
      </c>
      <c r="D68" s="6">
        <v>0.0</v>
      </c>
      <c r="E68" s="6">
        <v>0.0</v>
      </c>
      <c r="F68" s="6">
        <v>0.0</v>
      </c>
      <c r="G68" s="6">
        <v>0.0</v>
      </c>
      <c r="H68" s="4"/>
      <c r="I68" s="6">
        <v>0.0</v>
      </c>
      <c r="J68" s="6">
        <v>0.0</v>
      </c>
      <c r="K68" s="6">
        <v>0.0</v>
      </c>
      <c r="L68" s="6">
        <v>0.0</v>
      </c>
      <c r="M68" s="6">
        <v>0.0</v>
      </c>
      <c r="N68" s="6">
        <v>0.0</v>
      </c>
      <c r="O68" s="6">
        <v>0.0</v>
      </c>
      <c r="P68" s="6">
        <v>0.0</v>
      </c>
      <c r="Q68" s="6">
        <v>0.0</v>
      </c>
      <c r="R68" s="6">
        <v>0.0</v>
      </c>
      <c r="S68" s="6">
        <v>0.0</v>
      </c>
      <c r="T68" s="6">
        <v>0.0</v>
      </c>
      <c r="U68" s="6">
        <v>0.0</v>
      </c>
      <c r="V68" s="6">
        <v>0.0</v>
      </c>
      <c r="W68" s="6">
        <v>0.0</v>
      </c>
      <c r="X68" s="6">
        <v>0.0</v>
      </c>
      <c r="Y68" s="6">
        <v>0.0</v>
      </c>
      <c r="Z68" s="6">
        <v>0.0</v>
      </c>
      <c r="AA68" s="6">
        <v>0.0</v>
      </c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</row>
    <row r="69">
      <c r="A69" s="5">
        <v>45187.0</v>
      </c>
      <c r="B69" s="6">
        <v>24.0</v>
      </c>
      <c r="C69" s="6">
        <v>103.0</v>
      </c>
      <c r="D69" s="6">
        <v>4.0</v>
      </c>
      <c r="E69" s="6">
        <v>2088.0</v>
      </c>
      <c r="F69" s="6">
        <v>87.0</v>
      </c>
      <c r="G69" s="6">
        <v>0.0</v>
      </c>
      <c r="H69" s="4"/>
      <c r="I69" s="6">
        <v>15.0</v>
      </c>
      <c r="J69" s="6">
        <v>3.0</v>
      </c>
      <c r="K69" s="6">
        <v>1.0</v>
      </c>
      <c r="L69" s="6">
        <v>0.0</v>
      </c>
      <c r="M69" s="6">
        <v>19.0</v>
      </c>
      <c r="N69" s="6">
        <v>15.0</v>
      </c>
      <c r="O69" s="6">
        <v>0.0</v>
      </c>
      <c r="P69" s="6">
        <v>9.0</v>
      </c>
      <c r="Q69" s="6">
        <v>8.0</v>
      </c>
      <c r="R69" s="6">
        <v>6.0</v>
      </c>
      <c r="S69" s="6">
        <v>17.0</v>
      </c>
      <c r="T69" s="6">
        <v>0.0</v>
      </c>
      <c r="U69" s="6">
        <v>0.0</v>
      </c>
      <c r="V69" s="6">
        <v>14.0</v>
      </c>
      <c r="W69" s="6">
        <v>0.0</v>
      </c>
      <c r="X69" s="6">
        <v>21.0</v>
      </c>
      <c r="Y69" s="6">
        <v>16.0</v>
      </c>
      <c r="Z69" s="6">
        <v>0.0</v>
      </c>
      <c r="AA69" s="6">
        <v>0.0</v>
      </c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</row>
    <row r="70">
      <c r="A70" s="5">
        <v>45188.0</v>
      </c>
      <c r="B70" s="6">
        <v>23.0</v>
      </c>
      <c r="C70" s="6">
        <v>86.0</v>
      </c>
      <c r="D70" s="6">
        <v>4.0</v>
      </c>
      <c r="E70" s="6">
        <v>1632.0</v>
      </c>
      <c r="F70" s="6">
        <v>71.0</v>
      </c>
      <c r="G70" s="6">
        <v>0.0</v>
      </c>
      <c r="H70" s="4"/>
      <c r="I70" s="6">
        <v>18.0</v>
      </c>
      <c r="J70" s="6">
        <v>1.0</v>
      </c>
      <c r="K70" s="6">
        <v>1.0</v>
      </c>
      <c r="L70" s="6">
        <v>0.0</v>
      </c>
      <c r="M70" s="6">
        <v>20.0</v>
      </c>
      <c r="N70" s="6">
        <v>16.0</v>
      </c>
      <c r="O70" s="6">
        <v>1.0</v>
      </c>
      <c r="P70" s="6">
        <v>6.0</v>
      </c>
      <c r="Q70" s="6">
        <v>5.0</v>
      </c>
      <c r="R70" s="6">
        <v>5.0</v>
      </c>
      <c r="S70" s="6">
        <v>4.0</v>
      </c>
      <c r="T70" s="6">
        <v>0.0</v>
      </c>
      <c r="U70" s="6">
        <v>1.0</v>
      </c>
      <c r="V70" s="6">
        <v>10.0</v>
      </c>
      <c r="W70" s="6">
        <v>1.0</v>
      </c>
      <c r="X70" s="6">
        <v>21.0</v>
      </c>
      <c r="Y70" s="6">
        <v>13.0</v>
      </c>
      <c r="Z70" s="6">
        <v>2.0</v>
      </c>
      <c r="AA70" s="6">
        <v>0.0</v>
      </c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</row>
    <row r="71">
      <c r="A71" s="5">
        <v>45189.0</v>
      </c>
      <c r="B71" s="6">
        <v>14.0</v>
      </c>
      <c r="C71" s="6">
        <v>54.0</v>
      </c>
      <c r="D71" s="6">
        <v>4.0</v>
      </c>
      <c r="E71" s="6">
        <v>976.0</v>
      </c>
      <c r="F71" s="6">
        <v>70.0</v>
      </c>
      <c r="G71" s="6">
        <v>0.0</v>
      </c>
      <c r="H71" s="4"/>
      <c r="I71" s="6">
        <v>12.0</v>
      </c>
      <c r="J71" s="6">
        <v>1.0</v>
      </c>
      <c r="K71" s="6">
        <v>0.0</v>
      </c>
      <c r="L71" s="6">
        <v>0.0</v>
      </c>
      <c r="M71" s="6">
        <v>13.0</v>
      </c>
      <c r="N71" s="6">
        <v>8.0</v>
      </c>
      <c r="O71" s="6">
        <v>0.0</v>
      </c>
      <c r="P71" s="6">
        <v>6.0</v>
      </c>
      <c r="Q71" s="6">
        <v>1.0</v>
      </c>
      <c r="R71" s="6">
        <v>3.0</v>
      </c>
      <c r="S71" s="6">
        <v>8.0</v>
      </c>
      <c r="T71" s="6">
        <v>0.0</v>
      </c>
      <c r="U71" s="6">
        <v>0.0</v>
      </c>
      <c r="V71" s="6">
        <v>4.0</v>
      </c>
      <c r="W71" s="6">
        <v>0.0</v>
      </c>
      <c r="X71" s="6">
        <v>13.0</v>
      </c>
      <c r="Y71" s="6">
        <v>4.0</v>
      </c>
      <c r="Z71" s="6">
        <v>0.0</v>
      </c>
      <c r="AA71" s="6">
        <v>0.0</v>
      </c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</row>
    <row r="72">
      <c r="A72" s="5">
        <v>45190.0</v>
      </c>
      <c r="B72" s="6">
        <v>19.0</v>
      </c>
      <c r="C72" s="6">
        <v>65.0</v>
      </c>
      <c r="D72" s="6">
        <v>3.0</v>
      </c>
      <c r="E72" s="6">
        <v>1139.0</v>
      </c>
      <c r="F72" s="6">
        <v>60.0</v>
      </c>
      <c r="G72" s="6">
        <v>0.0</v>
      </c>
      <c r="H72" s="4"/>
      <c r="I72" s="6">
        <v>13.0</v>
      </c>
      <c r="J72" s="6">
        <v>3.0</v>
      </c>
      <c r="K72" s="6">
        <v>0.0</v>
      </c>
      <c r="L72" s="6">
        <v>0.0</v>
      </c>
      <c r="M72" s="6">
        <v>16.0</v>
      </c>
      <c r="N72" s="6">
        <v>11.0</v>
      </c>
      <c r="O72" s="6">
        <v>0.0</v>
      </c>
      <c r="P72" s="6">
        <v>8.0</v>
      </c>
      <c r="Q72" s="6">
        <v>5.0</v>
      </c>
      <c r="R72" s="6">
        <v>7.0</v>
      </c>
      <c r="S72" s="6">
        <v>7.0</v>
      </c>
      <c r="T72" s="6">
        <v>0.0</v>
      </c>
      <c r="U72" s="6">
        <v>0.0</v>
      </c>
      <c r="V72" s="6">
        <v>12.0</v>
      </c>
      <c r="W72" s="6">
        <v>0.0</v>
      </c>
      <c r="X72" s="6">
        <v>7.0</v>
      </c>
      <c r="Y72" s="6">
        <v>12.0</v>
      </c>
      <c r="Z72" s="6">
        <v>0.0</v>
      </c>
      <c r="AA72" s="6">
        <v>0.0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</row>
    <row r="73">
      <c r="A73" s="5">
        <v>45191.0</v>
      </c>
      <c r="B73" s="6">
        <v>24.0</v>
      </c>
      <c r="C73" s="6">
        <v>91.0</v>
      </c>
      <c r="D73" s="6">
        <v>4.0</v>
      </c>
      <c r="E73" s="6">
        <v>1609.0</v>
      </c>
      <c r="F73" s="6">
        <v>67.0</v>
      </c>
      <c r="G73" s="6">
        <v>0.0</v>
      </c>
      <c r="H73" s="4"/>
      <c r="I73" s="6">
        <v>22.0</v>
      </c>
      <c r="J73" s="6">
        <v>1.0</v>
      </c>
      <c r="K73" s="6">
        <v>0.0</v>
      </c>
      <c r="L73" s="6">
        <v>0.0</v>
      </c>
      <c r="M73" s="6">
        <v>23.0</v>
      </c>
      <c r="N73" s="6">
        <v>20.0</v>
      </c>
      <c r="O73" s="6">
        <v>0.0</v>
      </c>
      <c r="P73" s="6">
        <v>4.0</v>
      </c>
      <c r="Q73" s="6">
        <v>8.0</v>
      </c>
      <c r="R73" s="6">
        <v>4.0</v>
      </c>
      <c r="S73" s="6">
        <v>13.0</v>
      </c>
      <c r="T73" s="6">
        <v>2.0</v>
      </c>
      <c r="U73" s="6">
        <v>0.0</v>
      </c>
      <c r="V73" s="6">
        <v>12.0</v>
      </c>
      <c r="W73" s="6">
        <v>0.0</v>
      </c>
      <c r="X73" s="6">
        <v>13.0</v>
      </c>
      <c r="Y73" s="6">
        <v>14.0</v>
      </c>
      <c r="Z73" s="6">
        <v>2.0</v>
      </c>
      <c r="AA73" s="6">
        <v>0.0</v>
      </c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</row>
    <row r="74">
      <c r="A74" s="5">
        <v>45192.0</v>
      </c>
      <c r="B74" s="6">
        <v>6.0</v>
      </c>
      <c r="C74" s="6">
        <v>20.0</v>
      </c>
      <c r="D74" s="6">
        <v>3.0</v>
      </c>
      <c r="E74" s="6">
        <v>300.0</v>
      </c>
      <c r="F74" s="6">
        <v>50.0</v>
      </c>
      <c r="G74" s="6">
        <v>0.0</v>
      </c>
      <c r="H74" s="4"/>
      <c r="I74" s="6">
        <v>6.0</v>
      </c>
      <c r="J74" s="6">
        <v>0.0</v>
      </c>
      <c r="K74" s="6">
        <v>0.0</v>
      </c>
      <c r="L74" s="6">
        <v>0.0</v>
      </c>
      <c r="M74" s="6">
        <v>6.0</v>
      </c>
      <c r="N74" s="6">
        <v>5.0</v>
      </c>
      <c r="O74" s="6">
        <v>0.0</v>
      </c>
      <c r="P74" s="6">
        <v>1.0</v>
      </c>
      <c r="Q74" s="6">
        <v>3.0</v>
      </c>
      <c r="R74" s="6">
        <v>0.0</v>
      </c>
      <c r="S74" s="6">
        <v>4.0</v>
      </c>
      <c r="T74" s="6">
        <v>0.0</v>
      </c>
      <c r="U74" s="6">
        <v>0.0</v>
      </c>
      <c r="V74" s="6">
        <v>3.0</v>
      </c>
      <c r="W74" s="6">
        <v>0.0</v>
      </c>
      <c r="X74" s="6">
        <v>1.0</v>
      </c>
      <c r="Y74" s="6">
        <v>3.0</v>
      </c>
      <c r="Z74" s="6">
        <v>0.0</v>
      </c>
      <c r="AA74" s="6">
        <v>0.0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</row>
    <row r="75">
      <c r="A75" s="5">
        <v>45193.0</v>
      </c>
      <c r="B75" s="6">
        <v>0.0</v>
      </c>
      <c r="C75" s="6">
        <v>0.0</v>
      </c>
      <c r="D75" s="6">
        <v>0.0</v>
      </c>
      <c r="E75" s="6">
        <v>0.0</v>
      </c>
      <c r="F75" s="6">
        <v>0.0</v>
      </c>
      <c r="G75" s="6">
        <v>0.0</v>
      </c>
      <c r="H75" s="4"/>
      <c r="I75" s="6">
        <v>0.0</v>
      </c>
      <c r="J75" s="6">
        <v>0.0</v>
      </c>
      <c r="K75" s="6">
        <v>0.0</v>
      </c>
      <c r="L75" s="6">
        <v>0.0</v>
      </c>
      <c r="M75" s="6">
        <v>0.0</v>
      </c>
      <c r="N75" s="6">
        <v>0.0</v>
      </c>
      <c r="O75" s="6">
        <v>0.0</v>
      </c>
      <c r="P75" s="6">
        <v>0.0</v>
      </c>
      <c r="Q75" s="6">
        <v>0.0</v>
      </c>
      <c r="R75" s="6">
        <v>0.0</v>
      </c>
      <c r="S75" s="6">
        <v>0.0</v>
      </c>
      <c r="T75" s="6">
        <v>0.0</v>
      </c>
      <c r="U75" s="6">
        <v>0.0</v>
      </c>
      <c r="V75" s="6">
        <v>0.0</v>
      </c>
      <c r="W75" s="6">
        <v>0.0</v>
      </c>
      <c r="X75" s="6">
        <v>0.0</v>
      </c>
      <c r="Y75" s="6">
        <v>0.0</v>
      </c>
      <c r="Z75" s="6">
        <v>0.0</v>
      </c>
      <c r="AA75" s="6">
        <v>0.0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</row>
    <row r="76">
      <c r="A76" s="5">
        <v>45194.0</v>
      </c>
      <c r="B76" s="6">
        <v>29.0</v>
      </c>
      <c r="C76" s="6">
        <v>121.0</v>
      </c>
      <c r="D76" s="6">
        <v>4.0</v>
      </c>
      <c r="E76" s="6">
        <v>2297.0</v>
      </c>
      <c r="F76" s="6">
        <v>79.0</v>
      </c>
      <c r="G76" s="6">
        <v>0.0</v>
      </c>
      <c r="H76" s="4"/>
      <c r="I76" s="6">
        <v>17.0</v>
      </c>
      <c r="J76" s="6">
        <v>4.0</v>
      </c>
      <c r="K76" s="6">
        <v>0.0</v>
      </c>
      <c r="L76" s="6">
        <v>1.0</v>
      </c>
      <c r="M76" s="6">
        <v>22.0</v>
      </c>
      <c r="N76" s="6">
        <v>24.0</v>
      </c>
      <c r="O76" s="6">
        <v>0.0</v>
      </c>
      <c r="P76" s="6">
        <v>5.0</v>
      </c>
      <c r="Q76" s="6">
        <v>13.0</v>
      </c>
      <c r="R76" s="6">
        <v>4.0</v>
      </c>
      <c r="S76" s="6">
        <v>20.0</v>
      </c>
      <c r="T76" s="6">
        <v>1.0</v>
      </c>
      <c r="U76" s="6">
        <v>0.0</v>
      </c>
      <c r="V76" s="6">
        <v>17.0</v>
      </c>
      <c r="W76" s="6">
        <v>0.0</v>
      </c>
      <c r="X76" s="6">
        <v>21.0</v>
      </c>
      <c r="Y76" s="6">
        <v>19.0</v>
      </c>
      <c r="Z76" s="6">
        <v>1.0</v>
      </c>
      <c r="AA76" s="6">
        <v>0.0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</row>
    <row r="77">
      <c r="A77" s="5">
        <v>45195.0</v>
      </c>
      <c r="B77" s="6">
        <v>17.0</v>
      </c>
      <c r="C77" s="6">
        <v>83.0</v>
      </c>
      <c r="D77" s="6">
        <v>5.0</v>
      </c>
      <c r="E77" s="6">
        <v>1712.0</v>
      </c>
      <c r="F77" s="6">
        <v>101.0</v>
      </c>
      <c r="G77" s="6">
        <v>0.0</v>
      </c>
      <c r="H77" s="4"/>
      <c r="I77" s="6">
        <v>15.0</v>
      </c>
      <c r="J77" s="6">
        <v>1.0</v>
      </c>
      <c r="K77" s="6">
        <v>0.0</v>
      </c>
      <c r="L77" s="6">
        <v>0.0</v>
      </c>
      <c r="M77" s="6">
        <v>16.0</v>
      </c>
      <c r="N77" s="6">
        <v>11.0</v>
      </c>
      <c r="O77" s="6">
        <v>0.0</v>
      </c>
      <c r="P77" s="6">
        <v>6.0</v>
      </c>
      <c r="Q77" s="6">
        <v>3.0</v>
      </c>
      <c r="R77" s="6">
        <v>5.0</v>
      </c>
      <c r="S77" s="6">
        <v>11.0</v>
      </c>
      <c r="T77" s="6">
        <v>0.0</v>
      </c>
      <c r="U77" s="6">
        <v>0.0</v>
      </c>
      <c r="V77" s="6">
        <v>8.0</v>
      </c>
      <c r="W77" s="6">
        <v>0.0</v>
      </c>
      <c r="X77" s="6">
        <v>25.0</v>
      </c>
      <c r="Y77" s="6">
        <v>11.0</v>
      </c>
      <c r="Z77" s="6">
        <v>0.0</v>
      </c>
      <c r="AA77" s="6">
        <v>0.0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</row>
    <row r="78">
      <c r="A78" s="5">
        <v>45196.0</v>
      </c>
      <c r="B78" s="6">
        <v>34.0</v>
      </c>
      <c r="C78" s="6">
        <v>124.0</v>
      </c>
      <c r="D78" s="6">
        <v>4.0</v>
      </c>
      <c r="E78" s="6">
        <v>2045.0</v>
      </c>
      <c r="F78" s="6">
        <v>60.0</v>
      </c>
      <c r="G78" s="6">
        <v>0.0</v>
      </c>
      <c r="H78" s="4"/>
      <c r="I78" s="6">
        <v>25.0</v>
      </c>
      <c r="J78" s="6">
        <v>3.0</v>
      </c>
      <c r="K78" s="6">
        <v>1.0</v>
      </c>
      <c r="L78" s="6">
        <v>0.0</v>
      </c>
      <c r="M78" s="6">
        <v>29.0</v>
      </c>
      <c r="N78" s="6">
        <v>28.0</v>
      </c>
      <c r="O78" s="6">
        <v>2.0</v>
      </c>
      <c r="P78" s="6">
        <v>4.0</v>
      </c>
      <c r="Q78" s="6">
        <v>13.0</v>
      </c>
      <c r="R78" s="6">
        <v>4.0</v>
      </c>
      <c r="S78" s="6">
        <v>13.0</v>
      </c>
      <c r="T78" s="6">
        <v>3.0</v>
      </c>
      <c r="U78" s="6">
        <v>1.0</v>
      </c>
      <c r="V78" s="6">
        <v>18.0</v>
      </c>
      <c r="W78" s="6">
        <v>0.0</v>
      </c>
      <c r="X78" s="6">
        <v>12.0</v>
      </c>
      <c r="Y78" s="6">
        <v>24.0</v>
      </c>
      <c r="Z78" s="6">
        <v>4.0</v>
      </c>
      <c r="AA78" s="6">
        <v>1.0</v>
      </c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</row>
    <row r="79">
      <c r="A79" s="5">
        <v>45197.0</v>
      </c>
      <c r="B79" s="6">
        <v>43.0</v>
      </c>
      <c r="C79" s="6">
        <v>154.0</v>
      </c>
      <c r="D79" s="6">
        <v>4.0</v>
      </c>
      <c r="E79" s="6">
        <v>2647.0</v>
      </c>
      <c r="F79" s="6">
        <v>62.0</v>
      </c>
      <c r="G79" s="6">
        <v>0.0</v>
      </c>
      <c r="H79" s="4"/>
      <c r="I79" s="6">
        <v>26.0</v>
      </c>
      <c r="J79" s="6">
        <v>7.0</v>
      </c>
      <c r="K79" s="6">
        <v>1.0</v>
      </c>
      <c r="L79" s="6">
        <v>0.0</v>
      </c>
      <c r="M79" s="6">
        <v>34.0</v>
      </c>
      <c r="N79" s="6">
        <v>33.0</v>
      </c>
      <c r="O79" s="6">
        <v>3.0</v>
      </c>
      <c r="P79" s="6">
        <v>7.0</v>
      </c>
      <c r="Q79" s="6">
        <v>16.0</v>
      </c>
      <c r="R79" s="6">
        <v>2.0</v>
      </c>
      <c r="S79" s="6">
        <v>20.0</v>
      </c>
      <c r="T79" s="6">
        <v>1.0</v>
      </c>
      <c r="U79" s="6">
        <v>0.0</v>
      </c>
      <c r="V79" s="6">
        <v>21.0</v>
      </c>
      <c r="W79" s="6">
        <v>0.0</v>
      </c>
      <c r="X79" s="6">
        <v>17.0</v>
      </c>
      <c r="Y79" s="6">
        <v>28.0</v>
      </c>
      <c r="Z79" s="6">
        <v>1.0</v>
      </c>
      <c r="AA79" s="6">
        <v>3.0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</row>
    <row r="80">
      <c r="A80" s="5">
        <v>45198.0</v>
      </c>
      <c r="B80" s="6">
        <v>43.0</v>
      </c>
      <c r="C80" s="6">
        <v>167.0</v>
      </c>
      <c r="D80" s="6">
        <v>4.0</v>
      </c>
      <c r="E80" s="6">
        <v>2514.0</v>
      </c>
      <c r="F80" s="6">
        <v>58.0</v>
      </c>
      <c r="G80" s="6">
        <v>0.0</v>
      </c>
      <c r="H80" s="4"/>
      <c r="I80" s="6">
        <v>18.0</v>
      </c>
      <c r="J80" s="6">
        <v>8.0</v>
      </c>
      <c r="K80" s="6">
        <v>1.0</v>
      </c>
      <c r="L80" s="6">
        <v>1.0</v>
      </c>
      <c r="M80" s="6">
        <v>28.0</v>
      </c>
      <c r="N80" s="6">
        <v>32.0</v>
      </c>
      <c r="O80" s="6">
        <v>6.0</v>
      </c>
      <c r="P80" s="6">
        <v>5.0</v>
      </c>
      <c r="Q80" s="6">
        <v>16.0</v>
      </c>
      <c r="R80" s="6">
        <v>2.0</v>
      </c>
      <c r="S80" s="6">
        <v>18.0</v>
      </c>
      <c r="T80" s="6">
        <v>1.0</v>
      </c>
      <c r="U80" s="6">
        <v>0.0</v>
      </c>
      <c r="V80" s="6">
        <v>23.0</v>
      </c>
      <c r="W80" s="6">
        <v>0.0</v>
      </c>
      <c r="X80" s="6">
        <v>17.0</v>
      </c>
      <c r="Y80" s="6">
        <v>27.0</v>
      </c>
      <c r="Z80" s="6">
        <v>1.0</v>
      </c>
      <c r="AA80" s="6">
        <v>5.0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</row>
    <row r="81">
      <c r="A81" s="5">
        <v>45199.0</v>
      </c>
      <c r="B81" s="6">
        <v>22.0</v>
      </c>
      <c r="C81" s="6">
        <v>97.0</v>
      </c>
      <c r="D81" s="6">
        <v>4.0</v>
      </c>
      <c r="E81" s="6">
        <v>1413.0</v>
      </c>
      <c r="F81" s="6">
        <v>64.0</v>
      </c>
      <c r="G81" s="6">
        <v>0.0</v>
      </c>
      <c r="H81" s="4"/>
      <c r="I81" s="6">
        <v>12.0</v>
      </c>
      <c r="J81" s="6">
        <v>5.0</v>
      </c>
      <c r="K81" s="6">
        <v>0.0</v>
      </c>
      <c r="L81" s="6">
        <v>0.0</v>
      </c>
      <c r="M81" s="6">
        <v>17.0</v>
      </c>
      <c r="N81" s="6">
        <v>18.0</v>
      </c>
      <c r="O81" s="6">
        <v>2.0</v>
      </c>
      <c r="P81" s="6">
        <v>2.0</v>
      </c>
      <c r="Q81" s="6">
        <v>7.0</v>
      </c>
      <c r="R81" s="6">
        <v>1.0</v>
      </c>
      <c r="S81" s="6">
        <v>20.0</v>
      </c>
      <c r="T81" s="6">
        <v>2.0</v>
      </c>
      <c r="U81" s="6">
        <v>0.0</v>
      </c>
      <c r="V81" s="6">
        <v>10.0</v>
      </c>
      <c r="W81" s="6">
        <v>0.0</v>
      </c>
      <c r="X81" s="6">
        <v>14.0</v>
      </c>
      <c r="Y81" s="6">
        <v>13.0</v>
      </c>
      <c r="Z81" s="6">
        <v>2.0</v>
      </c>
      <c r="AA81" s="6">
        <v>2.0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</row>
    <row r="82">
      <c r="A82" s="5">
        <v>45200.0</v>
      </c>
      <c r="B82" s="6">
        <v>0.0</v>
      </c>
      <c r="C82" s="6">
        <v>0.0</v>
      </c>
      <c r="D82" s="6">
        <v>0.0</v>
      </c>
      <c r="E82" s="6">
        <v>0.0</v>
      </c>
      <c r="F82" s="6">
        <v>0.0</v>
      </c>
      <c r="G82" s="6">
        <v>0.0</v>
      </c>
      <c r="H82" s="4"/>
      <c r="I82" s="6">
        <v>0.0</v>
      </c>
      <c r="J82" s="6">
        <v>0.0</v>
      </c>
      <c r="K82" s="6">
        <v>0.0</v>
      </c>
      <c r="L82" s="6">
        <v>0.0</v>
      </c>
      <c r="M82" s="6">
        <v>0.0</v>
      </c>
      <c r="N82" s="6">
        <v>0.0</v>
      </c>
      <c r="O82" s="6">
        <v>0.0</v>
      </c>
      <c r="P82" s="6">
        <v>0.0</v>
      </c>
      <c r="Q82" s="6">
        <v>0.0</v>
      </c>
      <c r="R82" s="6">
        <v>0.0</v>
      </c>
      <c r="S82" s="6">
        <v>0.0</v>
      </c>
      <c r="T82" s="6">
        <v>0.0</v>
      </c>
      <c r="U82" s="6">
        <v>0.0</v>
      </c>
      <c r="V82" s="6">
        <v>0.0</v>
      </c>
      <c r="W82" s="6">
        <v>0.0</v>
      </c>
      <c r="X82" s="6">
        <v>0.0</v>
      </c>
      <c r="Y82" s="6">
        <v>0.0</v>
      </c>
      <c r="Z82" s="6">
        <v>0.0</v>
      </c>
      <c r="AA82" s="6">
        <v>0.0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</row>
    <row r="83">
      <c r="A83" s="5">
        <v>45201.0</v>
      </c>
      <c r="B83" s="6">
        <v>45.0</v>
      </c>
      <c r="C83" s="6">
        <v>181.0</v>
      </c>
      <c r="D83" s="6">
        <v>4.0</v>
      </c>
      <c r="E83" s="6">
        <v>3329.0</v>
      </c>
      <c r="F83" s="6">
        <v>74.0</v>
      </c>
      <c r="G83" s="6">
        <v>0.0</v>
      </c>
      <c r="H83" s="4"/>
      <c r="I83" s="6">
        <v>23.0</v>
      </c>
      <c r="J83" s="6">
        <v>3.0</v>
      </c>
      <c r="K83" s="6">
        <v>0.0</v>
      </c>
      <c r="L83" s="6">
        <v>1.0</v>
      </c>
      <c r="M83" s="6">
        <v>29.0</v>
      </c>
      <c r="N83" s="6">
        <v>34.0</v>
      </c>
      <c r="O83" s="6">
        <v>4.0</v>
      </c>
      <c r="P83" s="6">
        <v>7.0</v>
      </c>
      <c r="Q83" s="6">
        <v>25.0</v>
      </c>
      <c r="R83" s="6">
        <v>5.0</v>
      </c>
      <c r="S83" s="6">
        <v>14.0</v>
      </c>
      <c r="T83" s="6">
        <v>0.0</v>
      </c>
      <c r="U83" s="6">
        <v>0.0</v>
      </c>
      <c r="V83" s="6">
        <v>34.0</v>
      </c>
      <c r="W83" s="6">
        <v>1.0</v>
      </c>
      <c r="X83" s="6">
        <v>35.0</v>
      </c>
      <c r="Y83" s="6">
        <v>38.0</v>
      </c>
      <c r="Z83" s="6">
        <v>1.0</v>
      </c>
      <c r="AA83" s="6">
        <v>4.0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</row>
    <row r="84">
      <c r="A84" s="5">
        <v>45202.0</v>
      </c>
      <c r="B84" s="6">
        <v>27.0</v>
      </c>
      <c r="C84" s="6">
        <v>94.0</v>
      </c>
      <c r="D84" s="6">
        <v>3.0</v>
      </c>
      <c r="E84" s="6">
        <v>1595.0</v>
      </c>
      <c r="F84" s="6">
        <v>59.0</v>
      </c>
      <c r="G84" s="6">
        <v>0.0</v>
      </c>
      <c r="H84" s="4"/>
      <c r="I84" s="6">
        <v>17.0</v>
      </c>
      <c r="J84" s="6">
        <v>5.0</v>
      </c>
      <c r="K84" s="6">
        <v>0.0</v>
      </c>
      <c r="L84" s="6">
        <v>0.0</v>
      </c>
      <c r="M84" s="6">
        <v>22.0</v>
      </c>
      <c r="N84" s="6">
        <v>22.0</v>
      </c>
      <c r="O84" s="6">
        <v>2.0</v>
      </c>
      <c r="P84" s="6">
        <v>3.0</v>
      </c>
      <c r="Q84" s="6">
        <v>11.0</v>
      </c>
      <c r="R84" s="6">
        <v>1.0</v>
      </c>
      <c r="S84" s="6">
        <v>8.0</v>
      </c>
      <c r="T84" s="6">
        <v>1.0</v>
      </c>
      <c r="U84" s="6">
        <v>0.0</v>
      </c>
      <c r="V84" s="6">
        <v>14.0</v>
      </c>
      <c r="W84" s="6">
        <v>0.0</v>
      </c>
      <c r="X84" s="6">
        <v>12.0</v>
      </c>
      <c r="Y84" s="6">
        <v>17.0</v>
      </c>
      <c r="Z84" s="6">
        <v>1.0</v>
      </c>
      <c r="AA84" s="6">
        <v>2.0</v>
      </c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</row>
    <row r="85">
      <c r="A85" s="5">
        <v>45203.0</v>
      </c>
      <c r="B85" s="6">
        <v>29.0</v>
      </c>
      <c r="C85" s="6">
        <v>148.0</v>
      </c>
      <c r="D85" s="6">
        <v>5.0</v>
      </c>
      <c r="E85" s="6">
        <v>2608.0</v>
      </c>
      <c r="F85" s="6">
        <v>90.0</v>
      </c>
      <c r="G85" s="6">
        <v>0.0</v>
      </c>
      <c r="H85" s="4"/>
      <c r="I85" s="6">
        <v>18.0</v>
      </c>
      <c r="J85" s="6">
        <v>2.0</v>
      </c>
      <c r="K85" s="6">
        <v>1.0</v>
      </c>
      <c r="L85" s="6">
        <v>1.0</v>
      </c>
      <c r="M85" s="6">
        <v>22.0</v>
      </c>
      <c r="N85" s="6">
        <v>22.0</v>
      </c>
      <c r="O85" s="6">
        <v>0.0</v>
      </c>
      <c r="P85" s="6">
        <v>7.0</v>
      </c>
      <c r="Q85" s="6">
        <v>12.0</v>
      </c>
      <c r="R85" s="6">
        <v>2.0</v>
      </c>
      <c r="S85" s="6">
        <v>20.0</v>
      </c>
      <c r="T85" s="6">
        <v>0.0</v>
      </c>
      <c r="U85" s="6">
        <v>0.0</v>
      </c>
      <c r="V85" s="6">
        <v>14.0</v>
      </c>
      <c r="W85" s="6">
        <v>0.0</v>
      </c>
      <c r="X85" s="6">
        <v>32.0</v>
      </c>
      <c r="Y85" s="6">
        <v>19.0</v>
      </c>
      <c r="Z85" s="6">
        <v>0.0</v>
      </c>
      <c r="AA85" s="6">
        <v>0.0</v>
      </c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</row>
    <row r="86">
      <c r="A86" s="5">
        <v>45204.0</v>
      </c>
      <c r="B86" s="6">
        <v>23.0</v>
      </c>
      <c r="C86" s="6">
        <v>82.0</v>
      </c>
      <c r="D86" s="6">
        <v>4.0</v>
      </c>
      <c r="E86" s="6">
        <v>1328.0</v>
      </c>
      <c r="F86" s="6">
        <v>58.0</v>
      </c>
      <c r="G86" s="6">
        <v>0.0</v>
      </c>
      <c r="H86" s="4"/>
      <c r="I86" s="6">
        <v>15.0</v>
      </c>
      <c r="J86" s="6">
        <v>4.0</v>
      </c>
      <c r="K86" s="6">
        <v>0.0</v>
      </c>
      <c r="L86" s="6">
        <v>0.0</v>
      </c>
      <c r="M86" s="6">
        <v>19.0</v>
      </c>
      <c r="N86" s="6">
        <v>21.0</v>
      </c>
      <c r="O86" s="6">
        <v>0.0</v>
      </c>
      <c r="P86" s="6">
        <v>2.0</v>
      </c>
      <c r="Q86" s="6">
        <v>12.0</v>
      </c>
      <c r="R86" s="6">
        <v>2.0</v>
      </c>
      <c r="S86" s="6">
        <v>4.0</v>
      </c>
      <c r="T86" s="6">
        <v>0.0</v>
      </c>
      <c r="U86" s="6">
        <v>0.0</v>
      </c>
      <c r="V86" s="6">
        <v>14.0</v>
      </c>
      <c r="W86" s="6">
        <v>0.0</v>
      </c>
      <c r="X86" s="6">
        <v>10.0</v>
      </c>
      <c r="Y86" s="6">
        <v>15.0</v>
      </c>
      <c r="Z86" s="6">
        <v>0.0</v>
      </c>
      <c r="AA86" s="6">
        <v>0.0</v>
      </c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</row>
    <row r="87">
      <c r="A87" s="5">
        <v>45205.0</v>
      </c>
      <c r="B87" s="6">
        <v>30.0</v>
      </c>
      <c r="C87" s="6">
        <v>109.0</v>
      </c>
      <c r="D87" s="6">
        <v>4.0</v>
      </c>
      <c r="E87" s="6">
        <v>1807.0</v>
      </c>
      <c r="F87" s="6">
        <v>60.0</v>
      </c>
      <c r="G87" s="6">
        <v>0.0</v>
      </c>
      <c r="H87" s="4"/>
      <c r="I87" s="6">
        <v>17.0</v>
      </c>
      <c r="J87" s="6">
        <v>1.0</v>
      </c>
      <c r="K87" s="6">
        <v>2.0</v>
      </c>
      <c r="L87" s="6">
        <v>1.0</v>
      </c>
      <c r="M87" s="6">
        <v>21.0</v>
      </c>
      <c r="N87" s="6">
        <v>23.0</v>
      </c>
      <c r="O87" s="6">
        <v>1.0</v>
      </c>
      <c r="P87" s="6">
        <v>6.0</v>
      </c>
      <c r="Q87" s="6">
        <v>14.0</v>
      </c>
      <c r="R87" s="6">
        <v>5.0</v>
      </c>
      <c r="S87" s="6">
        <v>11.0</v>
      </c>
      <c r="T87" s="6">
        <v>1.0</v>
      </c>
      <c r="U87" s="6">
        <v>0.0</v>
      </c>
      <c r="V87" s="6">
        <v>20.0</v>
      </c>
      <c r="W87" s="6">
        <v>0.0</v>
      </c>
      <c r="X87" s="6">
        <v>12.0</v>
      </c>
      <c r="Y87" s="6">
        <v>20.0</v>
      </c>
      <c r="Z87" s="6">
        <v>1.0</v>
      </c>
      <c r="AA87" s="6">
        <v>1.0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</row>
    <row r="88">
      <c r="A88" s="5">
        <v>45206.0</v>
      </c>
      <c r="B88" s="6">
        <v>19.0</v>
      </c>
      <c r="C88" s="6">
        <v>70.0</v>
      </c>
      <c r="D88" s="6">
        <v>4.0</v>
      </c>
      <c r="E88" s="6">
        <v>1162.0</v>
      </c>
      <c r="F88" s="6">
        <v>61.0</v>
      </c>
      <c r="G88" s="6">
        <v>0.0</v>
      </c>
      <c r="H88" s="4"/>
      <c r="I88" s="6">
        <v>6.0</v>
      </c>
      <c r="J88" s="6">
        <v>2.0</v>
      </c>
      <c r="K88" s="6">
        <v>0.0</v>
      </c>
      <c r="L88" s="6">
        <v>2.0</v>
      </c>
      <c r="M88" s="6">
        <v>10.0</v>
      </c>
      <c r="N88" s="6">
        <v>14.0</v>
      </c>
      <c r="O88" s="6">
        <v>0.0</v>
      </c>
      <c r="P88" s="6">
        <v>5.0</v>
      </c>
      <c r="Q88" s="6">
        <v>6.0</v>
      </c>
      <c r="R88" s="6">
        <v>0.0</v>
      </c>
      <c r="S88" s="6">
        <v>10.0</v>
      </c>
      <c r="T88" s="6">
        <v>0.0</v>
      </c>
      <c r="U88" s="6">
        <v>0.0</v>
      </c>
      <c r="V88" s="6">
        <v>6.0</v>
      </c>
      <c r="W88" s="6">
        <v>0.0</v>
      </c>
      <c r="X88" s="6">
        <v>16.0</v>
      </c>
      <c r="Y88" s="6">
        <v>6.0</v>
      </c>
      <c r="Z88" s="6">
        <v>0.0</v>
      </c>
      <c r="AA88" s="6">
        <v>0.0</v>
      </c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</row>
    <row r="89">
      <c r="A89" s="5">
        <v>45207.0</v>
      </c>
      <c r="B89" s="6">
        <v>0.0</v>
      </c>
      <c r="C89" s="6">
        <v>0.0</v>
      </c>
      <c r="D89" s="6">
        <v>0.0</v>
      </c>
      <c r="E89" s="6">
        <v>0.0</v>
      </c>
      <c r="F89" s="6">
        <v>0.0</v>
      </c>
      <c r="G89" s="6">
        <v>0.0</v>
      </c>
      <c r="H89" s="4"/>
      <c r="I89" s="6">
        <v>0.0</v>
      </c>
      <c r="J89" s="6">
        <v>0.0</v>
      </c>
      <c r="K89" s="6">
        <v>0.0</v>
      </c>
      <c r="L89" s="6">
        <v>0.0</v>
      </c>
      <c r="M89" s="6">
        <v>0.0</v>
      </c>
      <c r="N89" s="6">
        <v>0.0</v>
      </c>
      <c r="O89" s="6">
        <v>0.0</v>
      </c>
      <c r="P89" s="6">
        <v>0.0</v>
      </c>
      <c r="Q89" s="6">
        <v>0.0</v>
      </c>
      <c r="R89" s="6">
        <v>0.0</v>
      </c>
      <c r="S89" s="6">
        <v>0.0</v>
      </c>
      <c r="T89" s="6">
        <v>0.0</v>
      </c>
      <c r="U89" s="6">
        <v>0.0</v>
      </c>
      <c r="V89" s="6">
        <v>0.0</v>
      </c>
      <c r="W89" s="6">
        <v>0.0</v>
      </c>
      <c r="X89" s="6">
        <v>0.0</v>
      </c>
      <c r="Y89" s="6">
        <v>0.0</v>
      </c>
      <c r="Z89" s="6">
        <v>0.0</v>
      </c>
      <c r="AA89" s="6">
        <v>0.0</v>
      </c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</row>
    <row r="90">
      <c r="A90" s="5">
        <v>45208.0</v>
      </c>
      <c r="B90" s="6">
        <v>28.0</v>
      </c>
      <c r="C90" s="6">
        <v>106.0</v>
      </c>
      <c r="D90" s="6">
        <v>4.0</v>
      </c>
      <c r="E90" s="6">
        <v>1775.0</v>
      </c>
      <c r="F90" s="6">
        <v>63.0</v>
      </c>
      <c r="G90" s="6">
        <v>0.0</v>
      </c>
      <c r="H90" s="4"/>
      <c r="I90" s="6">
        <v>22.0</v>
      </c>
      <c r="J90" s="6">
        <v>3.0</v>
      </c>
      <c r="K90" s="6">
        <v>0.0</v>
      </c>
      <c r="L90" s="6">
        <v>0.0</v>
      </c>
      <c r="M90" s="6">
        <v>25.0</v>
      </c>
      <c r="N90" s="6">
        <v>20.0</v>
      </c>
      <c r="O90" s="6">
        <v>1.0</v>
      </c>
      <c r="P90" s="6">
        <v>7.0</v>
      </c>
      <c r="Q90" s="6">
        <v>11.0</v>
      </c>
      <c r="R90" s="6">
        <v>4.0</v>
      </c>
      <c r="S90" s="6">
        <v>11.0</v>
      </c>
      <c r="T90" s="6">
        <v>0.0</v>
      </c>
      <c r="U90" s="6">
        <v>0.0</v>
      </c>
      <c r="V90" s="6">
        <v>16.0</v>
      </c>
      <c r="W90" s="6">
        <v>0.0</v>
      </c>
      <c r="X90" s="6">
        <v>13.0</v>
      </c>
      <c r="Y90" s="6">
        <v>17.0</v>
      </c>
      <c r="Z90" s="6">
        <v>0.0</v>
      </c>
      <c r="AA90" s="6">
        <v>1.0</v>
      </c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</row>
    <row r="91">
      <c r="A91" s="5">
        <v>45209.0</v>
      </c>
      <c r="B91" s="6">
        <v>34.0</v>
      </c>
      <c r="C91" s="6">
        <v>138.0</v>
      </c>
      <c r="D91" s="6">
        <v>4.0</v>
      </c>
      <c r="E91" s="6">
        <v>2501.0</v>
      </c>
      <c r="F91" s="6">
        <v>74.0</v>
      </c>
      <c r="G91" s="6">
        <v>0.0</v>
      </c>
      <c r="H91" s="4"/>
      <c r="I91" s="6">
        <v>21.0</v>
      </c>
      <c r="J91" s="6">
        <v>2.0</v>
      </c>
      <c r="K91" s="6">
        <v>0.0</v>
      </c>
      <c r="L91" s="6">
        <v>1.0</v>
      </c>
      <c r="M91" s="6">
        <v>25.0</v>
      </c>
      <c r="N91" s="6">
        <v>22.0</v>
      </c>
      <c r="O91" s="6">
        <v>6.0</v>
      </c>
      <c r="P91" s="6">
        <v>6.0</v>
      </c>
      <c r="Q91" s="6">
        <v>8.0</v>
      </c>
      <c r="R91" s="6">
        <v>4.0</v>
      </c>
      <c r="S91" s="6">
        <v>26.0</v>
      </c>
      <c r="T91" s="6">
        <v>0.0</v>
      </c>
      <c r="U91" s="6">
        <v>0.0</v>
      </c>
      <c r="V91" s="6">
        <v>17.0</v>
      </c>
      <c r="W91" s="6">
        <v>0.0</v>
      </c>
      <c r="X91" s="6">
        <v>21.0</v>
      </c>
      <c r="Y91" s="6">
        <v>19.0</v>
      </c>
      <c r="Z91" s="6">
        <v>0.0</v>
      </c>
      <c r="AA91" s="6">
        <v>5.0</v>
      </c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</row>
    <row r="92">
      <c r="A92" s="5">
        <v>45210.0</v>
      </c>
      <c r="B92" s="6">
        <v>36.0</v>
      </c>
      <c r="C92" s="6">
        <v>228.0</v>
      </c>
      <c r="D92" s="6">
        <v>6.0</v>
      </c>
      <c r="E92" s="6">
        <v>3209.0</v>
      </c>
      <c r="F92" s="6">
        <v>89.0</v>
      </c>
      <c r="G92" s="6">
        <v>0.0</v>
      </c>
      <c r="H92" s="4"/>
      <c r="I92" s="6">
        <v>19.0</v>
      </c>
      <c r="J92" s="6">
        <v>5.0</v>
      </c>
      <c r="K92" s="6">
        <v>1.0</v>
      </c>
      <c r="L92" s="6">
        <v>1.0</v>
      </c>
      <c r="M92" s="6">
        <v>26.0</v>
      </c>
      <c r="N92" s="6">
        <v>31.0</v>
      </c>
      <c r="O92" s="6">
        <v>1.0</v>
      </c>
      <c r="P92" s="6">
        <v>4.0</v>
      </c>
      <c r="Q92" s="6">
        <v>13.0</v>
      </c>
      <c r="R92" s="6">
        <v>3.0</v>
      </c>
      <c r="S92" s="6">
        <v>14.0</v>
      </c>
      <c r="T92" s="6">
        <v>0.0</v>
      </c>
      <c r="U92" s="6">
        <v>0.0</v>
      </c>
      <c r="V92" s="6">
        <v>17.0</v>
      </c>
      <c r="W92" s="6">
        <v>0.0</v>
      </c>
      <c r="X92" s="6">
        <v>15.0</v>
      </c>
      <c r="Y92" s="6">
        <v>20.0</v>
      </c>
      <c r="Z92" s="6">
        <v>0.0</v>
      </c>
      <c r="AA92" s="6">
        <v>1.0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</row>
    <row r="93">
      <c r="A93" s="5">
        <v>45211.0</v>
      </c>
      <c r="B93" s="6">
        <v>25.0</v>
      </c>
      <c r="C93" s="6">
        <v>94.0</v>
      </c>
      <c r="D93" s="6">
        <v>4.0</v>
      </c>
      <c r="E93" s="6">
        <v>1654.0</v>
      </c>
      <c r="F93" s="6">
        <v>66.0</v>
      </c>
      <c r="G93" s="6">
        <v>0.0</v>
      </c>
      <c r="H93" s="4"/>
      <c r="I93" s="6">
        <v>19.0</v>
      </c>
      <c r="J93" s="6">
        <v>3.0</v>
      </c>
      <c r="K93" s="6">
        <v>0.0</v>
      </c>
      <c r="L93" s="6">
        <v>0.0</v>
      </c>
      <c r="M93" s="6">
        <v>22.0</v>
      </c>
      <c r="N93" s="6">
        <v>16.0</v>
      </c>
      <c r="O93" s="6">
        <v>2.0</v>
      </c>
      <c r="P93" s="6">
        <v>7.0</v>
      </c>
      <c r="Q93" s="6">
        <v>10.0</v>
      </c>
      <c r="R93" s="6">
        <v>2.0</v>
      </c>
      <c r="S93" s="6">
        <v>14.0</v>
      </c>
      <c r="T93" s="6">
        <v>2.0</v>
      </c>
      <c r="U93" s="6">
        <v>0.0</v>
      </c>
      <c r="V93" s="6">
        <v>14.0</v>
      </c>
      <c r="W93" s="6">
        <v>0.0</v>
      </c>
      <c r="X93" s="6">
        <v>9.0</v>
      </c>
      <c r="Y93" s="6">
        <v>19.0</v>
      </c>
      <c r="Z93" s="6">
        <v>2.0</v>
      </c>
      <c r="AA93" s="6">
        <v>2.0</v>
      </c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</row>
    <row r="94">
      <c r="A94" s="5">
        <v>45212.0</v>
      </c>
      <c r="B94" s="6">
        <v>26.0</v>
      </c>
      <c r="C94" s="6">
        <v>114.0</v>
      </c>
      <c r="D94" s="6">
        <v>4.0</v>
      </c>
      <c r="E94" s="6">
        <v>1914.0</v>
      </c>
      <c r="F94" s="6">
        <v>74.0</v>
      </c>
      <c r="G94" s="6">
        <v>0.0</v>
      </c>
      <c r="H94" s="4"/>
      <c r="I94" s="6">
        <v>19.0</v>
      </c>
      <c r="J94" s="6">
        <v>2.0</v>
      </c>
      <c r="K94" s="6">
        <v>1.0</v>
      </c>
      <c r="L94" s="6">
        <v>0.0</v>
      </c>
      <c r="M94" s="6">
        <v>22.0</v>
      </c>
      <c r="N94" s="6">
        <v>22.0</v>
      </c>
      <c r="O94" s="6">
        <v>1.0</v>
      </c>
      <c r="P94" s="6">
        <v>3.0</v>
      </c>
      <c r="Q94" s="6">
        <v>13.0</v>
      </c>
      <c r="R94" s="6">
        <v>2.0</v>
      </c>
      <c r="S94" s="6">
        <v>22.0</v>
      </c>
      <c r="T94" s="6">
        <v>3.0</v>
      </c>
      <c r="U94" s="6">
        <v>0.0</v>
      </c>
      <c r="V94" s="6">
        <v>16.0</v>
      </c>
      <c r="W94" s="6">
        <v>0.0</v>
      </c>
      <c r="X94" s="6">
        <v>10.0</v>
      </c>
      <c r="Y94" s="6">
        <v>20.0</v>
      </c>
      <c r="Z94" s="6">
        <v>3.0</v>
      </c>
      <c r="AA94" s="6">
        <v>1.0</v>
      </c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</row>
    <row r="95">
      <c r="A95" s="5">
        <v>45213.0</v>
      </c>
      <c r="B95" s="6">
        <v>14.0</v>
      </c>
      <c r="C95" s="6">
        <v>70.0</v>
      </c>
      <c r="D95" s="6">
        <v>5.0</v>
      </c>
      <c r="E95" s="6">
        <v>919.0</v>
      </c>
      <c r="F95" s="6">
        <v>66.0</v>
      </c>
      <c r="G95" s="6">
        <v>0.0</v>
      </c>
      <c r="H95" s="4"/>
      <c r="I95" s="6">
        <v>9.0</v>
      </c>
      <c r="J95" s="6">
        <v>1.0</v>
      </c>
      <c r="K95" s="6">
        <v>1.0</v>
      </c>
      <c r="L95" s="6">
        <v>0.0</v>
      </c>
      <c r="M95" s="6">
        <v>11.0</v>
      </c>
      <c r="N95" s="6">
        <v>10.0</v>
      </c>
      <c r="O95" s="6">
        <v>0.0</v>
      </c>
      <c r="P95" s="6">
        <v>4.0</v>
      </c>
      <c r="Q95" s="6">
        <v>7.0</v>
      </c>
      <c r="R95" s="6">
        <v>3.0</v>
      </c>
      <c r="S95" s="6">
        <v>8.0</v>
      </c>
      <c r="T95" s="6">
        <v>0.0</v>
      </c>
      <c r="U95" s="6">
        <v>0.0</v>
      </c>
      <c r="V95" s="6">
        <v>10.0</v>
      </c>
      <c r="W95" s="6">
        <v>0.0</v>
      </c>
      <c r="X95" s="6">
        <v>8.0</v>
      </c>
      <c r="Y95" s="6">
        <v>11.0</v>
      </c>
      <c r="Z95" s="6">
        <v>0.0</v>
      </c>
      <c r="AA95" s="6">
        <v>0.0</v>
      </c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</row>
    <row r="96">
      <c r="A96" s="5">
        <v>45214.0</v>
      </c>
      <c r="B96" s="6">
        <v>0.0</v>
      </c>
      <c r="C96" s="6">
        <v>0.0</v>
      </c>
      <c r="D96" s="6">
        <v>0.0</v>
      </c>
      <c r="E96" s="6">
        <v>0.0</v>
      </c>
      <c r="F96" s="6">
        <v>0.0</v>
      </c>
      <c r="G96" s="6">
        <v>0.0</v>
      </c>
      <c r="H96" s="4"/>
      <c r="I96" s="6">
        <v>0.0</v>
      </c>
      <c r="J96" s="6">
        <v>0.0</v>
      </c>
      <c r="K96" s="6">
        <v>0.0</v>
      </c>
      <c r="L96" s="6">
        <v>0.0</v>
      </c>
      <c r="M96" s="6">
        <v>0.0</v>
      </c>
      <c r="N96" s="6">
        <v>0.0</v>
      </c>
      <c r="O96" s="6">
        <v>0.0</v>
      </c>
      <c r="P96" s="6">
        <v>0.0</v>
      </c>
      <c r="Q96" s="6">
        <v>0.0</v>
      </c>
      <c r="R96" s="6">
        <v>0.0</v>
      </c>
      <c r="S96" s="6">
        <v>0.0</v>
      </c>
      <c r="T96" s="6">
        <v>0.0</v>
      </c>
      <c r="U96" s="6">
        <v>0.0</v>
      </c>
      <c r="V96" s="6">
        <v>0.0</v>
      </c>
      <c r="W96" s="6">
        <v>0.0</v>
      </c>
      <c r="X96" s="6">
        <v>0.0</v>
      </c>
      <c r="Y96" s="6">
        <v>0.0</v>
      </c>
      <c r="Z96" s="6">
        <v>0.0</v>
      </c>
      <c r="AA96" s="6">
        <v>0.0</v>
      </c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</row>
    <row r="97">
      <c r="A97" s="5">
        <v>45215.0</v>
      </c>
      <c r="B97" s="6">
        <v>43.0</v>
      </c>
      <c r="C97" s="6">
        <v>148.0</v>
      </c>
      <c r="D97" s="6">
        <v>3.0</v>
      </c>
      <c r="E97" s="6">
        <v>2274.0</v>
      </c>
      <c r="F97" s="6">
        <v>53.0</v>
      </c>
      <c r="G97" s="6">
        <v>0.0</v>
      </c>
      <c r="H97" s="4"/>
      <c r="I97" s="6">
        <v>28.0</v>
      </c>
      <c r="J97" s="6">
        <v>5.0</v>
      </c>
      <c r="K97" s="6">
        <v>0.0</v>
      </c>
      <c r="L97" s="6">
        <v>1.0</v>
      </c>
      <c r="M97" s="6">
        <v>34.0</v>
      </c>
      <c r="N97" s="6">
        <v>35.0</v>
      </c>
      <c r="O97" s="6">
        <v>1.0</v>
      </c>
      <c r="P97" s="6">
        <v>7.0</v>
      </c>
      <c r="Q97" s="6">
        <v>12.0</v>
      </c>
      <c r="R97" s="6">
        <v>4.0</v>
      </c>
      <c r="S97" s="6">
        <v>16.0</v>
      </c>
      <c r="T97" s="6">
        <v>1.0</v>
      </c>
      <c r="U97" s="6">
        <v>0.0</v>
      </c>
      <c r="V97" s="6">
        <v>16.0</v>
      </c>
      <c r="W97" s="6">
        <v>1.0</v>
      </c>
      <c r="X97" s="6">
        <v>18.0</v>
      </c>
      <c r="Y97" s="6">
        <v>23.0</v>
      </c>
      <c r="Z97" s="6">
        <v>2.0</v>
      </c>
      <c r="AA97" s="6">
        <v>0.0</v>
      </c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</row>
    <row r="98">
      <c r="A98" s="5">
        <v>45216.0</v>
      </c>
      <c r="B98" s="6">
        <v>39.0</v>
      </c>
      <c r="C98" s="6">
        <v>153.0</v>
      </c>
      <c r="D98" s="6">
        <v>4.0</v>
      </c>
      <c r="E98" s="6">
        <v>2847.0</v>
      </c>
      <c r="F98" s="6">
        <v>73.0</v>
      </c>
      <c r="G98" s="6">
        <v>0.0</v>
      </c>
      <c r="H98" s="4"/>
      <c r="I98" s="6">
        <v>27.0</v>
      </c>
      <c r="J98" s="6">
        <v>6.0</v>
      </c>
      <c r="K98" s="6">
        <v>0.0</v>
      </c>
      <c r="L98" s="6">
        <v>0.0</v>
      </c>
      <c r="M98" s="6">
        <v>33.0</v>
      </c>
      <c r="N98" s="6">
        <v>33.0</v>
      </c>
      <c r="O98" s="6">
        <v>1.0</v>
      </c>
      <c r="P98" s="6">
        <v>5.0</v>
      </c>
      <c r="Q98" s="6">
        <v>15.0</v>
      </c>
      <c r="R98" s="6">
        <v>2.0</v>
      </c>
      <c r="S98" s="6">
        <v>16.0</v>
      </c>
      <c r="T98" s="6">
        <v>2.0</v>
      </c>
      <c r="U98" s="6">
        <v>1.0</v>
      </c>
      <c r="V98" s="6">
        <v>17.0</v>
      </c>
      <c r="W98" s="6">
        <v>1.0</v>
      </c>
      <c r="X98" s="6">
        <v>30.0</v>
      </c>
      <c r="Y98" s="6">
        <v>24.0</v>
      </c>
      <c r="Z98" s="6">
        <v>4.0</v>
      </c>
      <c r="AA98" s="6">
        <v>0.0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</row>
    <row r="99">
      <c r="A99" s="5">
        <v>45217.0</v>
      </c>
      <c r="B99" s="6">
        <v>29.0</v>
      </c>
      <c r="C99" s="6">
        <v>108.0</v>
      </c>
      <c r="D99" s="6">
        <v>4.0</v>
      </c>
      <c r="E99" s="6">
        <v>1955.0</v>
      </c>
      <c r="F99" s="6">
        <v>67.0</v>
      </c>
      <c r="G99" s="6">
        <v>0.0</v>
      </c>
      <c r="H99" s="4"/>
      <c r="I99" s="6">
        <v>24.0</v>
      </c>
      <c r="J99" s="6">
        <v>1.0</v>
      </c>
      <c r="K99" s="6">
        <v>1.0</v>
      </c>
      <c r="L99" s="6">
        <v>0.0</v>
      </c>
      <c r="M99" s="6">
        <v>26.0</v>
      </c>
      <c r="N99" s="6">
        <v>24.0</v>
      </c>
      <c r="O99" s="6">
        <v>3.0</v>
      </c>
      <c r="P99" s="6">
        <v>2.0</v>
      </c>
      <c r="Q99" s="6">
        <v>17.0</v>
      </c>
      <c r="R99" s="6">
        <v>2.0</v>
      </c>
      <c r="S99" s="6">
        <v>13.0</v>
      </c>
      <c r="T99" s="6">
        <v>0.0</v>
      </c>
      <c r="U99" s="6">
        <v>0.0</v>
      </c>
      <c r="V99" s="6">
        <v>21.0</v>
      </c>
      <c r="W99" s="6">
        <v>0.0</v>
      </c>
      <c r="X99" s="6">
        <v>14.0</v>
      </c>
      <c r="Y99" s="6">
        <v>21.0</v>
      </c>
      <c r="Z99" s="6">
        <v>0.0</v>
      </c>
      <c r="AA99" s="6">
        <v>3.0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</row>
    <row r="100">
      <c r="A100" s="5">
        <v>45218.0</v>
      </c>
      <c r="B100" s="6">
        <v>34.0</v>
      </c>
      <c r="C100" s="6">
        <v>142.0</v>
      </c>
      <c r="D100" s="6">
        <v>4.0</v>
      </c>
      <c r="E100" s="6">
        <v>2469.0</v>
      </c>
      <c r="F100" s="6">
        <v>73.0</v>
      </c>
      <c r="G100" s="6">
        <v>0.0</v>
      </c>
      <c r="H100" s="4"/>
      <c r="I100" s="6">
        <v>23.0</v>
      </c>
      <c r="J100" s="6">
        <v>2.0</v>
      </c>
      <c r="K100" s="6">
        <v>1.0</v>
      </c>
      <c r="L100" s="6">
        <v>1.0</v>
      </c>
      <c r="M100" s="6">
        <v>27.0</v>
      </c>
      <c r="N100" s="6">
        <v>32.0</v>
      </c>
      <c r="O100" s="6">
        <v>0.0</v>
      </c>
      <c r="P100" s="6">
        <v>2.0</v>
      </c>
      <c r="Q100" s="6">
        <v>14.0</v>
      </c>
      <c r="R100" s="6">
        <v>0.0</v>
      </c>
      <c r="S100" s="6">
        <v>22.0</v>
      </c>
      <c r="T100" s="6">
        <v>0.0</v>
      </c>
      <c r="U100" s="6">
        <v>0.0</v>
      </c>
      <c r="V100" s="6">
        <v>14.0</v>
      </c>
      <c r="W100" s="6">
        <v>0.0</v>
      </c>
      <c r="X100" s="6">
        <v>26.0</v>
      </c>
      <c r="Y100" s="6">
        <v>16.0</v>
      </c>
      <c r="Z100" s="6">
        <v>0.0</v>
      </c>
      <c r="AA100" s="6">
        <v>0.0</v>
      </c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</row>
    <row r="101">
      <c r="A101" s="5">
        <v>45219.0</v>
      </c>
      <c r="B101" s="6">
        <v>24.0</v>
      </c>
      <c r="C101" s="6">
        <v>93.0</v>
      </c>
      <c r="D101" s="6">
        <v>4.0</v>
      </c>
      <c r="E101" s="6">
        <v>1737.0</v>
      </c>
      <c r="F101" s="6">
        <v>72.0</v>
      </c>
      <c r="G101" s="6">
        <v>0.0</v>
      </c>
      <c r="H101" s="4"/>
      <c r="I101" s="6">
        <v>18.0</v>
      </c>
      <c r="J101" s="6">
        <v>3.0</v>
      </c>
      <c r="K101" s="6">
        <v>0.0</v>
      </c>
      <c r="L101" s="6">
        <v>0.0</v>
      </c>
      <c r="M101" s="6">
        <v>21.0</v>
      </c>
      <c r="N101" s="6">
        <v>23.0</v>
      </c>
      <c r="O101" s="6">
        <v>0.0</v>
      </c>
      <c r="P101" s="6">
        <v>1.0</v>
      </c>
      <c r="Q101" s="6">
        <v>13.0</v>
      </c>
      <c r="R101" s="6">
        <v>0.0</v>
      </c>
      <c r="S101" s="6">
        <v>13.0</v>
      </c>
      <c r="T101" s="6">
        <v>2.0</v>
      </c>
      <c r="U101" s="6">
        <v>0.0</v>
      </c>
      <c r="V101" s="6">
        <v>13.0</v>
      </c>
      <c r="W101" s="6">
        <v>0.0</v>
      </c>
      <c r="X101" s="6">
        <v>11.0</v>
      </c>
      <c r="Y101" s="6">
        <v>18.0</v>
      </c>
      <c r="Z101" s="6">
        <v>2.0</v>
      </c>
      <c r="AA101" s="6">
        <v>0.0</v>
      </c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</row>
    <row r="102">
      <c r="A102" s="5">
        <v>45220.0</v>
      </c>
      <c r="B102" s="6">
        <v>15.0</v>
      </c>
      <c r="C102" s="6">
        <v>64.0</v>
      </c>
      <c r="D102" s="6">
        <v>4.0</v>
      </c>
      <c r="E102" s="6">
        <v>1254.0</v>
      </c>
      <c r="F102" s="6">
        <v>84.0</v>
      </c>
      <c r="G102" s="6">
        <v>0.0</v>
      </c>
      <c r="H102" s="4"/>
      <c r="I102" s="6">
        <v>6.0</v>
      </c>
      <c r="J102" s="6">
        <v>3.0</v>
      </c>
      <c r="K102" s="6">
        <v>1.0</v>
      </c>
      <c r="L102" s="6">
        <v>0.0</v>
      </c>
      <c r="M102" s="6">
        <v>10.0</v>
      </c>
      <c r="N102" s="6">
        <v>14.0</v>
      </c>
      <c r="O102" s="6">
        <v>0.0</v>
      </c>
      <c r="P102" s="6">
        <v>1.0</v>
      </c>
      <c r="Q102" s="6">
        <v>6.0</v>
      </c>
      <c r="R102" s="6">
        <v>1.0</v>
      </c>
      <c r="S102" s="6">
        <v>10.0</v>
      </c>
      <c r="T102" s="6">
        <v>2.0</v>
      </c>
      <c r="U102" s="6">
        <v>0.0</v>
      </c>
      <c r="V102" s="6">
        <v>7.0</v>
      </c>
      <c r="W102" s="6">
        <v>0.0</v>
      </c>
      <c r="X102" s="6">
        <v>12.0</v>
      </c>
      <c r="Y102" s="6">
        <v>10.0</v>
      </c>
      <c r="Z102" s="6">
        <v>2.0</v>
      </c>
      <c r="AA102" s="6">
        <v>0.0</v>
      </c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</row>
    <row r="103">
      <c r="A103" s="5">
        <v>45221.0</v>
      </c>
      <c r="B103" s="6">
        <v>0.0</v>
      </c>
      <c r="C103" s="6">
        <v>0.0</v>
      </c>
      <c r="D103" s="6">
        <v>0.0</v>
      </c>
      <c r="E103" s="6">
        <v>0.0</v>
      </c>
      <c r="F103" s="6">
        <v>0.0</v>
      </c>
      <c r="G103" s="6">
        <v>0.0</v>
      </c>
      <c r="H103" s="4"/>
      <c r="I103" s="6">
        <v>0.0</v>
      </c>
      <c r="J103" s="6">
        <v>0.0</v>
      </c>
      <c r="K103" s="6">
        <v>0.0</v>
      </c>
      <c r="L103" s="6">
        <v>0.0</v>
      </c>
      <c r="M103" s="6">
        <v>0.0</v>
      </c>
      <c r="N103" s="6">
        <v>0.0</v>
      </c>
      <c r="O103" s="6">
        <v>0.0</v>
      </c>
      <c r="P103" s="6">
        <v>0.0</v>
      </c>
      <c r="Q103" s="6">
        <v>0.0</v>
      </c>
      <c r="R103" s="6">
        <v>0.0</v>
      </c>
      <c r="S103" s="6">
        <v>0.0</v>
      </c>
      <c r="T103" s="6">
        <v>0.0</v>
      </c>
      <c r="U103" s="6">
        <v>0.0</v>
      </c>
      <c r="V103" s="6">
        <v>0.0</v>
      </c>
      <c r="W103" s="6">
        <v>0.0</v>
      </c>
      <c r="X103" s="6">
        <v>0.0</v>
      </c>
      <c r="Y103" s="6">
        <v>0.0</v>
      </c>
      <c r="Z103" s="6">
        <v>0.0</v>
      </c>
      <c r="AA103" s="6">
        <v>0.0</v>
      </c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</row>
    <row r="104">
      <c r="A104" s="5">
        <v>45222.0</v>
      </c>
      <c r="B104" s="6">
        <v>44.0</v>
      </c>
      <c r="C104" s="6">
        <v>171.0</v>
      </c>
      <c r="D104" s="6">
        <v>4.0</v>
      </c>
      <c r="E104" s="6">
        <v>3111.0</v>
      </c>
      <c r="F104" s="6">
        <v>71.0</v>
      </c>
      <c r="G104" s="6">
        <v>0.0</v>
      </c>
      <c r="H104" s="4"/>
      <c r="I104" s="6">
        <v>30.0</v>
      </c>
      <c r="J104" s="6">
        <v>4.0</v>
      </c>
      <c r="K104" s="6">
        <v>2.0</v>
      </c>
      <c r="L104" s="6">
        <v>0.0</v>
      </c>
      <c r="M104" s="6">
        <v>36.0</v>
      </c>
      <c r="N104" s="6">
        <v>37.0</v>
      </c>
      <c r="O104" s="6">
        <v>3.0</v>
      </c>
      <c r="P104" s="6">
        <v>4.0</v>
      </c>
      <c r="Q104" s="6">
        <v>28.0</v>
      </c>
      <c r="R104" s="6">
        <v>2.0</v>
      </c>
      <c r="S104" s="6">
        <v>16.0</v>
      </c>
      <c r="T104" s="6">
        <v>2.0</v>
      </c>
      <c r="U104" s="6">
        <v>0.0</v>
      </c>
      <c r="V104" s="6">
        <v>32.0</v>
      </c>
      <c r="W104" s="6">
        <v>0.0</v>
      </c>
      <c r="X104" s="6">
        <v>26.0</v>
      </c>
      <c r="Y104" s="6">
        <v>35.0</v>
      </c>
      <c r="Z104" s="6">
        <v>2.0</v>
      </c>
      <c r="AA104" s="6">
        <v>2.0</v>
      </c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</row>
    <row r="105">
      <c r="A105" s="5">
        <v>45223.0</v>
      </c>
      <c r="B105" s="6">
        <v>34.0</v>
      </c>
      <c r="C105" s="6">
        <v>143.0</v>
      </c>
      <c r="D105" s="6">
        <v>4.0</v>
      </c>
      <c r="E105" s="6">
        <v>2865.0</v>
      </c>
      <c r="F105" s="6">
        <v>84.0</v>
      </c>
      <c r="G105" s="6">
        <v>0.0</v>
      </c>
      <c r="H105" s="4"/>
      <c r="I105" s="6">
        <v>30.0</v>
      </c>
      <c r="J105" s="6">
        <v>2.0</v>
      </c>
      <c r="K105" s="6">
        <v>0.0</v>
      </c>
      <c r="L105" s="6">
        <v>0.0</v>
      </c>
      <c r="M105" s="6">
        <v>32.0</v>
      </c>
      <c r="N105" s="6">
        <v>31.0</v>
      </c>
      <c r="O105" s="6">
        <v>0.0</v>
      </c>
      <c r="P105" s="6">
        <v>3.0</v>
      </c>
      <c r="Q105" s="6">
        <v>17.0</v>
      </c>
      <c r="R105" s="6">
        <v>3.0</v>
      </c>
      <c r="S105" s="6">
        <v>18.0</v>
      </c>
      <c r="T105" s="6">
        <v>3.0</v>
      </c>
      <c r="U105" s="6">
        <v>0.0</v>
      </c>
      <c r="V105" s="6">
        <v>20.0</v>
      </c>
      <c r="W105" s="6">
        <v>0.0</v>
      </c>
      <c r="X105" s="6">
        <v>27.0</v>
      </c>
      <c r="Y105" s="6">
        <v>29.0</v>
      </c>
      <c r="Z105" s="6">
        <v>3.0</v>
      </c>
      <c r="AA105" s="6">
        <v>0.0</v>
      </c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</row>
    <row r="106">
      <c r="A106" s="5">
        <v>45224.0</v>
      </c>
      <c r="B106" s="6">
        <v>28.0</v>
      </c>
      <c r="C106" s="6">
        <v>110.0</v>
      </c>
      <c r="D106" s="6">
        <v>4.0</v>
      </c>
      <c r="E106" s="6">
        <v>1629.0</v>
      </c>
      <c r="F106" s="6">
        <v>58.0</v>
      </c>
      <c r="G106" s="6">
        <v>0.0</v>
      </c>
      <c r="H106" s="4"/>
      <c r="I106" s="6">
        <v>14.0</v>
      </c>
      <c r="J106" s="6">
        <v>7.0</v>
      </c>
      <c r="K106" s="6">
        <v>0.0</v>
      </c>
      <c r="L106" s="6">
        <v>0.0</v>
      </c>
      <c r="M106" s="6">
        <v>21.0</v>
      </c>
      <c r="N106" s="6">
        <v>26.0</v>
      </c>
      <c r="O106" s="6">
        <v>1.0</v>
      </c>
      <c r="P106" s="6">
        <v>1.0</v>
      </c>
      <c r="Q106" s="6">
        <v>11.0</v>
      </c>
      <c r="R106" s="6">
        <v>1.0</v>
      </c>
      <c r="S106" s="6">
        <v>14.0</v>
      </c>
      <c r="T106" s="6">
        <v>3.0</v>
      </c>
      <c r="U106" s="6">
        <v>0.0</v>
      </c>
      <c r="V106" s="6">
        <v>12.0</v>
      </c>
      <c r="W106" s="6">
        <v>0.0</v>
      </c>
      <c r="X106" s="6">
        <v>11.0</v>
      </c>
      <c r="Y106" s="6">
        <v>18.0</v>
      </c>
      <c r="Z106" s="6">
        <v>3.0</v>
      </c>
      <c r="AA106" s="6">
        <v>0.0</v>
      </c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</row>
    <row r="107">
      <c r="A107" s="5">
        <v>45225.0</v>
      </c>
      <c r="B107" s="6">
        <v>31.0</v>
      </c>
      <c r="C107" s="6">
        <v>129.0</v>
      </c>
      <c r="D107" s="6">
        <v>4.0</v>
      </c>
      <c r="E107" s="6">
        <v>2165.0</v>
      </c>
      <c r="F107" s="6">
        <v>70.0</v>
      </c>
      <c r="G107" s="6">
        <v>0.0</v>
      </c>
      <c r="H107" s="4"/>
      <c r="I107" s="6">
        <v>21.0</v>
      </c>
      <c r="J107" s="6">
        <v>3.0</v>
      </c>
      <c r="K107" s="6">
        <v>0.0</v>
      </c>
      <c r="L107" s="6">
        <v>1.0</v>
      </c>
      <c r="M107" s="6">
        <v>25.0</v>
      </c>
      <c r="N107" s="6">
        <v>24.0</v>
      </c>
      <c r="O107" s="6">
        <v>0.0</v>
      </c>
      <c r="P107" s="6">
        <v>7.0</v>
      </c>
      <c r="Q107" s="6">
        <v>10.0</v>
      </c>
      <c r="R107" s="6">
        <v>3.0</v>
      </c>
      <c r="S107" s="6">
        <v>14.0</v>
      </c>
      <c r="T107" s="6">
        <v>1.0</v>
      </c>
      <c r="U107" s="6">
        <v>0.0</v>
      </c>
      <c r="V107" s="6">
        <v>13.0</v>
      </c>
      <c r="W107" s="6">
        <v>0.0</v>
      </c>
      <c r="X107" s="6">
        <v>12.0</v>
      </c>
      <c r="Y107" s="6">
        <v>19.0</v>
      </c>
      <c r="Z107" s="6">
        <v>1.0</v>
      </c>
      <c r="AA107" s="6">
        <v>0.0</v>
      </c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</row>
    <row r="108">
      <c r="A108" s="5">
        <v>45226.0</v>
      </c>
      <c r="B108" s="6">
        <v>32.0</v>
      </c>
      <c r="C108" s="6">
        <v>116.0</v>
      </c>
      <c r="D108" s="6">
        <v>4.0</v>
      </c>
      <c r="E108" s="6">
        <v>2182.0</v>
      </c>
      <c r="F108" s="6">
        <v>68.0</v>
      </c>
      <c r="G108" s="6">
        <v>0.0</v>
      </c>
      <c r="H108" s="4"/>
      <c r="I108" s="6">
        <v>28.0</v>
      </c>
      <c r="J108" s="6">
        <v>0.0</v>
      </c>
      <c r="K108" s="6">
        <v>0.0</v>
      </c>
      <c r="L108" s="6">
        <v>1.0</v>
      </c>
      <c r="M108" s="6">
        <v>29.0</v>
      </c>
      <c r="N108" s="6">
        <v>23.0</v>
      </c>
      <c r="O108" s="6">
        <v>4.0</v>
      </c>
      <c r="P108" s="6">
        <v>5.0</v>
      </c>
      <c r="Q108" s="6">
        <v>16.0</v>
      </c>
      <c r="R108" s="6">
        <v>2.0</v>
      </c>
      <c r="S108" s="6">
        <v>12.0</v>
      </c>
      <c r="T108" s="6">
        <v>1.0</v>
      </c>
      <c r="U108" s="6">
        <v>0.0</v>
      </c>
      <c r="V108" s="6">
        <v>22.0</v>
      </c>
      <c r="W108" s="6">
        <v>0.0</v>
      </c>
      <c r="X108" s="6">
        <v>15.0</v>
      </c>
      <c r="Y108" s="6">
        <v>24.0</v>
      </c>
      <c r="Z108" s="6">
        <v>1.0</v>
      </c>
      <c r="AA108" s="6">
        <v>4.0</v>
      </c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</row>
    <row r="109">
      <c r="A109" s="5">
        <v>45227.0</v>
      </c>
      <c r="B109" s="6">
        <v>25.0</v>
      </c>
      <c r="C109" s="6">
        <v>107.0</v>
      </c>
      <c r="D109" s="6">
        <v>4.0</v>
      </c>
      <c r="E109" s="6">
        <v>1852.0</v>
      </c>
      <c r="F109" s="6">
        <v>74.0</v>
      </c>
      <c r="G109" s="6">
        <v>0.0</v>
      </c>
      <c r="H109" s="4"/>
      <c r="I109" s="6">
        <v>13.0</v>
      </c>
      <c r="J109" s="6">
        <v>3.0</v>
      </c>
      <c r="K109" s="6">
        <v>2.0</v>
      </c>
      <c r="L109" s="6">
        <v>0.0</v>
      </c>
      <c r="M109" s="6">
        <v>18.0</v>
      </c>
      <c r="N109" s="6">
        <v>18.0</v>
      </c>
      <c r="O109" s="6">
        <v>1.0</v>
      </c>
      <c r="P109" s="6">
        <v>6.0</v>
      </c>
      <c r="Q109" s="6">
        <v>8.0</v>
      </c>
      <c r="R109" s="6">
        <v>5.0</v>
      </c>
      <c r="S109" s="6">
        <v>21.0</v>
      </c>
      <c r="T109" s="6">
        <v>1.0</v>
      </c>
      <c r="U109" s="6">
        <v>0.0</v>
      </c>
      <c r="V109" s="6">
        <v>13.0</v>
      </c>
      <c r="W109" s="6">
        <v>0.0</v>
      </c>
      <c r="X109" s="6">
        <v>16.0</v>
      </c>
      <c r="Y109" s="6">
        <v>15.0</v>
      </c>
      <c r="Z109" s="6">
        <v>1.0</v>
      </c>
      <c r="AA109" s="6">
        <v>0.0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</row>
    <row r="110">
      <c r="A110" s="5">
        <v>45228.0</v>
      </c>
      <c r="B110" s="6">
        <v>0.0</v>
      </c>
      <c r="C110" s="6">
        <v>0.0</v>
      </c>
      <c r="D110" s="6">
        <v>0.0</v>
      </c>
      <c r="E110" s="6">
        <v>0.0</v>
      </c>
      <c r="F110" s="6">
        <v>0.0</v>
      </c>
      <c r="G110" s="6">
        <v>0.0</v>
      </c>
      <c r="H110" s="4"/>
      <c r="I110" s="6">
        <v>0.0</v>
      </c>
      <c r="J110" s="6">
        <v>0.0</v>
      </c>
      <c r="K110" s="6">
        <v>0.0</v>
      </c>
      <c r="L110" s="6">
        <v>0.0</v>
      </c>
      <c r="M110" s="6">
        <v>0.0</v>
      </c>
      <c r="N110" s="6">
        <v>0.0</v>
      </c>
      <c r="O110" s="6">
        <v>0.0</v>
      </c>
      <c r="P110" s="6">
        <v>0.0</v>
      </c>
      <c r="Q110" s="6">
        <v>0.0</v>
      </c>
      <c r="R110" s="6">
        <v>0.0</v>
      </c>
      <c r="S110" s="6">
        <v>0.0</v>
      </c>
      <c r="T110" s="6">
        <v>0.0</v>
      </c>
      <c r="U110" s="6">
        <v>0.0</v>
      </c>
      <c r="V110" s="6">
        <v>0.0</v>
      </c>
      <c r="W110" s="6">
        <v>0.0</v>
      </c>
      <c r="X110" s="6">
        <v>0.0</v>
      </c>
      <c r="Y110" s="6">
        <v>0.0</v>
      </c>
      <c r="Z110" s="6">
        <v>0.0</v>
      </c>
      <c r="AA110" s="6">
        <v>0.0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</row>
    <row r="111">
      <c r="A111" s="5">
        <v>45229.0</v>
      </c>
      <c r="B111" s="6">
        <v>49.0</v>
      </c>
      <c r="C111" s="6">
        <v>192.0</v>
      </c>
      <c r="D111" s="6">
        <v>4.0</v>
      </c>
      <c r="E111" s="6">
        <v>3413.0</v>
      </c>
      <c r="F111" s="6">
        <v>70.0</v>
      </c>
      <c r="G111" s="6">
        <v>0.0</v>
      </c>
      <c r="H111" s="4"/>
      <c r="I111" s="6">
        <v>27.0</v>
      </c>
      <c r="J111" s="6">
        <v>4.0</v>
      </c>
      <c r="K111" s="6">
        <v>3.0</v>
      </c>
      <c r="L111" s="6">
        <v>1.0</v>
      </c>
      <c r="M111" s="6">
        <v>35.0</v>
      </c>
      <c r="N111" s="6">
        <v>37.0</v>
      </c>
      <c r="O111" s="6">
        <v>3.0</v>
      </c>
      <c r="P111" s="6">
        <v>9.0</v>
      </c>
      <c r="Q111" s="6">
        <v>26.0</v>
      </c>
      <c r="R111" s="6">
        <v>2.0</v>
      </c>
      <c r="S111" s="6">
        <v>18.0</v>
      </c>
      <c r="T111" s="6">
        <v>1.0</v>
      </c>
      <c r="U111" s="6">
        <v>0.0</v>
      </c>
      <c r="V111" s="6">
        <v>31.0</v>
      </c>
      <c r="W111" s="6">
        <v>4.0</v>
      </c>
      <c r="X111" s="6">
        <v>26.0</v>
      </c>
      <c r="Y111" s="6">
        <v>40.0</v>
      </c>
      <c r="Z111" s="6">
        <v>5.0</v>
      </c>
      <c r="AA111" s="6">
        <v>3.0</v>
      </c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</row>
    <row r="112">
      <c r="A112" s="5">
        <v>45230.0</v>
      </c>
      <c r="B112" s="6">
        <v>51.0</v>
      </c>
      <c r="C112" s="6">
        <v>198.0</v>
      </c>
      <c r="D112" s="6">
        <v>4.0</v>
      </c>
      <c r="E112" s="6">
        <v>3410.0</v>
      </c>
      <c r="F112" s="6">
        <v>67.0</v>
      </c>
      <c r="G112" s="6">
        <v>0.0</v>
      </c>
      <c r="H112" s="4"/>
      <c r="I112" s="6">
        <v>31.0</v>
      </c>
      <c r="J112" s="6">
        <v>7.0</v>
      </c>
      <c r="K112" s="6">
        <v>0.0</v>
      </c>
      <c r="L112" s="6">
        <v>1.0</v>
      </c>
      <c r="M112" s="6">
        <v>39.0</v>
      </c>
      <c r="N112" s="6">
        <v>44.0</v>
      </c>
      <c r="O112" s="6">
        <v>0.0</v>
      </c>
      <c r="P112" s="6">
        <v>7.0</v>
      </c>
      <c r="Q112" s="6">
        <v>27.0</v>
      </c>
      <c r="R112" s="6">
        <v>5.0</v>
      </c>
      <c r="S112" s="6">
        <v>21.0</v>
      </c>
      <c r="T112" s="6">
        <v>4.0</v>
      </c>
      <c r="U112" s="6">
        <v>0.0</v>
      </c>
      <c r="V112" s="6">
        <v>32.0</v>
      </c>
      <c r="W112" s="6">
        <v>0.0</v>
      </c>
      <c r="X112" s="6">
        <v>22.0</v>
      </c>
      <c r="Y112" s="6">
        <v>40.0</v>
      </c>
      <c r="Z112" s="6">
        <v>4.0</v>
      </c>
      <c r="AA112" s="6">
        <v>0.0</v>
      </c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</row>
    <row r="113">
      <c r="A113" s="5">
        <v>45231.0</v>
      </c>
      <c r="B113" s="6">
        <v>0.0</v>
      </c>
      <c r="C113" s="6">
        <v>0.0</v>
      </c>
      <c r="D113" s="6">
        <v>0.0</v>
      </c>
      <c r="E113" s="6">
        <v>0.0</v>
      </c>
      <c r="F113" s="6">
        <v>0.0</v>
      </c>
      <c r="G113" s="6">
        <v>0.0</v>
      </c>
      <c r="H113" s="4"/>
      <c r="I113" s="6">
        <v>0.0</v>
      </c>
      <c r="J113" s="6">
        <v>0.0</v>
      </c>
      <c r="K113" s="6">
        <v>0.0</v>
      </c>
      <c r="L113" s="6">
        <v>0.0</v>
      </c>
      <c r="M113" s="6">
        <v>0.0</v>
      </c>
      <c r="N113" s="6">
        <v>0.0</v>
      </c>
      <c r="O113" s="6">
        <v>0.0</v>
      </c>
      <c r="P113" s="6">
        <v>0.0</v>
      </c>
      <c r="Q113" s="6">
        <v>0.0</v>
      </c>
      <c r="R113" s="6">
        <v>0.0</v>
      </c>
      <c r="S113" s="6">
        <v>0.0</v>
      </c>
      <c r="T113" s="6">
        <v>0.0</v>
      </c>
      <c r="U113" s="6">
        <v>0.0</v>
      </c>
      <c r="V113" s="6">
        <v>0.0</v>
      </c>
      <c r="W113" s="6">
        <v>0.0</v>
      </c>
      <c r="X113" s="6">
        <v>0.0</v>
      </c>
      <c r="Y113" s="6">
        <v>0.0</v>
      </c>
      <c r="Z113" s="6">
        <v>0.0</v>
      </c>
      <c r="AA113" s="6">
        <v>0.0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</row>
    <row r="114">
      <c r="A114" s="5">
        <v>45232.0</v>
      </c>
      <c r="B114" s="6">
        <v>58.0</v>
      </c>
      <c r="C114" s="6">
        <v>215.0</v>
      </c>
      <c r="D114" s="6">
        <v>4.0</v>
      </c>
      <c r="E114" s="6">
        <v>4139.0</v>
      </c>
      <c r="F114" s="6">
        <v>71.0</v>
      </c>
      <c r="G114" s="6">
        <v>0.0</v>
      </c>
      <c r="H114" s="4"/>
      <c r="I114" s="6">
        <v>43.0</v>
      </c>
      <c r="J114" s="6">
        <v>2.0</v>
      </c>
      <c r="K114" s="6">
        <v>1.0</v>
      </c>
      <c r="L114" s="6">
        <v>2.0</v>
      </c>
      <c r="M114" s="6">
        <v>48.0</v>
      </c>
      <c r="N114" s="6">
        <v>43.0</v>
      </c>
      <c r="O114" s="6">
        <v>3.0</v>
      </c>
      <c r="P114" s="6">
        <v>12.0</v>
      </c>
      <c r="Q114" s="6">
        <v>25.0</v>
      </c>
      <c r="R114" s="6">
        <v>10.0</v>
      </c>
      <c r="S114" s="6">
        <v>16.0</v>
      </c>
      <c r="T114" s="6">
        <v>3.0</v>
      </c>
      <c r="U114" s="6">
        <v>0.0</v>
      </c>
      <c r="V114" s="6">
        <v>36.0</v>
      </c>
      <c r="W114" s="6">
        <v>0.0</v>
      </c>
      <c r="X114" s="6">
        <v>32.0</v>
      </c>
      <c r="Y114" s="6">
        <v>46.0</v>
      </c>
      <c r="Z114" s="6">
        <v>3.0</v>
      </c>
      <c r="AA114" s="6">
        <v>1.0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</row>
    <row r="115">
      <c r="A115" s="5">
        <v>45233.0</v>
      </c>
      <c r="B115" s="6">
        <v>53.0</v>
      </c>
      <c r="C115" s="6">
        <v>244.0</v>
      </c>
      <c r="D115" s="6">
        <v>5.0</v>
      </c>
      <c r="E115" s="6">
        <v>4044.0</v>
      </c>
      <c r="F115" s="6">
        <v>76.0</v>
      </c>
      <c r="G115" s="6">
        <v>0.0</v>
      </c>
      <c r="H115" s="4"/>
      <c r="I115" s="6">
        <v>39.0</v>
      </c>
      <c r="J115" s="6">
        <v>2.0</v>
      </c>
      <c r="K115" s="6">
        <v>2.0</v>
      </c>
      <c r="L115" s="6">
        <v>1.0</v>
      </c>
      <c r="M115" s="6">
        <v>44.0</v>
      </c>
      <c r="N115" s="6">
        <v>37.0</v>
      </c>
      <c r="O115" s="6">
        <v>1.0</v>
      </c>
      <c r="P115" s="6">
        <v>14.0</v>
      </c>
      <c r="Q115" s="6">
        <v>22.0</v>
      </c>
      <c r="R115" s="6">
        <v>12.0</v>
      </c>
      <c r="S115" s="6">
        <v>14.0</v>
      </c>
      <c r="T115" s="6">
        <v>2.0</v>
      </c>
      <c r="U115" s="6">
        <v>0.0</v>
      </c>
      <c r="V115" s="6">
        <v>35.0</v>
      </c>
      <c r="W115" s="6">
        <v>1.0</v>
      </c>
      <c r="X115" s="6">
        <v>35.0</v>
      </c>
      <c r="Y115" s="6">
        <v>42.0</v>
      </c>
      <c r="Z115" s="6">
        <v>3.0</v>
      </c>
      <c r="AA115" s="6">
        <v>1.0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</row>
    <row r="116">
      <c r="A116" s="5">
        <v>45234.0</v>
      </c>
      <c r="B116" s="6">
        <v>19.0</v>
      </c>
      <c r="C116" s="6">
        <v>68.0</v>
      </c>
      <c r="D116" s="6">
        <v>4.0</v>
      </c>
      <c r="E116" s="6">
        <v>1195.0</v>
      </c>
      <c r="F116" s="6">
        <v>63.0</v>
      </c>
      <c r="G116" s="6">
        <v>0.0</v>
      </c>
      <c r="H116" s="4"/>
      <c r="I116" s="6">
        <v>13.0</v>
      </c>
      <c r="J116" s="6">
        <v>3.0</v>
      </c>
      <c r="K116" s="6">
        <v>0.0</v>
      </c>
      <c r="L116" s="6">
        <v>0.0</v>
      </c>
      <c r="M116" s="6">
        <v>16.0</v>
      </c>
      <c r="N116" s="6">
        <v>13.0</v>
      </c>
      <c r="O116" s="6">
        <v>2.0</v>
      </c>
      <c r="P116" s="6">
        <v>4.0</v>
      </c>
      <c r="Q116" s="6">
        <v>7.0</v>
      </c>
      <c r="R116" s="6">
        <v>3.0</v>
      </c>
      <c r="S116" s="6">
        <v>8.0</v>
      </c>
      <c r="T116" s="6">
        <v>0.0</v>
      </c>
      <c r="U116" s="6">
        <v>0.0</v>
      </c>
      <c r="V116" s="6">
        <v>12.0</v>
      </c>
      <c r="W116" s="6">
        <v>0.0</v>
      </c>
      <c r="X116" s="6">
        <v>7.0</v>
      </c>
      <c r="Y116" s="6">
        <v>15.0</v>
      </c>
      <c r="Z116" s="6">
        <v>0.0</v>
      </c>
      <c r="AA116" s="6">
        <v>2.0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</row>
    <row r="117">
      <c r="A117" s="5">
        <v>45235.0</v>
      </c>
      <c r="B117" s="6">
        <v>0.0</v>
      </c>
      <c r="C117" s="6">
        <v>0.0</v>
      </c>
      <c r="D117" s="6">
        <v>0.0</v>
      </c>
      <c r="E117" s="6">
        <v>0.0</v>
      </c>
      <c r="F117" s="6">
        <v>0.0</v>
      </c>
      <c r="G117" s="6">
        <v>0.0</v>
      </c>
      <c r="H117" s="4"/>
      <c r="I117" s="6">
        <v>0.0</v>
      </c>
      <c r="J117" s="6">
        <v>0.0</v>
      </c>
      <c r="K117" s="6">
        <v>0.0</v>
      </c>
      <c r="L117" s="6">
        <v>0.0</v>
      </c>
      <c r="M117" s="6">
        <v>0.0</v>
      </c>
      <c r="N117" s="6">
        <v>0.0</v>
      </c>
      <c r="O117" s="6">
        <v>0.0</v>
      </c>
      <c r="P117" s="6">
        <v>0.0</v>
      </c>
      <c r="Q117" s="6">
        <v>0.0</v>
      </c>
      <c r="R117" s="6">
        <v>0.0</v>
      </c>
      <c r="S117" s="6">
        <v>0.0</v>
      </c>
      <c r="T117" s="6">
        <v>0.0</v>
      </c>
      <c r="U117" s="6">
        <v>0.0</v>
      </c>
      <c r="V117" s="6">
        <v>0.0</v>
      </c>
      <c r="W117" s="6">
        <v>0.0</v>
      </c>
      <c r="X117" s="6">
        <v>0.0</v>
      </c>
      <c r="Y117" s="6">
        <v>0.0</v>
      </c>
      <c r="Z117" s="6">
        <v>0.0</v>
      </c>
      <c r="AA117" s="6">
        <v>0.0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</row>
    <row r="118">
      <c r="A118" s="5">
        <v>45236.0</v>
      </c>
      <c r="B118" s="6">
        <v>53.0</v>
      </c>
      <c r="C118" s="6">
        <v>215.0</v>
      </c>
      <c r="D118" s="6">
        <v>4.0</v>
      </c>
      <c r="E118" s="6">
        <v>4054.0</v>
      </c>
      <c r="F118" s="6">
        <v>76.0</v>
      </c>
      <c r="G118" s="6">
        <v>0.0</v>
      </c>
      <c r="H118" s="4"/>
      <c r="I118" s="6">
        <v>41.0</v>
      </c>
      <c r="J118" s="6">
        <v>3.0</v>
      </c>
      <c r="K118" s="6">
        <v>2.0</v>
      </c>
      <c r="L118" s="6">
        <v>0.0</v>
      </c>
      <c r="M118" s="6">
        <v>46.0</v>
      </c>
      <c r="N118" s="6">
        <v>36.0</v>
      </c>
      <c r="O118" s="6">
        <v>1.0</v>
      </c>
      <c r="P118" s="6">
        <v>16.0</v>
      </c>
      <c r="Q118" s="6">
        <v>19.0</v>
      </c>
      <c r="R118" s="6">
        <v>10.0</v>
      </c>
      <c r="S118" s="6">
        <v>22.0</v>
      </c>
      <c r="T118" s="6">
        <v>2.0</v>
      </c>
      <c r="U118" s="6">
        <v>0.0</v>
      </c>
      <c r="V118" s="6">
        <v>29.0</v>
      </c>
      <c r="W118" s="6">
        <v>1.0</v>
      </c>
      <c r="X118" s="6">
        <v>43.0</v>
      </c>
      <c r="Y118" s="6">
        <v>36.0</v>
      </c>
      <c r="Z118" s="6">
        <v>3.0</v>
      </c>
      <c r="AA118" s="6">
        <v>0.0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</row>
    <row r="119">
      <c r="A119" s="5">
        <v>45237.0</v>
      </c>
      <c r="B119" s="6">
        <v>42.0</v>
      </c>
      <c r="C119" s="6">
        <v>168.0</v>
      </c>
      <c r="D119" s="6">
        <v>4.0</v>
      </c>
      <c r="E119" s="6">
        <v>3206.0</v>
      </c>
      <c r="F119" s="6">
        <v>76.0</v>
      </c>
      <c r="G119" s="6">
        <v>0.0</v>
      </c>
      <c r="H119" s="4"/>
      <c r="I119" s="6">
        <v>29.0</v>
      </c>
      <c r="J119" s="6">
        <v>5.0</v>
      </c>
      <c r="K119" s="6">
        <v>1.0</v>
      </c>
      <c r="L119" s="6">
        <v>0.0</v>
      </c>
      <c r="M119" s="6">
        <v>35.0</v>
      </c>
      <c r="N119" s="6">
        <v>32.0</v>
      </c>
      <c r="O119" s="6">
        <v>2.0</v>
      </c>
      <c r="P119" s="6">
        <v>8.0</v>
      </c>
      <c r="Q119" s="6">
        <v>22.0</v>
      </c>
      <c r="R119" s="6">
        <v>5.0</v>
      </c>
      <c r="S119" s="6">
        <v>16.0</v>
      </c>
      <c r="T119" s="6">
        <v>1.0</v>
      </c>
      <c r="U119" s="6">
        <v>0.0</v>
      </c>
      <c r="V119" s="6">
        <v>29.0</v>
      </c>
      <c r="W119" s="6">
        <v>0.0</v>
      </c>
      <c r="X119" s="6">
        <v>27.0</v>
      </c>
      <c r="Y119" s="6">
        <v>35.0</v>
      </c>
      <c r="Z119" s="6">
        <v>1.0</v>
      </c>
      <c r="AA119" s="6">
        <v>2.0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</row>
    <row r="120">
      <c r="A120" s="5">
        <v>45238.0</v>
      </c>
      <c r="B120" s="6">
        <v>47.0</v>
      </c>
      <c r="C120" s="6">
        <v>203.0</v>
      </c>
      <c r="D120" s="6">
        <v>4.0</v>
      </c>
      <c r="E120" s="6">
        <v>4314.0</v>
      </c>
      <c r="F120" s="6">
        <v>92.0</v>
      </c>
      <c r="G120" s="6">
        <v>0.0</v>
      </c>
      <c r="H120" s="4"/>
      <c r="I120" s="6">
        <v>27.0</v>
      </c>
      <c r="J120" s="6">
        <v>7.0</v>
      </c>
      <c r="K120" s="6">
        <v>2.0</v>
      </c>
      <c r="L120" s="6">
        <v>0.0</v>
      </c>
      <c r="M120" s="6">
        <v>36.0</v>
      </c>
      <c r="N120" s="6">
        <v>33.0</v>
      </c>
      <c r="O120" s="6">
        <v>0.0</v>
      </c>
      <c r="P120" s="6">
        <v>14.0</v>
      </c>
      <c r="Q120" s="6">
        <v>20.0</v>
      </c>
      <c r="R120" s="6">
        <v>9.0</v>
      </c>
      <c r="S120" s="6">
        <v>22.0</v>
      </c>
      <c r="T120" s="6">
        <v>2.0</v>
      </c>
      <c r="U120" s="6">
        <v>0.0</v>
      </c>
      <c r="V120" s="6">
        <v>29.0</v>
      </c>
      <c r="W120" s="6">
        <v>0.0</v>
      </c>
      <c r="X120" s="6">
        <v>48.0</v>
      </c>
      <c r="Y120" s="6">
        <v>34.0</v>
      </c>
      <c r="Z120" s="6">
        <v>2.0</v>
      </c>
      <c r="AA120" s="6">
        <v>0.0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</row>
    <row r="121">
      <c r="A121" s="5">
        <v>45239.0</v>
      </c>
      <c r="B121" s="6">
        <v>39.0</v>
      </c>
      <c r="C121" s="6">
        <v>149.0</v>
      </c>
      <c r="D121" s="6">
        <v>4.0</v>
      </c>
      <c r="E121" s="6">
        <v>2458.0</v>
      </c>
      <c r="F121" s="6">
        <v>63.0</v>
      </c>
      <c r="G121" s="6">
        <v>0.0</v>
      </c>
      <c r="H121" s="4"/>
      <c r="I121" s="6">
        <v>22.0</v>
      </c>
      <c r="J121" s="6">
        <v>7.0</v>
      </c>
      <c r="K121" s="6">
        <v>1.0</v>
      </c>
      <c r="L121" s="6">
        <v>0.0</v>
      </c>
      <c r="M121" s="6">
        <v>30.0</v>
      </c>
      <c r="N121" s="6">
        <v>25.0</v>
      </c>
      <c r="O121" s="6">
        <v>0.0</v>
      </c>
      <c r="P121" s="6">
        <v>14.0</v>
      </c>
      <c r="Q121" s="6">
        <v>12.0</v>
      </c>
      <c r="R121" s="6">
        <v>11.0</v>
      </c>
      <c r="S121" s="6">
        <v>14.0</v>
      </c>
      <c r="T121" s="6">
        <v>1.0</v>
      </c>
      <c r="U121" s="6">
        <v>0.0</v>
      </c>
      <c r="V121" s="6">
        <v>23.0</v>
      </c>
      <c r="W121" s="6">
        <v>1.0</v>
      </c>
      <c r="X121" s="6">
        <v>22.0</v>
      </c>
      <c r="Y121" s="6">
        <v>26.0</v>
      </c>
      <c r="Z121" s="6">
        <v>2.0</v>
      </c>
      <c r="AA121" s="6">
        <v>0.0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</row>
    <row r="122">
      <c r="A122" s="5">
        <v>45240.0</v>
      </c>
      <c r="B122" s="6">
        <v>32.0</v>
      </c>
      <c r="C122" s="6">
        <v>139.0</v>
      </c>
      <c r="D122" s="6">
        <v>4.0</v>
      </c>
      <c r="E122" s="6">
        <v>2636.0</v>
      </c>
      <c r="F122" s="6">
        <v>82.0</v>
      </c>
      <c r="G122" s="6">
        <v>0.0</v>
      </c>
      <c r="H122" s="4"/>
      <c r="I122" s="6">
        <v>24.0</v>
      </c>
      <c r="J122" s="6">
        <v>4.0</v>
      </c>
      <c r="K122" s="6">
        <v>0.0</v>
      </c>
      <c r="L122" s="6">
        <v>0.0</v>
      </c>
      <c r="M122" s="6">
        <v>28.0</v>
      </c>
      <c r="N122" s="6">
        <v>28.0</v>
      </c>
      <c r="O122" s="6">
        <v>0.0</v>
      </c>
      <c r="P122" s="6">
        <v>4.0</v>
      </c>
      <c r="Q122" s="6">
        <v>17.0</v>
      </c>
      <c r="R122" s="6">
        <v>2.0</v>
      </c>
      <c r="S122" s="6">
        <v>22.0</v>
      </c>
      <c r="T122" s="6">
        <v>0.0</v>
      </c>
      <c r="U122" s="6">
        <v>0.0</v>
      </c>
      <c r="V122" s="6">
        <v>19.0</v>
      </c>
      <c r="W122" s="6">
        <v>0.0</v>
      </c>
      <c r="X122" s="6">
        <v>27.0</v>
      </c>
      <c r="Y122" s="6">
        <v>22.0</v>
      </c>
      <c r="Z122" s="6">
        <v>0.0</v>
      </c>
      <c r="AA122" s="6">
        <v>0.0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</row>
    <row r="123">
      <c r="A123" s="5">
        <v>45241.0</v>
      </c>
      <c r="B123" s="6">
        <v>0.0</v>
      </c>
      <c r="C123" s="6">
        <v>0.0</v>
      </c>
      <c r="D123" s="6">
        <v>0.0</v>
      </c>
      <c r="E123" s="6">
        <v>0.0</v>
      </c>
      <c r="F123" s="6">
        <v>0.0</v>
      </c>
      <c r="G123" s="6">
        <v>0.0</v>
      </c>
      <c r="H123" s="4"/>
      <c r="I123" s="6">
        <v>0.0</v>
      </c>
      <c r="J123" s="6">
        <v>0.0</v>
      </c>
      <c r="K123" s="6">
        <v>0.0</v>
      </c>
      <c r="L123" s="6">
        <v>0.0</v>
      </c>
      <c r="M123" s="6">
        <v>0.0</v>
      </c>
      <c r="N123" s="6">
        <v>0.0</v>
      </c>
      <c r="O123" s="6">
        <v>0.0</v>
      </c>
      <c r="P123" s="6">
        <v>0.0</v>
      </c>
      <c r="Q123" s="6">
        <v>0.0</v>
      </c>
      <c r="R123" s="6">
        <v>0.0</v>
      </c>
      <c r="S123" s="6">
        <v>0.0</v>
      </c>
      <c r="T123" s="6">
        <v>0.0</v>
      </c>
      <c r="U123" s="6">
        <v>0.0</v>
      </c>
      <c r="V123" s="6">
        <v>0.0</v>
      </c>
      <c r="W123" s="6">
        <v>0.0</v>
      </c>
      <c r="X123" s="6">
        <v>0.0</v>
      </c>
      <c r="Y123" s="6">
        <v>0.0</v>
      </c>
      <c r="Z123" s="6">
        <v>0.0</v>
      </c>
      <c r="AA123" s="6">
        <v>0.0</v>
      </c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</row>
    <row r="124">
      <c r="A124" s="5">
        <v>45242.0</v>
      </c>
      <c r="B124" s="6">
        <v>0.0</v>
      </c>
      <c r="C124" s="6">
        <v>0.0</v>
      </c>
      <c r="D124" s="6">
        <v>0.0</v>
      </c>
      <c r="E124" s="6">
        <v>0.0</v>
      </c>
      <c r="F124" s="6">
        <v>0.0</v>
      </c>
      <c r="G124" s="6">
        <v>0.0</v>
      </c>
      <c r="H124" s="4"/>
      <c r="I124" s="6">
        <v>0.0</v>
      </c>
      <c r="J124" s="6">
        <v>0.0</v>
      </c>
      <c r="K124" s="6">
        <v>0.0</v>
      </c>
      <c r="L124" s="6">
        <v>0.0</v>
      </c>
      <c r="M124" s="6">
        <v>0.0</v>
      </c>
      <c r="N124" s="6">
        <v>0.0</v>
      </c>
      <c r="O124" s="6">
        <v>0.0</v>
      </c>
      <c r="P124" s="6">
        <v>0.0</v>
      </c>
      <c r="Q124" s="6">
        <v>0.0</v>
      </c>
      <c r="R124" s="6">
        <v>0.0</v>
      </c>
      <c r="S124" s="6">
        <v>0.0</v>
      </c>
      <c r="T124" s="6">
        <v>0.0</v>
      </c>
      <c r="U124" s="6">
        <v>0.0</v>
      </c>
      <c r="V124" s="6">
        <v>0.0</v>
      </c>
      <c r="W124" s="6">
        <v>0.0</v>
      </c>
      <c r="X124" s="6">
        <v>0.0</v>
      </c>
      <c r="Y124" s="6">
        <v>0.0</v>
      </c>
      <c r="Z124" s="6">
        <v>0.0</v>
      </c>
      <c r="AA124" s="6">
        <v>0.0</v>
      </c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</row>
    <row r="125">
      <c r="A125" s="5">
        <v>45243.0</v>
      </c>
      <c r="B125" s="6">
        <v>43.0</v>
      </c>
      <c r="C125" s="6">
        <v>148.0</v>
      </c>
      <c r="D125" s="6">
        <v>3.0</v>
      </c>
      <c r="E125" s="6">
        <v>2613.0</v>
      </c>
      <c r="F125" s="6">
        <v>61.0</v>
      </c>
      <c r="G125" s="6">
        <v>0.0</v>
      </c>
      <c r="H125" s="4"/>
      <c r="I125" s="6">
        <v>32.0</v>
      </c>
      <c r="J125" s="6">
        <v>4.0</v>
      </c>
      <c r="K125" s="6">
        <v>1.0</v>
      </c>
      <c r="L125" s="6">
        <v>0.0</v>
      </c>
      <c r="M125" s="6">
        <v>37.0</v>
      </c>
      <c r="N125" s="6">
        <v>36.0</v>
      </c>
      <c r="O125" s="6">
        <v>0.0</v>
      </c>
      <c r="P125" s="6">
        <v>7.0</v>
      </c>
      <c r="Q125" s="6">
        <v>19.0</v>
      </c>
      <c r="R125" s="6">
        <v>3.0</v>
      </c>
      <c r="S125" s="6">
        <v>13.0</v>
      </c>
      <c r="T125" s="6">
        <v>2.0</v>
      </c>
      <c r="U125" s="6">
        <v>0.0</v>
      </c>
      <c r="V125" s="6">
        <v>22.0</v>
      </c>
      <c r="W125" s="6">
        <v>1.0</v>
      </c>
      <c r="X125" s="6">
        <v>18.0</v>
      </c>
      <c r="Y125" s="6">
        <v>29.0</v>
      </c>
      <c r="Z125" s="6">
        <v>3.0</v>
      </c>
      <c r="AA125" s="6">
        <v>0.0</v>
      </c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</row>
    <row r="126">
      <c r="A126" s="5">
        <v>45244.0</v>
      </c>
      <c r="B126" s="6">
        <v>41.0</v>
      </c>
      <c r="C126" s="6">
        <v>157.0</v>
      </c>
      <c r="D126" s="6">
        <v>4.0</v>
      </c>
      <c r="E126" s="6">
        <v>2834.0</v>
      </c>
      <c r="F126" s="6">
        <v>69.0</v>
      </c>
      <c r="G126" s="6">
        <v>0.0</v>
      </c>
      <c r="H126" s="4"/>
      <c r="I126" s="6">
        <v>28.0</v>
      </c>
      <c r="J126" s="6">
        <v>3.0</v>
      </c>
      <c r="K126" s="6">
        <v>0.0</v>
      </c>
      <c r="L126" s="6">
        <v>1.0</v>
      </c>
      <c r="M126" s="6">
        <v>32.0</v>
      </c>
      <c r="N126" s="6">
        <v>23.0</v>
      </c>
      <c r="O126" s="6">
        <v>8.0</v>
      </c>
      <c r="P126" s="6">
        <v>10.0</v>
      </c>
      <c r="Q126" s="6">
        <v>13.0</v>
      </c>
      <c r="R126" s="6">
        <v>6.0</v>
      </c>
      <c r="S126" s="6">
        <v>15.0</v>
      </c>
      <c r="T126" s="6">
        <v>1.0</v>
      </c>
      <c r="U126" s="6">
        <v>0.0</v>
      </c>
      <c r="V126" s="6">
        <v>27.0</v>
      </c>
      <c r="W126" s="6">
        <v>0.0</v>
      </c>
      <c r="X126" s="6">
        <v>21.0</v>
      </c>
      <c r="Y126" s="6">
        <v>31.0</v>
      </c>
      <c r="Z126" s="6">
        <v>1.0</v>
      </c>
      <c r="AA126" s="6">
        <v>8.0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</row>
    <row r="127">
      <c r="A127" s="5">
        <v>45245.0</v>
      </c>
      <c r="B127" s="6">
        <v>34.0</v>
      </c>
      <c r="C127" s="6">
        <v>114.0</v>
      </c>
      <c r="D127" s="6">
        <v>3.0</v>
      </c>
      <c r="E127" s="6">
        <v>1894.0</v>
      </c>
      <c r="F127" s="6">
        <v>56.0</v>
      </c>
      <c r="G127" s="6">
        <v>0.0</v>
      </c>
      <c r="H127" s="4"/>
      <c r="I127" s="6">
        <v>20.0</v>
      </c>
      <c r="J127" s="6">
        <v>4.0</v>
      </c>
      <c r="K127" s="6">
        <v>2.0</v>
      </c>
      <c r="L127" s="6">
        <v>0.0</v>
      </c>
      <c r="M127" s="6">
        <v>26.0</v>
      </c>
      <c r="N127" s="6">
        <v>25.0</v>
      </c>
      <c r="O127" s="6">
        <v>3.0</v>
      </c>
      <c r="P127" s="6">
        <v>6.0</v>
      </c>
      <c r="Q127" s="6">
        <v>19.0</v>
      </c>
      <c r="R127" s="6">
        <v>2.0</v>
      </c>
      <c r="S127" s="6">
        <v>11.0</v>
      </c>
      <c r="T127" s="6">
        <v>0.0</v>
      </c>
      <c r="U127" s="6">
        <v>0.0</v>
      </c>
      <c r="V127" s="6">
        <v>24.0</v>
      </c>
      <c r="W127" s="6">
        <v>0.0</v>
      </c>
      <c r="X127" s="6">
        <v>7.0</v>
      </c>
      <c r="Y127" s="6">
        <v>26.0</v>
      </c>
      <c r="Z127" s="6">
        <v>0.0</v>
      </c>
      <c r="AA127" s="6">
        <v>3.0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</row>
    <row r="128">
      <c r="A128" s="5">
        <v>45246.0</v>
      </c>
      <c r="B128" s="6">
        <v>51.0</v>
      </c>
      <c r="C128" s="6">
        <v>205.0</v>
      </c>
      <c r="D128" s="6">
        <v>4.0</v>
      </c>
      <c r="E128" s="6">
        <v>3211.0</v>
      </c>
      <c r="F128" s="6">
        <v>63.0</v>
      </c>
      <c r="G128" s="6">
        <v>0.0</v>
      </c>
      <c r="H128" s="4"/>
      <c r="I128" s="6">
        <v>32.0</v>
      </c>
      <c r="J128" s="6">
        <v>6.0</v>
      </c>
      <c r="K128" s="6">
        <v>1.0</v>
      </c>
      <c r="L128" s="6">
        <v>1.0</v>
      </c>
      <c r="M128" s="6">
        <v>40.0</v>
      </c>
      <c r="N128" s="6">
        <v>35.0</v>
      </c>
      <c r="O128" s="6">
        <v>1.0</v>
      </c>
      <c r="P128" s="6">
        <v>14.0</v>
      </c>
      <c r="Q128" s="6">
        <v>17.0</v>
      </c>
      <c r="R128" s="6">
        <v>10.0</v>
      </c>
      <c r="S128" s="6">
        <v>24.0</v>
      </c>
      <c r="T128" s="6">
        <v>2.0</v>
      </c>
      <c r="U128" s="6">
        <v>0.0</v>
      </c>
      <c r="V128" s="6">
        <v>27.0</v>
      </c>
      <c r="W128" s="6">
        <v>0.0</v>
      </c>
      <c r="X128" s="6">
        <v>21.0</v>
      </c>
      <c r="Y128" s="6">
        <v>31.0</v>
      </c>
      <c r="Z128" s="6">
        <v>2.0</v>
      </c>
      <c r="AA128" s="6">
        <v>0.0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</row>
    <row r="129">
      <c r="A129" s="5">
        <v>45247.0</v>
      </c>
      <c r="B129" s="6">
        <v>44.0</v>
      </c>
      <c r="C129" s="6">
        <v>175.0</v>
      </c>
      <c r="D129" s="6">
        <v>4.0</v>
      </c>
      <c r="E129" s="6">
        <v>2887.0</v>
      </c>
      <c r="F129" s="6">
        <v>66.0</v>
      </c>
      <c r="G129" s="6">
        <v>0.0</v>
      </c>
      <c r="H129" s="4"/>
      <c r="I129" s="6">
        <v>28.0</v>
      </c>
      <c r="J129" s="6">
        <v>5.0</v>
      </c>
      <c r="K129" s="6">
        <v>2.0</v>
      </c>
      <c r="L129" s="6">
        <v>0.0</v>
      </c>
      <c r="M129" s="6">
        <v>35.0</v>
      </c>
      <c r="N129" s="6">
        <v>37.0</v>
      </c>
      <c r="O129" s="6">
        <v>0.0</v>
      </c>
      <c r="P129" s="6">
        <v>7.0</v>
      </c>
      <c r="Q129" s="6">
        <v>28.0</v>
      </c>
      <c r="R129" s="6">
        <v>7.0</v>
      </c>
      <c r="S129" s="6">
        <v>19.0</v>
      </c>
      <c r="T129" s="6">
        <v>0.0</v>
      </c>
      <c r="U129" s="6">
        <v>0.0</v>
      </c>
      <c r="V129" s="6">
        <v>35.0</v>
      </c>
      <c r="W129" s="6">
        <v>0.0</v>
      </c>
      <c r="X129" s="6">
        <v>17.0</v>
      </c>
      <c r="Y129" s="6">
        <v>35.0</v>
      </c>
      <c r="Z129" s="6">
        <v>0.0</v>
      </c>
      <c r="AA129" s="6">
        <v>0.0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</row>
    <row r="130">
      <c r="A130" s="5">
        <v>45248.0</v>
      </c>
      <c r="B130" s="6">
        <v>31.0</v>
      </c>
      <c r="C130" s="6">
        <v>105.0</v>
      </c>
      <c r="D130" s="6">
        <v>3.0</v>
      </c>
      <c r="E130" s="6">
        <v>1835.0</v>
      </c>
      <c r="F130" s="6">
        <v>59.0</v>
      </c>
      <c r="G130" s="6">
        <v>0.0</v>
      </c>
      <c r="H130" s="4"/>
      <c r="I130" s="6">
        <v>20.0</v>
      </c>
      <c r="J130" s="6">
        <v>4.0</v>
      </c>
      <c r="K130" s="6">
        <v>1.0</v>
      </c>
      <c r="L130" s="6">
        <v>0.0</v>
      </c>
      <c r="M130" s="6">
        <v>25.0</v>
      </c>
      <c r="N130" s="6">
        <v>23.0</v>
      </c>
      <c r="O130" s="6">
        <v>3.0</v>
      </c>
      <c r="P130" s="6">
        <v>4.0</v>
      </c>
      <c r="Q130" s="6">
        <v>12.0</v>
      </c>
      <c r="R130" s="6">
        <v>4.0</v>
      </c>
      <c r="S130" s="6">
        <v>10.0</v>
      </c>
      <c r="T130" s="6">
        <v>1.0</v>
      </c>
      <c r="U130" s="6">
        <v>0.0</v>
      </c>
      <c r="V130" s="6">
        <v>17.0</v>
      </c>
      <c r="W130" s="6">
        <v>0.0</v>
      </c>
      <c r="X130" s="6">
        <v>12.0</v>
      </c>
      <c r="Y130" s="6">
        <v>18.0</v>
      </c>
      <c r="Z130" s="6">
        <v>1.0</v>
      </c>
      <c r="AA130" s="6">
        <v>1.0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</row>
    <row r="131">
      <c r="A131" s="5">
        <v>45249.0</v>
      </c>
      <c r="B131" s="6">
        <v>0.0</v>
      </c>
      <c r="C131" s="6">
        <v>0.0</v>
      </c>
      <c r="D131" s="6">
        <v>0.0</v>
      </c>
      <c r="E131" s="6">
        <v>0.0</v>
      </c>
      <c r="F131" s="6">
        <v>0.0</v>
      </c>
      <c r="G131" s="6">
        <v>0.0</v>
      </c>
      <c r="H131" s="4"/>
      <c r="I131" s="6">
        <v>0.0</v>
      </c>
      <c r="J131" s="6">
        <v>0.0</v>
      </c>
      <c r="K131" s="6">
        <v>0.0</v>
      </c>
      <c r="L131" s="6">
        <v>0.0</v>
      </c>
      <c r="M131" s="6">
        <v>0.0</v>
      </c>
      <c r="N131" s="6">
        <v>0.0</v>
      </c>
      <c r="O131" s="6">
        <v>0.0</v>
      </c>
      <c r="P131" s="6">
        <v>0.0</v>
      </c>
      <c r="Q131" s="6">
        <v>0.0</v>
      </c>
      <c r="R131" s="6">
        <v>0.0</v>
      </c>
      <c r="S131" s="6">
        <v>0.0</v>
      </c>
      <c r="T131" s="6">
        <v>0.0</v>
      </c>
      <c r="U131" s="6">
        <v>0.0</v>
      </c>
      <c r="V131" s="6">
        <v>0.0</v>
      </c>
      <c r="W131" s="6">
        <v>0.0</v>
      </c>
      <c r="X131" s="6">
        <v>0.0</v>
      </c>
      <c r="Y131" s="6">
        <v>0.0</v>
      </c>
      <c r="Z131" s="6">
        <v>0.0</v>
      </c>
      <c r="AA131" s="6">
        <v>0.0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</row>
    <row r="132">
      <c r="A132" s="5">
        <v>45250.0</v>
      </c>
      <c r="B132" s="6">
        <v>63.0</v>
      </c>
      <c r="C132" s="6">
        <v>270.0</v>
      </c>
      <c r="D132" s="6">
        <v>4.0</v>
      </c>
      <c r="E132" s="6">
        <v>4927.0</v>
      </c>
      <c r="F132" s="6">
        <v>78.0</v>
      </c>
      <c r="G132" s="6">
        <v>0.0</v>
      </c>
      <c r="H132" s="4"/>
      <c r="I132" s="6">
        <v>37.0</v>
      </c>
      <c r="J132" s="6">
        <v>8.0</v>
      </c>
      <c r="K132" s="6">
        <v>1.0</v>
      </c>
      <c r="L132" s="6">
        <v>1.0</v>
      </c>
      <c r="M132" s="6">
        <v>47.0</v>
      </c>
      <c r="N132" s="6">
        <v>45.0</v>
      </c>
      <c r="O132" s="6">
        <v>8.0</v>
      </c>
      <c r="P132" s="6">
        <v>9.0</v>
      </c>
      <c r="Q132" s="6">
        <v>26.0</v>
      </c>
      <c r="R132" s="6">
        <v>6.0</v>
      </c>
      <c r="S132" s="6">
        <v>40.0</v>
      </c>
      <c r="T132" s="6">
        <v>1.0</v>
      </c>
      <c r="U132" s="6">
        <v>0.0</v>
      </c>
      <c r="V132" s="6">
        <v>36.0</v>
      </c>
      <c r="W132" s="6">
        <v>2.0</v>
      </c>
      <c r="X132" s="6">
        <v>44.0</v>
      </c>
      <c r="Y132" s="6">
        <v>42.0</v>
      </c>
      <c r="Z132" s="6">
        <v>3.0</v>
      </c>
      <c r="AA132" s="6">
        <v>4.0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</row>
    <row r="133">
      <c r="A133" s="5">
        <v>45251.0</v>
      </c>
      <c r="B133" s="6">
        <v>63.0</v>
      </c>
      <c r="C133" s="6">
        <v>245.0</v>
      </c>
      <c r="D133" s="6">
        <v>4.0</v>
      </c>
      <c r="E133" s="6">
        <v>4657.0</v>
      </c>
      <c r="F133" s="6">
        <v>74.0</v>
      </c>
      <c r="G133" s="6">
        <v>0.0</v>
      </c>
      <c r="H133" s="4"/>
      <c r="I133" s="6">
        <v>45.0</v>
      </c>
      <c r="J133" s="6">
        <v>6.0</v>
      </c>
      <c r="K133" s="6">
        <v>2.0</v>
      </c>
      <c r="L133" s="6">
        <v>0.0</v>
      </c>
      <c r="M133" s="6">
        <v>53.0</v>
      </c>
      <c r="N133" s="6">
        <v>55.0</v>
      </c>
      <c r="O133" s="6">
        <v>0.0</v>
      </c>
      <c r="P133" s="6">
        <v>8.0</v>
      </c>
      <c r="Q133" s="6">
        <v>29.0</v>
      </c>
      <c r="R133" s="6">
        <v>3.0</v>
      </c>
      <c r="S133" s="6">
        <v>20.0</v>
      </c>
      <c r="T133" s="6">
        <v>4.0</v>
      </c>
      <c r="U133" s="6">
        <v>0.0</v>
      </c>
      <c r="V133" s="6">
        <v>32.0</v>
      </c>
      <c r="W133" s="6">
        <v>1.0</v>
      </c>
      <c r="X133" s="6">
        <v>44.0</v>
      </c>
      <c r="Y133" s="6">
        <v>44.0</v>
      </c>
      <c r="Z133" s="6">
        <v>5.0</v>
      </c>
      <c r="AA133" s="6">
        <v>0.0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</row>
    <row r="134">
      <c r="A134" s="5">
        <v>45252.0</v>
      </c>
      <c r="B134" s="6">
        <v>70.0</v>
      </c>
      <c r="C134" s="6">
        <v>282.0</v>
      </c>
      <c r="D134" s="6">
        <v>4.0</v>
      </c>
      <c r="E134" s="6">
        <v>5439.0</v>
      </c>
      <c r="F134" s="6">
        <v>78.0</v>
      </c>
      <c r="G134" s="6">
        <v>0.0</v>
      </c>
      <c r="H134" s="4"/>
      <c r="I134" s="6">
        <v>48.0</v>
      </c>
      <c r="J134" s="6">
        <v>8.0</v>
      </c>
      <c r="K134" s="6">
        <v>2.0</v>
      </c>
      <c r="L134" s="6">
        <v>0.0</v>
      </c>
      <c r="M134" s="6">
        <v>58.0</v>
      </c>
      <c r="N134" s="6">
        <v>52.0</v>
      </c>
      <c r="O134" s="6">
        <v>3.0</v>
      </c>
      <c r="P134" s="6">
        <v>15.0</v>
      </c>
      <c r="Q134" s="6">
        <v>32.0</v>
      </c>
      <c r="R134" s="6">
        <v>9.0</v>
      </c>
      <c r="S134" s="6">
        <v>46.0</v>
      </c>
      <c r="T134" s="6">
        <v>5.0</v>
      </c>
      <c r="U134" s="6">
        <v>0.0</v>
      </c>
      <c r="V134" s="6">
        <v>43.0</v>
      </c>
      <c r="W134" s="6">
        <v>0.0</v>
      </c>
      <c r="X134" s="6">
        <v>36.0</v>
      </c>
      <c r="Y134" s="6">
        <v>54.0</v>
      </c>
      <c r="Z134" s="6">
        <v>5.0</v>
      </c>
      <c r="AA134" s="6">
        <v>2.0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</row>
    <row r="135">
      <c r="A135" s="5">
        <v>45253.0</v>
      </c>
      <c r="B135" s="6">
        <v>76.0</v>
      </c>
      <c r="C135" s="6">
        <v>300.0</v>
      </c>
      <c r="D135" s="6">
        <v>4.0</v>
      </c>
      <c r="E135" s="6">
        <v>5416.0</v>
      </c>
      <c r="F135" s="6">
        <v>71.0</v>
      </c>
      <c r="G135" s="6">
        <v>0.0</v>
      </c>
      <c r="H135" s="4"/>
      <c r="I135" s="6">
        <v>45.0</v>
      </c>
      <c r="J135" s="6">
        <v>8.0</v>
      </c>
      <c r="K135" s="6">
        <v>2.0</v>
      </c>
      <c r="L135" s="6">
        <v>1.0</v>
      </c>
      <c r="M135" s="6">
        <v>57.0</v>
      </c>
      <c r="N135" s="6">
        <v>57.0</v>
      </c>
      <c r="O135" s="6">
        <v>4.0</v>
      </c>
      <c r="P135" s="6">
        <v>14.0</v>
      </c>
      <c r="Q135" s="6">
        <v>29.0</v>
      </c>
      <c r="R135" s="6">
        <v>8.0</v>
      </c>
      <c r="S135" s="6">
        <v>29.0</v>
      </c>
      <c r="T135" s="6">
        <v>4.0</v>
      </c>
      <c r="U135" s="6">
        <v>0.0</v>
      </c>
      <c r="V135" s="6">
        <v>40.0</v>
      </c>
      <c r="W135" s="6">
        <v>1.0</v>
      </c>
      <c r="X135" s="6">
        <v>53.0</v>
      </c>
      <c r="Y135" s="6">
        <v>49.0</v>
      </c>
      <c r="Z135" s="6">
        <v>5.0</v>
      </c>
      <c r="AA135" s="6">
        <v>3.0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</row>
    <row r="136">
      <c r="A136" s="5">
        <v>45254.0</v>
      </c>
      <c r="B136" s="6">
        <v>57.0</v>
      </c>
      <c r="C136" s="6">
        <v>222.0</v>
      </c>
      <c r="D136" s="6">
        <v>4.0</v>
      </c>
      <c r="E136" s="6">
        <v>4100.0</v>
      </c>
      <c r="F136" s="6">
        <v>72.0</v>
      </c>
      <c r="G136" s="6">
        <v>0.0</v>
      </c>
      <c r="H136" s="4"/>
      <c r="I136" s="6">
        <v>41.0</v>
      </c>
      <c r="J136" s="6">
        <v>8.0</v>
      </c>
      <c r="K136" s="6">
        <v>0.0</v>
      </c>
      <c r="L136" s="6">
        <v>0.0</v>
      </c>
      <c r="M136" s="6">
        <v>49.0</v>
      </c>
      <c r="N136" s="6">
        <v>46.0</v>
      </c>
      <c r="O136" s="6">
        <v>0.0</v>
      </c>
      <c r="P136" s="6">
        <v>11.0</v>
      </c>
      <c r="Q136" s="6">
        <v>27.0</v>
      </c>
      <c r="R136" s="6">
        <v>5.0</v>
      </c>
      <c r="S136" s="6">
        <v>25.0</v>
      </c>
      <c r="T136" s="6">
        <v>4.0</v>
      </c>
      <c r="U136" s="6">
        <v>0.0</v>
      </c>
      <c r="V136" s="6">
        <v>32.0</v>
      </c>
      <c r="W136" s="6">
        <v>0.0</v>
      </c>
      <c r="X136" s="6">
        <v>30.0</v>
      </c>
      <c r="Y136" s="6">
        <v>41.0</v>
      </c>
      <c r="Z136" s="6">
        <v>4.0</v>
      </c>
      <c r="AA136" s="6">
        <v>0.0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</row>
    <row r="137">
      <c r="A137" s="5">
        <v>45255.0</v>
      </c>
      <c r="B137" s="6">
        <v>46.0</v>
      </c>
      <c r="C137" s="6">
        <v>204.0</v>
      </c>
      <c r="D137" s="6">
        <v>4.0</v>
      </c>
      <c r="E137" s="6">
        <v>3280.0</v>
      </c>
      <c r="F137" s="6">
        <v>71.0</v>
      </c>
      <c r="G137" s="6">
        <v>0.0</v>
      </c>
      <c r="H137" s="4"/>
      <c r="I137" s="6">
        <v>41.0</v>
      </c>
      <c r="J137" s="6">
        <v>1.0</v>
      </c>
      <c r="K137" s="6">
        <v>1.0</v>
      </c>
      <c r="L137" s="6">
        <v>0.0</v>
      </c>
      <c r="M137" s="6">
        <v>43.0</v>
      </c>
      <c r="N137" s="6">
        <v>34.0</v>
      </c>
      <c r="O137" s="6">
        <v>0.0</v>
      </c>
      <c r="P137" s="6">
        <v>12.0</v>
      </c>
      <c r="Q137" s="6">
        <v>19.0</v>
      </c>
      <c r="R137" s="6">
        <v>8.0</v>
      </c>
      <c r="S137" s="6">
        <v>17.0</v>
      </c>
      <c r="T137" s="6">
        <v>3.0</v>
      </c>
      <c r="U137" s="6">
        <v>0.0</v>
      </c>
      <c r="V137" s="6">
        <v>27.0</v>
      </c>
      <c r="W137" s="6">
        <v>0.0</v>
      </c>
      <c r="X137" s="6">
        <v>32.0</v>
      </c>
      <c r="Y137" s="6">
        <v>33.0</v>
      </c>
      <c r="Z137" s="6">
        <v>3.0</v>
      </c>
      <c r="AA137" s="6">
        <v>0.0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</row>
    <row r="138">
      <c r="A138" s="5">
        <v>45256.0</v>
      </c>
      <c r="B138" s="6">
        <v>0.0</v>
      </c>
      <c r="C138" s="6">
        <v>0.0</v>
      </c>
      <c r="D138" s="6">
        <v>0.0</v>
      </c>
      <c r="E138" s="6">
        <v>0.0</v>
      </c>
      <c r="F138" s="6">
        <v>0.0</v>
      </c>
      <c r="G138" s="6">
        <v>0.0</v>
      </c>
      <c r="H138" s="4"/>
      <c r="I138" s="6">
        <v>0.0</v>
      </c>
      <c r="J138" s="6">
        <v>0.0</v>
      </c>
      <c r="K138" s="6">
        <v>0.0</v>
      </c>
      <c r="L138" s="6">
        <v>0.0</v>
      </c>
      <c r="M138" s="6">
        <v>0.0</v>
      </c>
      <c r="N138" s="6">
        <v>0.0</v>
      </c>
      <c r="O138" s="6">
        <v>0.0</v>
      </c>
      <c r="P138" s="6">
        <v>0.0</v>
      </c>
      <c r="Q138" s="6">
        <v>0.0</v>
      </c>
      <c r="R138" s="6">
        <v>0.0</v>
      </c>
      <c r="S138" s="6">
        <v>0.0</v>
      </c>
      <c r="T138" s="6">
        <v>0.0</v>
      </c>
      <c r="U138" s="6">
        <v>0.0</v>
      </c>
      <c r="V138" s="6">
        <v>0.0</v>
      </c>
      <c r="W138" s="6">
        <v>0.0</v>
      </c>
      <c r="X138" s="6">
        <v>0.0</v>
      </c>
      <c r="Y138" s="6">
        <v>0.0</v>
      </c>
      <c r="Z138" s="6">
        <v>0.0</v>
      </c>
      <c r="AA138" s="6">
        <v>0.0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</row>
    <row r="139">
      <c r="A139" s="5">
        <v>45257.0</v>
      </c>
      <c r="B139" s="6">
        <v>79.0</v>
      </c>
      <c r="C139" s="6">
        <v>358.0</v>
      </c>
      <c r="D139" s="6">
        <v>5.0</v>
      </c>
      <c r="E139" s="6">
        <v>7198.0</v>
      </c>
      <c r="F139" s="6">
        <v>91.0</v>
      </c>
      <c r="G139" s="6">
        <v>0.0</v>
      </c>
      <c r="H139" s="4"/>
      <c r="I139" s="6">
        <v>68.0</v>
      </c>
      <c r="J139" s="6">
        <v>4.0</v>
      </c>
      <c r="K139" s="6">
        <v>1.0</v>
      </c>
      <c r="L139" s="6">
        <v>0.0</v>
      </c>
      <c r="M139" s="6">
        <v>73.0</v>
      </c>
      <c r="N139" s="6">
        <v>42.0</v>
      </c>
      <c r="O139" s="6">
        <v>3.0</v>
      </c>
      <c r="P139" s="6">
        <v>34.0</v>
      </c>
      <c r="Q139" s="6">
        <v>27.0</v>
      </c>
      <c r="R139" s="6">
        <v>20.0</v>
      </c>
      <c r="S139" s="6">
        <v>22.0</v>
      </c>
      <c r="T139" s="6">
        <v>5.0</v>
      </c>
      <c r="U139" s="6">
        <v>0.0</v>
      </c>
      <c r="V139" s="6">
        <v>48.0</v>
      </c>
      <c r="W139" s="6">
        <v>4.0</v>
      </c>
      <c r="X139" s="6">
        <v>93.0</v>
      </c>
      <c r="Y139" s="6">
        <v>61.0</v>
      </c>
      <c r="Z139" s="6">
        <v>9.0</v>
      </c>
      <c r="AA139" s="6">
        <v>1.0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</row>
    <row r="140">
      <c r="A140" s="5">
        <v>45258.0</v>
      </c>
      <c r="B140" s="6">
        <v>95.0</v>
      </c>
      <c r="C140" s="6">
        <v>376.0</v>
      </c>
      <c r="D140" s="6">
        <v>4.0</v>
      </c>
      <c r="E140" s="6">
        <v>6522.0</v>
      </c>
      <c r="F140" s="6">
        <v>69.0</v>
      </c>
      <c r="G140" s="6">
        <v>0.0</v>
      </c>
      <c r="H140" s="4"/>
      <c r="I140" s="6">
        <v>59.0</v>
      </c>
      <c r="J140" s="6">
        <v>18.0</v>
      </c>
      <c r="K140" s="6">
        <v>0.0</v>
      </c>
      <c r="L140" s="6">
        <v>0.0</v>
      </c>
      <c r="M140" s="6">
        <v>77.0</v>
      </c>
      <c r="N140" s="6">
        <v>62.0</v>
      </c>
      <c r="O140" s="6">
        <v>4.0</v>
      </c>
      <c r="P140" s="6">
        <v>29.0</v>
      </c>
      <c r="Q140" s="6">
        <v>38.0</v>
      </c>
      <c r="R140" s="6">
        <v>18.0</v>
      </c>
      <c r="S140" s="6">
        <v>28.0</v>
      </c>
      <c r="T140" s="6">
        <v>7.0</v>
      </c>
      <c r="U140" s="6">
        <v>1.0</v>
      </c>
      <c r="V140" s="6">
        <v>58.0</v>
      </c>
      <c r="W140" s="6">
        <v>4.0</v>
      </c>
      <c r="X140" s="6">
        <v>56.0</v>
      </c>
      <c r="Y140" s="6">
        <v>74.0</v>
      </c>
      <c r="Z140" s="6">
        <v>12.0</v>
      </c>
      <c r="AA140" s="6">
        <v>2.0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</row>
    <row r="141">
      <c r="A141" s="5">
        <v>45259.0</v>
      </c>
      <c r="B141" s="6">
        <v>176.0</v>
      </c>
      <c r="C141" s="6">
        <v>657.0</v>
      </c>
      <c r="D141" s="6">
        <v>4.0</v>
      </c>
      <c r="E141" s="6">
        <v>11803.0</v>
      </c>
      <c r="F141" s="6">
        <v>67.0</v>
      </c>
      <c r="G141" s="6">
        <v>0.0</v>
      </c>
      <c r="H141" s="4"/>
      <c r="I141" s="6">
        <v>93.0</v>
      </c>
      <c r="J141" s="6">
        <v>17.0</v>
      </c>
      <c r="K141" s="6">
        <v>6.0</v>
      </c>
      <c r="L141" s="6">
        <v>2.0</v>
      </c>
      <c r="M141" s="6">
        <v>121.0</v>
      </c>
      <c r="N141" s="6">
        <v>95.0</v>
      </c>
      <c r="O141" s="6">
        <v>11.0</v>
      </c>
      <c r="P141" s="6">
        <v>70.0</v>
      </c>
      <c r="Q141" s="6">
        <v>60.0</v>
      </c>
      <c r="R141" s="6">
        <v>43.0</v>
      </c>
      <c r="S141" s="6">
        <v>38.0</v>
      </c>
      <c r="T141" s="6">
        <v>3.0</v>
      </c>
      <c r="U141" s="6">
        <v>0.0</v>
      </c>
      <c r="V141" s="6">
        <v>111.0</v>
      </c>
      <c r="W141" s="6">
        <v>7.0</v>
      </c>
      <c r="X141" s="6">
        <v>100.0</v>
      </c>
      <c r="Y141" s="6">
        <v>137.0</v>
      </c>
      <c r="Z141" s="6">
        <v>10.0</v>
      </c>
      <c r="AA141" s="6">
        <v>8.0</v>
      </c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</row>
    <row r="142">
      <c r="A142" s="5">
        <v>45260.0</v>
      </c>
      <c r="B142" s="6">
        <v>128.0</v>
      </c>
      <c r="C142" s="6">
        <v>500.0</v>
      </c>
      <c r="D142" s="6">
        <v>4.0</v>
      </c>
      <c r="E142" s="6">
        <v>8760.0</v>
      </c>
      <c r="F142" s="6">
        <v>68.0</v>
      </c>
      <c r="G142" s="6">
        <v>0.0</v>
      </c>
      <c r="H142" s="4"/>
      <c r="I142" s="6">
        <v>73.0</v>
      </c>
      <c r="J142" s="6">
        <v>15.0</v>
      </c>
      <c r="K142" s="6">
        <v>7.0</v>
      </c>
      <c r="L142" s="6">
        <v>1.0</v>
      </c>
      <c r="M142" s="6">
        <v>96.0</v>
      </c>
      <c r="N142" s="6">
        <v>76.0</v>
      </c>
      <c r="O142" s="6">
        <v>9.0</v>
      </c>
      <c r="P142" s="6">
        <v>43.0</v>
      </c>
      <c r="Q142" s="6">
        <v>39.0</v>
      </c>
      <c r="R142" s="6">
        <v>33.0</v>
      </c>
      <c r="S142" s="6">
        <v>63.0</v>
      </c>
      <c r="T142" s="6">
        <v>4.0</v>
      </c>
      <c r="U142" s="6">
        <v>0.0</v>
      </c>
      <c r="V142" s="6">
        <v>79.0</v>
      </c>
      <c r="W142" s="6">
        <v>3.0</v>
      </c>
      <c r="X142" s="6">
        <v>61.0</v>
      </c>
      <c r="Y142" s="6">
        <v>94.0</v>
      </c>
      <c r="Z142" s="6">
        <v>7.0</v>
      </c>
      <c r="AA142" s="6">
        <v>7.0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</row>
    <row r="143">
      <c r="A143" s="5">
        <v>45261.0</v>
      </c>
      <c r="B143" s="6">
        <v>66.0</v>
      </c>
      <c r="C143" s="6">
        <v>230.0</v>
      </c>
      <c r="D143" s="6">
        <v>3.0</v>
      </c>
      <c r="E143" s="6">
        <v>4000.0</v>
      </c>
      <c r="F143" s="6">
        <v>61.0</v>
      </c>
      <c r="G143" s="6">
        <v>0.0</v>
      </c>
      <c r="H143" s="4"/>
      <c r="I143" s="6">
        <v>49.0</v>
      </c>
      <c r="J143" s="6">
        <v>3.0</v>
      </c>
      <c r="K143" s="6">
        <v>1.0</v>
      </c>
      <c r="L143" s="6">
        <v>2.0</v>
      </c>
      <c r="M143" s="6">
        <v>55.0</v>
      </c>
      <c r="N143" s="6">
        <v>42.0</v>
      </c>
      <c r="O143" s="6">
        <v>0.0</v>
      </c>
      <c r="P143" s="6">
        <v>24.0</v>
      </c>
      <c r="Q143" s="6">
        <v>29.0</v>
      </c>
      <c r="R143" s="6">
        <v>19.0</v>
      </c>
      <c r="S143" s="6">
        <v>13.0</v>
      </c>
      <c r="T143" s="6">
        <v>3.0</v>
      </c>
      <c r="U143" s="6">
        <v>0.0</v>
      </c>
      <c r="V143" s="6">
        <v>48.0</v>
      </c>
      <c r="W143" s="6">
        <v>1.0</v>
      </c>
      <c r="X143" s="6">
        <v>21.0</v>
      </c>
      <c r="Y143" s="6">
        <v>56.0</v>
      </c>
      <c r="Z143" s="6">
        <v>4.0</v>
      </c>
      <c r="AA143" s="6">
        <v>0.0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</row>
    <row r="144">
      <c r="A144" s="5">
        <v>45262.0</v>
      </c>
      <c r="B144" s="6">
        <v>0.0</v>
      </c>
      <c r="C144" s="6">
        <v>0.0</v>
      </c>
      <c r="D144" s="6">
        <v>0.0</v>
      </c>
      <c r="E144" s="6">
        <v>0.0</v>
      </c>
      <c r="F144" s="6">
        <v>0.0</v>
      </c>
      <c r="G144" s="6">
        <v>0.0</v>
      </c>
      <c r="H144" s="4"/>
      <c r="I144" s="6">
        <v>0.0</v>
      </c>
      <c r="J144" s="6">
        <v>0.0</v>
      </c>
      <c r="K144" s="6">
        <v>0.0</v>
      </c>
      <c r="L144" s="6">
        <v>0.0</v>
      </c>
      <c r="M144" s="6">
        <v>0.0</v>
      </c>
      <c r="N144" s="6">
        <v>0.0</v>
      </c>
      <c r="O144" s="6">
        <v>0.0</v>
      </c>
      <c r="P144" s="6">
        <v>0.0</v>
      </c>
      <c r="Q144" s="6">
        <v>0.0</v>
      </c>
      <c r="R144" s="6">
        <v>0.0</v>
      </c>
      <c r="S144" s="6">
        <v>0.0</v>
      </c>
      <c r="T144" s="6">
        <v>0.0</v>
      </c>
      <c r="U144" s="6">
        <v>0.0</v>
      </c>
      <c r="V144" s="6">
        <v>0.0</v>
      </c>
      <c r="W144" s="6">
        <v>0.0</v>
      </c>
      <c r="X144" s="6">
        <v>0.0</v>
      </c>
      <c r="Y144" s="6">
        <v>0.0</v>
      </c>
      <c r="Z144" s="6">
        <v>0.0</v>
      </c>
      <c r="AA144" s="6">
        <v>0.0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</row>
    <row r="145">
      <c r="A145" s="5">
        <v>45263.0</v>
      </c>
      <c r="B145" s="6">
        <v>0.0</v>
      </c>
      <c r="C145" s="6">
        <v>0.0</v>
      </c>
      <c r="D145" s="6">
        <v>0.0</v>
      </c>
      <c r="E145" s="6">
        <v>0.0</v>
      </c>
      <c r="F145" s="6">
        <v>0.0</v>
      </c>
      <c r="G145" s="6">
        <v>0.0</v>
      </c>
      <c r="H145" s="4"/>
      <c r="I145" s="6">
        <v>0.0</v>
      </c>
      <c r="J145" s="6">
        <v>0.0</v>
      </c>
      <c r="K145" s="6">
        <v>0.0</v>
      </c>
      <c r="L145" s="6">
        <v>0.0</v>
      </c>
      <c r="M145" s="6">
        <v>0.0</v>
      </c>
      <c r="N145" s="6">
        <v>0.0</v>
      </c>
      <c r="O145" s="6">
        <v>0.0</v>
      </c>
      <c r="P145" s="6">
        <v>0.0</v>
      </c>
      <c r="Q145" s="6">
        <v>0.0</v>
      </c>
      <c r="R145" s="6">
        <v>0.0</v>
      </c>
      <c r="S145" s="6">
        <v>0.0</v>
      </c>
      <c r="T145" s="6">
        <v>0.0</v>
      </c>
      <c r="U145" s="6">
        <v>0.0</v>
      </c>
      <c r="V145" s="6">
        <v>0.0</v>
      </c>
      <c r="W145" s="6">
        <v>0.0</v>
      </c>
      <c r="X145" s="6">
        <v>0.0</v>
      </c>
      <c r="Y145" s="6">
        <v>0.0</v>
      </c>
      <c r="Z145" s="6">
        <v>0.0</v>
      </c>
      <c r="AA145" s="6">
        <v>0.0</v>
      </c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</row>
    <row r="146">
      <c r="A146" s="5">
        <v>45264.0</v>
      </c>
      <c r="B146" s="6">
        <v>44.0</v>
      </c>
      <c r="C146" s="6">
        <v>162.0</v>
      </c>
      <c r="D146" s="6">
        <v>4.0</v>
      </c>
      <c r="E146" s="6">
        <v>2969.0</v>
      </c>
      <c r="F146" s="6">
        <v>67.0</v>
      </c>
      <c r="G146" s="6">
        <v>0.0</v>
      </c>
      <c r="H146" s="4"/>
      <c r="I146" s="6">
        <v>34.0</v>
      </c>
      <c r="J146" s="6">
        <v>5.0</v>
      </c>
      <c r="K146" s="6">
        <v>0.0</v>
      </c>
      <c r="L146" s="6">
        <v>0.0</v>
      </c>
      <c r="M146" s="6">
        <v>39.0</v>
      </c>
      <c r="N146" s="6">
        <v>31.0</v>
      </c>
      <c r="O146" s="6">
        <v>0.0</v>
      </c>
      <c r="P146" s="6">
        <v>13.0</v>
      </c>
      <c r="Q146" s="6">
        <v>16.0</v>
      </c>
      <c r="R146" s="6">
        <v>11.0</v>
      </c>
      <c r="S146" s="6">
        <v>18.0</v>
      </c>
      <c r="T146" s="6">
        <v>2.0</v>
      </c>
      <c r="U146" s="6">
        <v>0.0</v>
      </c>
      <c r="V146" s="6">
        <v>27.0</v>
      </c>
      <c r="W146" s="6">
        <v>0.0</v>
      </c>
      <c r="X146" s="6">
        <v>20.0</v>
      </c>
      <c r="Y146" s="6">
        <v>33.0</v>
      </c>
      <c r="Z146" s="6">
        <v>2.0</v>
      </c>
      <c r="AA146" s="6">
        <v>0.0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</row>
    <row r="147">
      <c r="A147" s="5">
        <v>45265.0</v>
      </c>
      <c r="B147" s="6">
        <v>47.0</v>
      </c>
      <c r="C147" s="6">
        <v>175.0</v>
      </c>
      <c r="D147" s="6">
        <v>4.0</v>
      </c>
      <c r="E147" s="6">
        <v>3191.0</v>
      </c>
      <c r="F147" s="6">
        <v>68.0</v>
      </c>
      <c r="G147" s="6">
        <v>0.0</v>
      </c>
      <c r="H147" s="4"/>
      <c r="I147" s="6">
        <v>37.0</v>
      </c>
      <c r="J147" s="6">
        <v>5.0</v>
      </c>
      <c r="K147" s="6">
        <v>0.0</v>
      </c>
      <c r="L147" s="6">
        <v>0.0</v>
      </c>
      <c r="M147" s="6">
        <v>42.0</v>
      </c>
      <c r="N147" s="6">
        <v>37.0</v>
      </c>
      <c r="O147" s="6">
        <v>0.0</v>
      </c>
      <c r="P147" s="6">
        <v>10.0</v>
      </c>
      <c r="Q147" s="6">
        <v>30.0</v>
      </c>
      <c r="R147" s="6">
        <v>7.0</v>
      </c>
      <c r="S147" s="6">
        <v>18.0</v>
      </c>
      <c r="T147" s="6">
        <v>0.0</v>
      </c>
      <c r="U147" s="6">
        <v>0.0</v>
      </c>
      <c r="V147" s="6">
        <v>37.0</v>
      </c>
      <c r="W147" s="6">
        <v>0.0</v>
      </c>
      <c r="X147" s="6">
        <v>19.0</v>
      </c>
      <c r="Y147" s="6">
        <v>38.0</v>
      </c>
      <c r="Z147" s="6">
        <v>0.0</v>
      </c>
      <c r="AA147" s="6">
        <v>0.0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</row>
    <row r="148">
      <c r="A148" s="5">
        <v>45266.0</v>
      </c>
      <c r="B148" s="6">
        <v>68.0</v>
      </c>
      <c r="C148" s="6">
        <v>260.0</v>
      </c>
      <c r="D148" s="6">
        <v>4.0</v>
      </c>
      <c r="E148" s="6">
        <v>4274.0</v>
      </c>
      <c r="F148" s="6">
        <v>63.0</v>
      </c>
      <c r="G148" s="6">
        <v>0.0</v>
      </c>
      <c r="H148" s="4"/>
      <c r="I148" s="6">
        <v>40.0</v>
      </c>
      <c r="J148" s="6">
        <v>9.0</v>
      </c>
      <c r="K148" s="6">
        <v>2.0</v>
      </c>
      <c r="L148" s="6">
        <v>1.0</v>
      </c>
      <c r="M148" s="6">
        <v>52.0</v>
      </c>
      <c r="N148" s="6">
        <v>50.0</v>
      </c>
      <c r="O148" s="6">
        <v>0.0</v>
      </c>
      <c r="P148" s="6">
        <v>18.0</v>
      </c>
      <c r="Q148" s="6">
        <v>31.0</v>
      </c>
      <c r="R148" s="6">
        <v>15.0</v>
      </c>
      <c r="S148" s="6">
        <v>27.0</v>
      </c>
      <c r="T148" s="6">
        <v>2.0</v>
      </c>
      <c r="U148" s="6">
        <v>0.0</v>
      </c>
      <c r="V148" s="6">
        <v>46.0</v>
      </c>
      <c r="W148" s="6">
        <v>0.0</v>
      </c>
      <c r="X148" s="6">
        <v>24.0</v>
      </c>
      <c r="Y148" s="6">
        <v>51.0</v>
      </c>
      <c r="Z148" s="6">
        <v>2.0</v>
      </c>
      <c r="AA148" s="6">
        <v>0.0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</row>
    <row r="149">
      <c r="A149" s="5">
        <v>45267.0</v>
      </c>
      <c r="B149" s="6">
        <v>75.0</v>
      </c>
      <c r="C149" s="6">
        <v>279.0</v>
      </c>
      <c r="D149" s="6">
        <v>4.0</v>
      </c>
      <c r="E149" s="6">
        <v>5075.0</v>
      </c>
      <c r="F149" s="6">
        <v>68.0</v>
      </c>
      <c r="G149" s="6">
        <v>0.0</v>
      </c>
      <c r="H149" s="4"/>
      <c r="I149" s="6">
        <v>48.0</v>
      </c>
      <c r="J149" s="6">
        <v>9.0</v>
      </c>
      <c r="K149" s="6">
        <v>3.0</v>
      </c>
      <c r="L149" s="6">
        <v>0.0</v>
      </c>
      <c r="M149" s="6">
        <v>60.0</v>
      </c>
      <c r="N149" s="6">
        <v>61.0</v>
      </c>
      <c r="O149" s="6">
        <v>1.0</v>
      </c>
      <c r="P149" s="6">
        <v>13.0</v>
      </c>
      <c r="Q149" s="6">
        <v>38.0</v>
      </c>
      <c r="R149" s="6">
        <v>7.0</v>
      </c>
      <c r="S149" s="6">
        <v>21.0</v>
      </c>
      <c r="T149" s="6">
        <v>7.0</v>
      </c>
      <c r="U149" s="6">
        <v>0.0</v>
      </c>
      <c r="V149" s="6">
        <v>46.0</v>
      </c>
      <c r="W149" s="6">
        <v>1.0</v>
      </c>
      <c r="X149" s="6">
        <v>38.0</v>
      </c>
      <c r="Y149" s="6">
        <v>56.0</v>
      </c>
      <c r="Z149" s="6">
        <v>8.0</v>
      </c>
      <c r="AA149" s="6">
        <v>1.0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</row>
    <row r="150">
      <c r="A150" s="5">
        <v>45268.0</v>
      </c>
      <c r="B150" s="6">
        <v>53.0</v>
      </c>
      <c r="C150" s="6">
        <v>220.0</v>
      </c>
      <c r="D150" s="6">
        <v>4.0</v>
      </c>
      <c r="E150" s="6">
        <v>4001.0</v>
      </c>
      <c r="F150" s="6">
        <v>75.0</v>
      </c>
      <c r="G150" s="6">
        <v>0.0</v>
      </c>
      <c r="H150" s="4"/>
      <c r="I150" s="6">
        <v>27.0</v>
      </c>
      <c r="J150" s="6">
        <v>10.0</v>
      </c>
      <c r="K150" s="6">
        <v>2.0</v>
      </c>
      <c r="L150" s="6">
        <v>0.0</v>
      </c>
      <c r="M150" s="6">
        <v>39.0</v>
      </c>
      <c r="N150" s="6">
        <v>42.0</v>
      </c>
      <c r="O150" s="6">
        <v>0.0</v>
      </c>
      <c r="P150" s="6">
        <v>10.0</v>
      </c>
      <c r="Q150" s="6">
        <v>29.0</v>
      </c>
      <c r="R150" s="6">
        <v>5.0</v>
      </c>
      <c r="S150" s="6">
        <v>23.0</v>
      </c>
      <c r="T150" s="6">
        <v>3.0</v>
      </c>
      <c r="U150" s="6">
        <v>0.0</v>
      </c>
      <c r="V150" s="6">
        <v>34.0</v>
      </c>
      <c r="W150" s="6">
        <v>0.0</v>
      </c>
      <c r="X150" s="6">
        <v>34.0</v>
      </c>
      <c r="Y150" s="6">
        <v>39.0</v>
      </c>
      <c r="Z150" s="6">
        <v>3.0</v>
      </c>
      <c r="AA150" s="6">
        <v>0.0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</row>
    <row r="151">
      <c r="A151" s="5">
        <v>45269.0</v>
      </c>
      <c r="B151" s="6">
        <v>0.0</v>
      </c>
      <c r="C151" s="6">
        <v>0.0</v>
      </c>
      <c r="D151" s="6">
        <v>0.0</v>
      </c>
      <c r="E151" s="6">
        <v>0.0</v>
      </c>
      <c r="F151" s="6">
        <v>0.0</v>
      </c>
      <c r="G151" s="6">
        <v>0.0</v>
      </c>
      <c r="H151" s="4"/>
      <c r="I151" s="6">
        <v>0.0</v>
      </c>
      <c r="J151" s="6">
        <v>0.0</v>
      </c>
      <c r="K151" s="6">
        <v>0.0</v>
      </c>
      <c r="L151" s="6">
        <v>0.0</v>
      </c>
      <c r="M151" s="6">
        <v>0.0</v>
      </c>
      <c r="N151" s="6">
        <v>0.0</v>
      </c>
      <c r="O151" s="6">
        <v>0.0</v>
      </c>
      <c r="P151" s="6">
        <v>0.0</v>
      </c>
      <c r="Q151" s="6">
        <v>0.0</v>
      </c>
      <c r="R151" s="6">
        <v>0.0</v>
      </c>
      <c r="S151" s="6">
        <v>0.0</v>
      </c>
      <c r="T151" s="6">
        <v>0.0</v>
      </c>
      <c r="U151" s="6">
        <v>0.0</v>
      </c>
      <c r="V151" s="6">
        <v>0.0</v>
      </c>
      <c r="W151" s="6">
        <v>0.0</v>
      </c>
      <c r="X151" s="6">
        <v>0.0</v>
      </c>
      <c r="Y151" s="6">
        <v>0.0</v>
      </c>
      <c r="Z151" s="6">
        <v>0.0</v>
      </c>
      <c r="AA151" s="6">
        <v>0.0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</row>
    <row r="152">
      <c r="A152" s="5">
        <v>45270.0</v>
      </c>
      <c r="B152" s="6">
        <v>0.0</v>
      </c>
      <c r="C152" s="6">
        <v>0.0</v>
      </c>
      <c r="D152" s="6">
        <v>0.0</v>
      </c>
      <c r="E152" s="6">
        <v>0.0</v>
      </c>
      <c r="F152" s="6">
        <v>0.0</v>
      </c>
      <c r="G152" s="6">
        <v>0.0</v>
      </c>
      <c r="H152" s="4"/>
      <c r="I152" s="6">
        <v>0.0</v>
      </c>
      <c r="J152" s="6">
        <v>0.0</v>
      </c>
      <c r="K152" s="6">
        <v>0.0</v>
      </c>
      <c r="L152" s="6">
        <v>0.0</v>
      </c>
      <c r="M152" s="6">
        <v>0.0</v>
      </c>
      <c r="N152" s="6">
        <v>0.0</v>
      </c>
      <c r="O152" s="6">
        <v>0.0</v>
      </c>
      <c r="P152" s="6">
        <v>0.0</v>
      </c>
      <c r="Q152" s="6">
        <v>0.0</v>
      </c>
      <c r="R152" s="6">
        <v>0.0</v>
      </c>
      <c r="S152" s="6">
        <v>0.0</v>
      </c>
      <c r="T152" s="6">
        <v>0.0</v>
      </c>
      <c r="U152" s="6">
        <v>0.0</v>
      </c>
      <c r="V152" s="6">
        <v>0.0</v>
      </c>
      <c r="W152" s="6">
        <v>0.0</v>
      </c>
      <c r="X152" s="6">
        <v>0.0</v>
      </c>
      <c r="Y152" s="6">
        <v>0.0</v>
      </c>
      <c r="Z152" s="6">
        <v>0.0</v>
      </c>
      <c r="AA152" s="6">
        <v>0.0</v>
      </c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</row>
    <row r="153">
      <c r="A153" s="5">
        <v>45271.0</v>
      </c>
      <c r="B153" s="6">
        <v>71.0</v>
      </c>
      <c r="C153" s="6">
        <v>267.0</v>
      </c>
      <c r="D153" s="6">
        <v>4.0</v>
      </c>
      <c r="E153" s="6">
        <v>4615.0</v>
      </c>
      <c r="F153" s="6">
        <v>65.0</v>
      </c>
      <c r="G153" s="6">
        <v>0.0</v>
      </c>
      <c r="H153" s="4"/>
      <c r="I153" s="6">
        <v>34.0</v>
      </c>
      <c r="J153" s="6">
        <v>7.0</v>
      </c>
      <c r="K153" s="6">
        <v>0.0</v>
      </c>
      <c r="L153" s="6">
        <v>2.0</v>
      </c>
      <c r="M153" s="6">
        <v>45.0</v>
      </c>
      <c r="N153" s="6">
        <v>58.0</v>
      </c>
      <c r="O153" s="6">
        <v>0.0</v>
      </c>
      <c r="P153" s="6">
        <v>13.0</v>
      </c>
      <c r="Q153" s="6">
        <v>42.0</v>
      </c>
      <c r="R153" s="6">
        <v>8.0</v>
      </c>
      <c r="S153" s="6">
        <v>26.0</v>
      </c>
      <c r="T153" s="6">
        <v>2.0</v>
      </c>
      <c r="U153" s="6">
        <v>0.0</v>
      </c>
      <c r="V153" s="6">
        <v>50.0</v>
      </c>
      <c r="W153" s="6">
        <v>0.0</v>
      </c>
      <c r="X153" s="6">
        <v>33.0</v>
      </c>
      <c r="Y153" s="6">
        <v>56.0</v>
      </c>
      <c r="Z153" s="6">
        <v>2.0</v>
      </c>
      <c r="AA153" s="6">
        <v>0.0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</row>
    <row r="154">
      <c r="A154" s="5">
        <v>45272.0</v>
      </c>
      <c r="B154" s="6">
        <v>45.0</v>
      </c>
      <c r="C154" s="6">
        <v>187.0</v>
      </c>
      <c r="D154" s="6">
        <v>4.0</v>
      </c>
      <c r="E154" s="6">
        <v>3096.0</v>
      </c>
      <c r="F154" s="6">
        <v>69.0</v>
      </c>
      <c r="G154" s="6">
        <v>0.0</v>
      </c>
      <c r="H154" s="4"/>
      <c r="I154" s="6">
        <v>37.0</v>
      </c>
      <c r="J154" s="6">
        <v>4.0</v>
      </c>
      <c r="K154" s="6">
        <v>0.0</v>
      </c>
      <c r="L154" s="6">
        <v>0.0</v>
      </c>
      <c r="M154" s="6">
        <v>41.0</v>
      </c>
      <c r="N154" s="6">
        <v>38.0</v>
      </c>
      <c r="O154" s="6">
        <v>0.0</v>
      </c>
      <c r="P154" s="6">
        <v>7.0</v>
      </c>
      <c r="Q154" s="6">
        <v>25.0</v>
      </c>
      <c r="R154" s="6">
        <v>4.0</v>
      </c>
      <c r="S154" s="6">
        <v>17.0</v>
      </c>
      <c r="T154" s="6">
        <v>2.0</v>
      </c>
      <c r="U154" s="6">
        <v>0.0</v>
      </c>
      <c r="V154" s="6">
        <v>29.0</v>
      </c>
      <c r="W154" s="6">
        <v>0.0</v>
      </c>
      <c r="X154" s="6">
        <v>26.0</v>
      </c>
      <c r="Y154" s="6">
        <v>32.0</v>
      </c>
      <c r="Z154" s="6">
        <v>2.0</v>
      </c>
      <c r="AA154" s="6">
        <v>0.0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</row>
    <row r="155">
      <c r="A155" s="5">
        <v>45273.0</v>
      </c>
      <c r="B155" s="6">
        <v>30.0</v>
      </c>
      <c r="C155" s="6">
        <v>130.0</v>
      </c>
      <c r="D155" s="6">
        <v>4.0</v>
      </c>
      <c r="E155" s="6">
        <v>2448.0</v>
      </c>
      <c r="F155" s="6">
        <v>82.0</v>
      </c>
      <c r="G155" s="6">
        <v>0.0</v>
      </c>
      <c r="H155" s="4"/>
      <c r="I155" s="6">
        <v>26.0</v>
      </c>
      <c r="J155" s="6">
        <v>2.0</v>
      </c>
      <c r="K155" s="6">
        <v>0.0</v>
      </c>
      <c r="L155" s="6">
        <v>0.0</v>
      </c>
      <c r="M155" s="6">
        <v>28.0</v>
      </c>
      <c r="N155" s="6">
        <v>24.0</v>
      </c>
      <c r="O155" s="6">
        <v>0.0</v>
      </c>
      <c r="P155" s="6">
        <v>6.0</v>
      </c>
      <c r="Q155" s="6">
        <v>13.0</v>
      </c>
      <c r="R155" s="6">
        <v>3.0</v>
      </c>
      <c r="S155" s="6">
        <v>8.0</v>
      </c>
      <c r="T155" s="6">
        <v>4.0</v>
      </c>
      <c r="U155" s="6">
        <v>0.0</v>
      </c>
      <c r="V155" s="6">
        <v>16.0</v>
      </c>
      <c r="W155" s="6">
        <v>2.0</v>
      </c>
      <c r="X155" s="6">
        <v>30.0</v>
      </c>
      <c r="Y155" s="6">
        <v>22.0</v>
      </c>
      <c r="Z155" s="6">
        <v>6.0</v>
      </c>
      <c r="AA155" s="6">
        <v>0.0</v>
      </c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</row>
    <row r="156">
      <c r="A156" s="5">
        <v>45274.0</v>
      </c>
      <c r="B156" s="6">
        <v>50.0</v>
      </c>
      <c r="C156" s="6">
        <v>203.0</v>
      </c>
      <c r="D156" s="6">
        <v>4.0</v>
      </c>
      <c r="E156" s="6">
        <v>4009.0</v>
      </c>
      <c r="F156" s="6">
        <v>80.0</v>
      </c>
      <c r="G156" s="6">
        <v>0.0</v>
      </c>
      <c r="H156" s="4"/>
      <c r="I156" s="6">
        <v>42.0</v>
      </c>
      <c r="J156" s="6">
        <v>4.0</v>
      </c>
      <c r="K156" s="6">
        <v>0.0</v>
      </c>
      <c r="L156" s="6">
        <v>0.0</v>
      </c>
      <c r="M156" s="6">
        <v>46.0</v>
      </c>
      <c r="N156" s="6">
        <v>40.0</v>
      </c>
      <c r="O156" s="6">
        <v>0.0</v>
      </c>
      <c r="P156" s="6">
        <v>10.0</v>
      </c>
      <c r="Q156" s="6">
        <v>20.0</v>
      </c>
      <c r="R156" s="6">
        <v>7.0</v>
      </c>
      <c r="S156" s="6">
        <v>20.0</v>
      </c>
      <c r="T156" s="6">
        <v>1.0</v>
      </c>
      <c r="U156" s="6">
        <v>0.0</v>
      </c>
      <c r="V156" s="6">
        <v>27.0</v>
      </c>
      <c r="W156" s="6">
        <v>0.0</v>
      </c>
      <c r="X156" s="6">
        <v>49.0</v>
      </c>
      <c r="Y156" s="6">
        <v>30.0</v>
      </c>
      <c r="Z156" s="6">
        <v>1.0</v>
      </c>
      <c r="AA156" s="6">
        <v>0.0</v>
      </c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</row>
    <row r="157">
      <c r="A157" s="5">
        <v>45275.0</v>
      </c>
      <c r="B157" s="6">
        <v>60.0</v>
      </c>
      <c r="C157" s="6">
        <v>274.0</v>
      </c>
      <c r="D157" s="6">
        <v>5.0</v>
      </c>
      <c r="E157" s="6">
        <v>4448.0</v>
      </c>
      <c r="F157" s="6">
        <v>74.0</v>
      </c>
      <c r="G157" s="6">
        <v>0.0</v>
      </c>
      <c r="H157" s="4"/>
      <c r="I157" s="6">
        <v>42.0</v>
      </c>
      <c r="J157" s="6">
        <v>5.0</v>
      </c>
      <c r="K157" s="6">
        <v>1.0</v>
      </c>
      <c r="L157" s="6">
        <v>1.0</v>
      </c>
      <c r="M157" s="6">
        <v>49.0</v>
      </c>
      <c r="N157" s="6">
        <v>43.0</v>
      </c>
      <c r="O157" s="6">
        <v>0.0</v>
      </c>
      <c r="P157" s="6">
        <v>17.0</v>
      </c>
      <c r="Q157" s="6">
        <v>26.0</v>
      </c>
      <c r="R157" s="6">
        <v>12.0</v>
      </c>
      <c r="S157" s="6">
        <v>17.0</v>
      </c>
      <c r="T157" s="6">
        <v>1.0</v>
      </c>
      <c r="U157" s="6">
        <v>0.0</v>
      </c>
      <c r="V157" s="6">
        <v>38.0</v>
      </c>
      <c r="W157" s="6">
        <v>1.0</v>
      </c>
      <c r="X157" s="6">
        <v>36.0</v>
      </c>
      <c r="Y157" s="6">
        <v>48.0</v>
      </c>
      <c r="Z157" s="6">
        <v>2.0</v>
      </c>
      <c r="AA157" s="6">
        <v>0.0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</row>
    <row r="158">
      <c r="A158" s="5">
        <v>45276.0</v>
      </c>
      <c r="B158" s="6">
        <v>0.0</v>
      </c>
      <c r="C158" s="6">
        <v>0.0</v>
      </c>
      <c r="D158" s="6">
        <v>0.0</v>
      </c>
      <c r="E158" s="6">
        <v>0.0</v>
      </c>
      <c r="F158" s="6">
        <v>0.0</v>
      </c>
      <c r="G158" s="6">
        <v>0.0</v>
      </c>
      <c r="H158" s="4"/>
      <c r="I158" s="6">
        <v>0.0</v>
      </c>
      <c r="J158" s="6">
        <v>0.0</v>
      </c>
      <c r="K158" s="6">
        <v>0.0</v>
      </c>
      <c r="L158" s="6">
        <v>0.0</v>
      </c>
      <c r="M158" s="6">
        <v>0.0</v>
      </c>
      <c r="N158" s="6">
        <v>0.0</v>
      </c>
      <c r="O158" s="6">
        <v>0.0</v>
      </c>
      <c r="P158" s="6">
        <v>0.0</v>
      </c>
      <c r="Q158" s="6">
        <v>0.0</v>
      </c>
      <c r="R158" s="6">
        <v>0.0</v>
      </c>
      <c r="S158" s="6">
        <v>0.0</v>
      </c>
      <c r="T158" s="6">
        <v>0.0</v>
      </c>
      <c r="U158" s="6">
        <v>0.0</v>
      </c>
      <c r="V158" s="6">
        <v>0.0</v>
      </c>
      <c r="W158" s="6">
        <v>0.0</v>
      </c>
      <c r="X158" s="6">
        <v>0.0</v>
      </c>
      <c r="Y158" s="6">
        <v>0.0</v>
      </c>
      <c r="Z158" s="6">
        <v>0.0</v>
      </c>
      <c r="AA158" s="6">
        <v>0.0</v>
      </c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</row>
    <row r="159">
      <c r="A159" s="5">
        <v>45277.0</v>
      </c>
      <c r="B159" s="6">
        <v>0.0</v>
      </c>
      <c r="C159" s="6">
        <v>0.0</v>
      </c>
      <c r="D159" s="6">
        <v>0.0</v>
      </c>
      <c r="E159" s="6">
        <v>0.0</v>
      </c>
      <c r="F159" s="6">
        <v>0.0</v>
      </c>
      <c r="G159" s="6">
        <v>0.0</v>
      </c>
      <c r="H159" s="4"/>
      <c r="I159" s="6">
        <v>0.0</v>
      </c>
      <c r="J159" s="6">
        <v>0.0</v>
      </c>
      <c r="K159" s="6">
        <v>0.0</v>
      </c>
      <c r="L159" s="6">
        <v>0.0</v>
      </c>
      <c r="M159" s="6">
        <v>0.0</v>
      </c>
      <c r="N159" s="6">
        <v>0.0</v>
      </c>
      <c r="O159" s="6">
        <v>0.0</v>
      </c>
      <c r="P159" s="6">
        <v>0.0</v>
      </c>
      <c r="Q159" s="6">
        <v>0.0</v>
      </c>
      <c r="R159" s="6">
        <v>0.0</v>
      </c>
      <c r="S159" s="6">
        <v>0.0</v>
      </c>
      <c r="T159" s="6">
        <v>0.0</v>
      </c>
      <c r="U159" s="6">
        <v>0.0</v>
      </c>
      <c r="V159" s="6">
        <v>0.0</v>
      </c>
      <c r="W159" s="6">
        <v>0.0</v>
      </c>
      <c r="X159" s="6">
        <v>0.0</v>
      </c>
      <c r="Y159" s="6">
        <v>0.0</v>
      </c>
      <c r="Z159" s="6">
        <v>0.0</v>
      </c>
      <c r="AA159" s="6">
        <v>0.0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</row>
    <row r="160">
      <c r="A160" s="5">
        <v>45278.0</v>
      </c>
      <c r="B160" s="6">
        <v>58.0</v>
      </c>
      <c r="C160" s="6">
        <v>211.0</v>
      </c>
      <c r="D160" s="6">
        <v>4.0</v>
      </c>
      <c r="E160" s="6">
        <v>3503.0</v>
      </c>
      <c r="F160" s="6">
        <v>60.0</v>
      </c>
      <c r="G160" s="6">
        <v>0.0</v>
      </c>
      <c r="H160" s="4"/>
      <c r="I160" s="6">
        <v>39.0</v>
      </c>
      <c r="J160" s="6">
        <v>5.0</v>
      </c>
      <c r="K160" s="6">
        <v>0.0</v>
      </c>
      <c r="L160" s="6">
        <v>1.0</v>
      </c>
      <c r="M160" s="6">
        <v>45.0</v>
      </c>
      <c r="N160" s="6">
        <v>40.0</v>
      </c>
      <c r="O160" s="6">
        <v>1.0</v>
      </c>
      <c r="P160" s="6">
        <v>17.0</v>
      </c>
      <c r="Q160" s="6">
        <v>29.0</v>
      </c>
      <c r="R160" s="6">
        <v>14.0</v>
      </c>
      <c r="S160" s="6">
        <v>16.0</v>
      </c>
      <c r="T160" s="6">
        <v>0.0</v>
      </c>
      <c r="U160" s="6">
        <v>0.0</v>
      </c>
      <c r="V160" s="6">
        <v>43.0</v>
      </c>
      <c r="W160" s="6">
        <v>2.0</v>
      </c>
      <c r="X160" s="6">
        <v>21.0</v>
      </c>
      <c r="Y160" s="6">
        <v>49.0</v>
      </c>
      <c r="Z160" s="6">
        <v>2.0</v>
      </c>
      <c r="AA160" s="6">
        <v>0.0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</row>
    <row r="161">
      <c r="A161" s="5">
        <v>45279.0</v>
      </c>
      <c r="B161" s="6">
        <v>50.0</v>
      </c>
      <c r="C161" s="6">
        <v>179.0</v>
      </c>
      <c r="D161" s="6">
        <v>4.0</v>
      </c>
      <c r="E161" s="6">
        <v>3214.0</v>
      </c>
      <c r="F161" s="6">
        <v>64.0</v>
      </c>
      <c r="G161" s="6">
        <v>0.0</v>
      </c>
      <c r="H161" s="4"/>
      <c r="I161" s="6">
        <v>42.0</v>
      </c>
      <c r="J161" s="6">
        <v>4.0</v>
      </c>
      <c r="K161" s="6">
        <v>0.0</v>
      </c>
      <c r="L161" s="6">
        <v>0.0</v>
      </c>
      <c r="M161" s="6">
        <v>46.0</v>
      </c>
      <c r="N161" s="6">
        <v>39.0</v>
      </c>
      <c r="O161" s="6">
        <v>1.0</v>
      </c>
      <c r="P161" s="6">
        <v>10.0</v>
      </c>
      <c r="Q161" s="6">
        <v>19.0</v>
      </c>
      <c r="R161" s="6">
        <v>8.0</v>
      </c>
      <c r="S161" s="6">
        <v>19.0</v>
      </c>
      <c r="T161" s="6">
        <v>2.0</v>
      </c>
      <c r="U161" s="6">
        <v>0.0</v>
      </c>
      <c r="V161" s="6">
        <v>27.0</v>
      </c>
      <c r="W161" s="6">
        <v>0.0</v>
      </c>
      <c r="X161" s="6">
        <v>27.0</v>
      </c>
      <c r="Y161" s="6">
        <v>31.0</v>
      </c>
      <c r="Z161" s="6">
        <v>2.0</v>
      </c>
      <c r="AA161" s="6">
        <v>0.0</v>
      </c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</row>
    <row r="162">
      <c r="A162" s="5">
        <v>45280.0</v>
      </c>
      <c r="B162" s="6">
        <v>60.0</v>
      </c>
      <c r="C162" s="6">
        <v>239.0</v>
      </c>
      <c r="D162" s="6">
        <v>4.0</v>
      </c>
      <c r="E162" s="6">
        <v>4635.0</v>
      </c>
      <c r="F162" s="6">
        <v>77.0</v>
      </c>
      <c r="G162" s="6">
        <v>0.0</v>
      </c>
      <c r="H162" s="4"/>
      <c r="I162" s="6">
        <v>41.0</v>
      </c>
      <c r="J162" s="6">
        <v>6.0</v>
      </c>
      <c r="K162" s="6">
        <v>1.0</v>
      </c>
      <c r="L162" s="6">
        <v>1.0</v>
      </c>
      <c r="M162" s="6">
        <v>49.0</v>
      </c>
      <c r="N162" s="6">
        <v>46.0</v>
      </c>
      <c r="O162" s="6">
        <v>0.0</v>
      </c>
      <c r="P162" s="6">
        <v>14.0</v>
      </c>
      <c r="Q162" s="6">
        <v>29.0</v>
      </c>
      <c r="R162" s="6">
        <v>7.0</v>
      </c>
      <c r="S162" s="6">
        <v>22.0</v>
      </c>
      <c r="T162" s="6">
        <v>3.0</v>
      </c>
      <c r="U162" s="6">
        <v>0.0</v>
      </c>
      <c r="V162" s="6">
        <v>36.0</v>
      </c>
      <c r="W162" s="6">
        <v>2.0</v>
      </c>
      <c r="X162" s="6">
        <v>44.0</v>
      </c>
      <c r="Y162" s="6">
        <v>44.0</v>
      </c>
      <c r="Z162" s="6">
        <v>5.0</v>
      </c>
      <c r="AA162" s="6">
        <v>0.0</v>
      </c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</row>
    <row r="163">
      <c r="A163" s="5">
        <v>45281.0</v>
      </c>
      <c r="B163" s="6">
        <v>103.0</v>
      </c>
      <c r="C163" s="6">
        <v>399.0</v>
      </c>
      <c r="D163" s="6">
        <v>4.0</v>
      </c>
      <c r="E163" s="6">
        <v>7332.0</v>
      </c>
      <c r="F163" s="6">
        <v>71.0</v>
      </c>
      <c r="G163" s="6">
        <v>0.0</v>
      </c>
      <c r="H163" s="4"/>
      <c r="I163" s="6">
        <v>50.0</v>
      </c>
      <c r="J163" s="6">
        <v>12.0</v>
      </c>
      <c r="K163" s="6">
        <v>5.0</v>
      </c>
      <c r="L163" s="6">
        <v>1.0</v>
      </c>
      <c r="M163" s="6">
        <v>69.0</v>
      </c>
      <c r="N163" s="6">
        <v>71.0</v>
      </c>
      <c r="O163" s="6">
        <v>0.0</v>
      </c>
      <c r="P163" s="6">
        <v>32.0</v>
      </c>
      <c r="Q163" s="6">
        <v>49.0</v>
      </c>
      <c r="R163" s="6">
        <v>22.0</v>
      </c>
      <c r="S163" s="6">
        <v>41.0</v>
      </c>
      <c r="T163" s="6">
        <v>1.0</v>
      </c>
      <c r="U163" s="6">
        <v>0.0</v>
      </c>
      <c r="V163" s="6">
        <v>71.0</v>
      </c>
      <c r="W163" s="6">
        <v>1.0</v>
      </c>
      <c r="X163" s="6">
        <v>57.0</v>
      </c>
      <c r="Y163" s="6">
        <v>78.0</v>
      </c>
      <c r="Z163" s="6">
        <v>2.0</v>
      </c>
      <c r="AA163" s="6">
        <v>0.0</v>
      </c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</row>
    <row r="164">
      <c r="A164" s="5">
        <v>45282.0</v>
      </c>
      <c r="B164" s="6">
        <v>72.0</v>
      </c>
      <c r="C164" s="6">
        <v>286.0</v>
      </c>
      <c r="D164" s="6">
        <v>4.0</v>
      </c>
      <c r="E164" s="6">
        <v>5133.0</v>
      </c>
      <c r="F164" s="6">
        <v>71.0</v>
      </c>
      <c r="G164" s="6">
        <v>0.0</v>
      </c>
      <c r="H164" s="4"/>
      <c r="I164" s="6">
        <v>54.0</v>
      </c>
      <c r="J164" s="6">
        <v>9.0</v>
      </c>
      <c r="K164" s="6">
        <v>0.0</v>
      </c>
      <c r="L164" s="6">
        <v>0.0</v>
      </c>
      <c r="M164" s="6">
        <v>63.0</v>
      </c>
      <c r="N164" s="6">
        <v>52.0</v>
      </c>
      <c r="O164" s="6">
        <v>0.0</v>
      </c>
      <c r="P164" s="6">
        <v>20.0</v>
      </c>
      <c r="Q164" s="6">
        <v>32.0</v>
      </c>
      <c r="R164" s="6">
        <v>13.0</v>
      </c>
      <c r="S164" s="6">
        <v>32.0</v>
      </c>
      <c r="T164" s="6">
        <v>2.0</v>
      </c>
      <c r="U164" s="6">
        <v>0.0</v>
      </c>
      <c r="V164" s="6">
        <v>45.0</v>
      </c>
      <c r="W164" s="6">
        <v>1.0</v>
      </c>
      <c r="X164" s="6">
        <v>42.0</v>
      </c>
      <c r="Y164" s="6">
        <v>49.0</v>
      </c>
      <c r="Z164" s="6">
        <v>3.0</v>
      </c>
      <c r="AA164" s="6">
        <v>0.0</v>
      </c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</row>
    <row r="165">
      <c r="A165" s="5">
        <v>45283.0</v>
      </c>
      <c r="B165" s="6">
        <v>0.0</v>
      </c>
      <c r="C165" s="6">
        <v>0.0</v>
      </c>
      <c r="D165" s="6">
        <v>0.0</v>
      </c>
      <c r="E165" s="6">
        <v>0.0</v>
      </c>
      <c r="F165" s="6">
        <v>0.0</v>
      </c>
      <c r="G165" s="6">
        <v>0.0</v>
      </c>
      <c r="H165" s="4"/>
      <c r="I165" s="6">
        <v>0.0</v>
      </c>
      <c r="J165" s="6">
        <v>0.0</v>
      </c>
      <c r="K165" s="6">
        <v>0.0</v>
      </c>
      <c r="L165" s="6">
        <v>0.0</v>
      </c>
      <c r="M165" s="6">
        <v>0.0</v>
      </c>
      <c r="N165" s="6">
        <v>0.0</v>
      </c>
      <c r="O165" s="6">
        <v>0.0</v>
      </c>
      <c r="P165" s="6">
        <v>0.0</v>
      </c>
      <c r="Q165" s="6">
        <v>0.0</v>
      </c>
      <c r="R165" s="6">
        <v>0.0</v>
      </c>
      <c r="S165" s="6">
        <v>0.0</v>
      </c>
      <c r="T165" s="6">
        <v>0.0</v>
      </c>
      <c r="U165" s="6">
        <v>0.0</v>
      </c>
      <c r="V165" s="6">
        <v>0.0</v>
      </c>
      <c r="W165" s="6">
        <v>0.0</v>
      </c>
      <c r="X165" s="6">
        <v>0.0</v>
      </c>
      <c r="Y165" s="6">
        <v>0.0</v>
      </c>
      <c r="Z165" s="6">
        <v>0.0</v>
      </c>
      <c r="AA165" s="6">
        <v>0.0</v>
      </c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</row>
    <row r="166">
      <c r="A166" s="5">
        <v>45284.0</v>
      </c>
      <c r="B166" s="6">
        <v>0.0</v>
      </c>
      <c r="C166" s="6">
        <v>0.0</v>
      </c>
      <c r="D166" s="6">
        <v>0.0</v>
      </c>
      <c r="E166" s="6">
        <v>0.0</v>
      </c>
      <c r="F166" s="6">
        <v>0.0</v>
      </c>
      <c r="G166" s="6">
        <v>0.0</v>
      </c>
      <c r="H166" s="4"/>
      <c r="I166" s="6">
        <v>0.0</v>
      </c>
      <c r="J166" s="6">
        <v>0.0</v>
      </c>
      <c r="K166" s="6">
        <v>0.0</v>
      </c>
      <c r="L166" s="6">
        <v>0.0</v>
      </c>
      <c r="M166" s="6">
        <v>0.0</v>
      </c>
      <c r="N166" s="6">
        <v>0.0</v>
      </c>
      <c r="O166" s="6">
        <v>0.0</v>
      </c>
      <c r="P166" s="6">
        <v>0.0</v>
      </c>
      <c r="Q166" s="6">
        <v>0.0</v>
      </c>
      <c r="R166" s="6">
        <v>0.0</v>
      </c>
      <c r="S166" s="6">
        <v>0.0</v>
      </c>
      <c r="T166" s="6">
        <v>0.0</v>
      </c>
      <c r="U166" s="6">
        <v>0.0</v>
      </c>
      <c r="V166" s="6">
        <v>0.0</v>
      </c>
      <c r="W166" s="6">
        <v>0.0</v>
      </c>
      <c r="X166" s="6">
        <v>0.0</v>
      </c>
      <c r="Y166" s="6">
        <v>0.0</v>
      </c>
      <c r="Z166" s="6">
        <v>0.0</v>
      </c>
      <c r="AA166" s="6">
        <v>0.0</v>
      </c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</row>
    <row r="167">
      <c r="A167" s="5">
        <v>45285.0</v>
      </c>
      <c r="B167" s="6">
        <v>8.0</v>
      </c>
      <c r="C167" s="6">
        <v>22.0</v>
      </c>
      <c r="D167" s="6">
        <v>3.0</v>
      </c>
      <c r="E167" s="6">
        <v>293.0</v>
      </c>
      <c r="F167" s="6">
        <v>37.0</v>
      </c>
      <c r="G167" s="6">
        <v>0.0</v>
      </c>
      <c r="H167" s="4"/>
      <c r="I167" s="6">
        <v>0.0</v>
      </c>
      <c r="J167" s="6">
        <v>0.0</v>
      </c>
      <c r="K167" s="6">
        <v>0.0</v>
      </c>
      <c r="L167" s="6">
        <v>1.0</v>
      </c>
      <c r="M167" s="6">
        <v>1.0</v>
      </c>
      <c r="N167" s="6">
        <v>0.0</v>
      </c>
      <c r="O167" s="6">
        <v>0.0</v>
      </c>
      <c r="P167" s="6">
        <v>8.0</v>
      </c>
      <c r="Q167" s="6">
        <v>0.0</v>
      </c>
      <c r="R167" s="6">
        <v>6.0</v>
      </c>
      <c r="S167" s="6">
        <v>0.0</v>
      </c>
      <c r="T167" s="6">
        <v>0.0</v>
      </c>
      <c r="U167" s="6">
        <v>0.0</v>
      </c>
      <c r="V167" s="6">
        <v>6.0</v>
      </c>
      <c r="W167" s="6">
        <v>0.0</v>
      </c>
      <c r="X167" s="6">
        <v>0.0</v>
      </c>
      <c r="Y167" s="6">
        <v>6.0</v>
      </c>
      <c r="Z167" s="6">
        <v>0.0</v>
      </c>
      <c r="AA167" s="6">
        <v>0.0</v>
      </c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</row>
    <row r="168">
      <c r="A168" s="5">
        <v>45286.0</v>
      </c>
      <c r="B168" s="6">
        <v>48.0</v>
      </c>
      <c r="C168" s="6">
        <v>186.0</v>
      </c>
      <c r="D168" s="6">
        <v>4.0</v>
      </c>
      <c r="E168" s="6">
        <v>3372.0</v>
      </c>
      <c r="F168" s="6">
        <v>70.0</v>
      </c>
      <c r="G168" s="6">
        <v>0.0</v>
      </c>
      <c r="H168" s="4"/>
      <c r="I168" s="6">
        <v>31.0</v>
      </c>
      <c r="J168" s="6">
        <v>7.0</v>
      </c>
      <c r="K168" s="6">
        <v>1.0</v>
      </c>
      <c r="L168" s="6">
        <v>0.0</v>
      </c>
      <c r="M168" s="6">
        <v>39.0</v>
      </c>
      <c r="N168" s="6">
        <v>31.0</v>
      </c>
      <c r="O168" s="6">
        <v>0.0</v>
      </c>
      <c r="P168" s="6">
        <v>15.0</v>
      </c>
      <c r="Q168" s="6">
        <v>22.0</v>
      </c>
      <c r="R168" s="6">
        <v>8.0</v>
      </c>
      <c r="S168" s="6">
        <v>21.0</v>
      </c>
      <c r="T168" s="6">
        <v>0.0</v>
      </c>
      <c r="U168" s="6">
        <v>0.0</v>
      </c>
      <c r="V168" s="6">
        <v>30.0</v>
      </c>
      <c r="W168" s="6">
        <v>0.0</v>
      </c>
      <c r="X168" s="6">
        <v>28.0</v>
      </c>
      <c r="Y168" s="6">
        <v>33.0</v>
      </c>
      <c r="Z168" s="6">
        <v>0.0</v>
      </c>
      <c r="AA168" s="6">
        <v>0.0</v>
      </c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</row>
    <row r="169">
      <c r="A169" s="5">
        <v>45287.0</v>
      </c>
      <c r="B169" s="6">
        <v>36.0</v>
      </c>
      <c r="C169" s="6">
        <v>124.0</v>
      </c>
      <c r="D169" s="6">
        <v>3.0</v>
      </c>
      <c r="E169" s="6">
        <v>2174.0</v>
      </c>
      <c r="F169" s="6">
        <v>60.0</v>
      </c>
      <c r="G169" s="6">
        <v>0.0</v>
      </c>
      <c r="H169" s="4"/>
      <c r="I169" s="6">
        <v>22.0</v>
      </c>
      <c r="J169" s="6">
        <v>1.0</v>
      </c>
      <c r="K169" s="6">
        <v>4.0</v>
      </c>
      <c r="L169" s="6">
        <v>0.0</v>
      </c>
      <c r="M169" s="6">
        <v>27.0</v>
      </c>
      <c r="N169" s="6">
        <v>29.0</v>
      </c>
      <c r="O169" s="6">
        <v>0.0</v>
      </c>
      <c r="P169" s="6">
        <v>6.0</v>
      </c>
      <c r="Q169" s="6">
        <v>20.0</v>
      </c>
      <c r="R169" s="6">
        <v>3.0</v>
      </c>
      <c r="S169" s="6">
        <v>5.0</v>
      </c>
      <c r="T169" s="6">
        <v>0.0</v>
      </c>
      <c r="U169" s="6">
        <v>0.0</v>
      </c>
      <c r="V169" s="6">
        <v>23.0</v>
      </c>
      <c r="W169" s="6">
        <v>0.0</v>
      </c>
      <c r="X169" s="6">
        <v>19.0</v>
      </c>
      <c r="Y169" s="6">
        <v>23.0</v>
      </c>
      <c r="Z169" s="6">
        <v>0.0</v>
      </c>
      <c r="AA169" s="6">
        <v>0.0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</row>
    <row r="170">
      <c r="A170" s="5">
        <v>45288.0</v>
      </c>
      <c r="B170" s="6">
        <v>31.0</v>
      </c>
      <c r="C170" s="6">
        <v>145.0</v>
      </c>
      <c r="D170" s="6">
        <v>5.0</v>
      </c>
      <c r="E170" s="6">
        <v>2203.0</v>
      </c>
      <c r="F170" s="6">
        <v>71.0</v>
      </c>
      <c r="G170" s="6">
        <v>0.0</v>
      </c>
      <c r="H170" s="4"/>
      <c r="I170" s="6">
        <v>26.0</v>
      </c>
      <c r="J170" s="6">
        <v>1.0</v>
      </c>
      <c r="K170" s="6">
        <v>1.0</v>
      </c>
      <c r="L170" s="6">
        <v>0.0</v>
      </c>
      <c r="M170" s="6">
        <v>28.0</v>
      </c>
      <c r="N170" s="6">
        <v>31.0</v>
      </c>
      <c r="O170" s="6">
        <v>0.0</v>
      </c>
      <c r="P170" s="6">
        <v>0.0</v>
      </c>
      <c r="Q170" s="6">
        <v>17.0</v>
      </c>
      <c r="R170" s="6">
        <v>0.0</v>
      </c>
      <c r="S170" s="6">
        <v>13.0</v>
      </c>
      <c r="T170" s="6">
        <v>3.0</v>
      </c>
      <c r="U170" s="6">
        <v>0.0</v>
      </c>
      <c r="V170" s="6">
        <v>17.0</v>
      </c>
      <c r="W170" s="6">
        <v>0.0</v>
      </c>
      <c r="X170" s="6">
        <v>19.0</v>
      </c>
      <c r="Y170" s="6">
        <v>21.0</v>
      </c>
      <c r="Z170" s="6">
        <v>3.0</v>
      </c>
      <c r="AA170" s="6">
        <v>0.0</v>
      </c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</row>
    <row r="171">
      <c r="A171" s="5">
        <v>45289.0</v>
      </c>
      <c r="B171" s="6">
        <v>33.0</v>
      </c>
      <c r="C171" s="6">
        <v>121.0</v>
      </c>
      <c r="D171" s="6">
        <v>4.0</v>
      </c>
      <c r="E171" s="6">
        <v>2313.0</v>
      </c>
      <c r="F171" s="6">
        <v>70.0</v>
      </c>
      <c r="G171" s="6">
        <v>0.0</v>
      </c>
      <c r="H171" s="4"/>
      <c r="I171" s="6">
        <v>26.0</v>
      </c>
      <c r="J171" s="6">
        <v>2.0</v>
      </c>
      <c r="K171" s="6">
        <v>1.0</v>
      </c>
      <c r="L171" s="6">
        <v>0.0</v>
      </c>
      <c r="M171" s="6">
        <v>29.0</v>
      </c>
      <c r="N171" s="6">
        <v>29.0</v>
      </c>
      <c r="O171" s="6">
        <v>0.0</v>
      </c>
      <c r="P171" s="6">
        <v>4.0</v>
      </c>
      <c r="Q171" s="6">
        <v>17.0</v>
      </c>
      <c r="R171" s="6">
        <v>2.0</v>
      </c>
      <c r="S171" s="6">
        <v>16.0</v>
      </c>
      <c r="T171" s="6">
        <v>1.0</v>
      </c>
      <c r="U171" s="6">
        <v>0.0</v>
      </c>
      <c r="V171" s="6">
        <v>19.0</v>
      </c>
      <c r="W171" s="6">
        <v>1.0</v>
      </c>
      <c r="X171" s="6">
        <v>12.0</v>
      </c>
      <c r="Y171" s="6">
        <v>22.0</v>
      </c>
      <c r="Z171" s="6">
        <v>2.0</v>
      </c>
      <c r="AA171" s="6">
        <v>0.0</v>
      </c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</row>
    <row r="172">
      <c r="A172" s="5">
        <v>45290.0</v>
      </c>
      <c r="B172" s="6">
        <v>0.0</v>
      </c>
      <c r="C172" s="6">
        <v>0.0</v>
      </c>
      <c r="D172" s="6">
        <v>0.0</v>
      </c>
      <c r="E172" s="6">
        <v>0.0</v>
      </c>
      <c r="F172" s="6">
        <v>0.0</v>
      </c>
      <c r="G172" s="6">
        <v>0.0</v>
      </c>
      <c r="H172" s="4"/>
      <c r="I172" s="6">
        <v>0.0</v>
      </c>
      <c r="J172" s="6">
        <v>0.0</v>
      </c>
      <c r="K172" s="6">
        <v>0.0</v>
      </c>
      <c r="L172" s="6">
        <v>0.0</v>
      </c>
      <c r="M172" s="6">
        <v>0.0</v>
      </c>
      <c r="N172" s="6">
        <v>0.0</v>
      </c>
      <c r="O172" s="6">
        <v>0.0</v>
      </c>
      <c r="P172" s="6">
        <v>0.0</v>
      </c>
      <c r="Q172" s="6">
        <v>0.0</v>
      </c>
      <c r="R172" s="6">
        <v>0.0</v>
      </c>
      <c r="S172" s="6">
        <v>0.0</v>
      </c>
      <c r="T172" s="6">
        <v>0.0</v>
      </c>
      <c r="U172" s="6">
        <v>0.0</v>
      </c>
      <c r="V172" s="6">
        <v>0.0</v>
      </c>
      <c r="W172" s="6">
        <v>0.0</v>
      </c>
      <c r="X172" s="6">
        <v>0.0</v>
      </c>
      <c r="Y172" s="6">
        <v>0.0</v>
      </c>
      <c r="Z172" s="6">
        <v>0.0</v>
      </c>
      <c r="AA172" s="6">
        <v>0.0</v>
      </c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</row>
    <row r="173">
      <c r="A173" s="5">
        <v>45291.0</v>
      </c>
      <c r="B173" s="6">
        <v>0.0</v>
      </c>
      <c r="C173" s="6">
        <v>0.0</v>
      </c>
      <c r="D173" s="6">
        <v>0.0</v>
      </c>
      <c r="E173" s="6">
        <v>0.0</v>
      </c>
      <c r="F173" s="6">
        <v>0.0</v>
      </c>
      <c r="G173" s="6">
        <v>0.0</v>
      </c>
      <c r="H173" s="4"/>
      <c r="I173" s="6">
        <v>0.0</v>
      </c>
      <c r="J173" s="6">
        <v>0.0</v>
      </c>
      <c r="K173" s="6">
        <v>0.0</v>
      </c>
      <c r="L173" s="6">
        <v>0.0</v>
      </c>
      <c r="M173" s="6">
        <v>0.0</v>
      </c>
      <c r="N173" s="6">
        <v>0.0</v>
      </c>
      <c r="O173" s="6">
        <v>0.0</v>
      </c>
      <c r="P173" s="6">
        <v>0.0</v>
      </c>
      <c r="Q173" s="6">
        <v>0.0</v>
      </c>
      <c r="R173" s="6">
        <v>0.0</v>
      </c>
      <c r="S173" s="6">
        <v>0.0</v>
      </c>
      <c r="T173" s="6">
        <v>0.0</v>
      </c>
      <c r="U173" s="6">
        <v>0.0</v>
      </c>
      <c r="V173" s="6">
        <v>0.0</v>
      </c>
      <c r="W173" s="6">
        <v>0.0</v>
      </c>
      <c r="X173" s="6">
        <v>0.0</v>
      </c>
      <c r="Y173" s="6">
        <v>0.0</v>
      </c>
      <c r="Z173" s="6">
        <v>0.0</v>
      </c>
      <c r="AA173" s="6">
        <v>0.0</v>
      </c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</row>
    <row r="174">
      <c r="A174" s="5">
        <v>45292.0</v>
      </c>
      <c r="B174" s="6">
        <v>0.0</v>
      </c>
      <c r="C174" s="6">
        <v>0.0</v>
      </c>
      <c r="D174" s="6">
        <v>0.0</v>
      </c>
      <c r="E174" s="6">
        <v>0.0</v>
      </c>
      <c r="F174" s="6">
        <v>0.0</v>
      </c>
      <c r="G174" s="6">
        <v>0.0</v>
      </c>
      <c r="H174" s="4"/>
      <c r="I174" s="6">
        <v>0.0</v>
      </c>
      <c r="J174" s="6">
        <v>0.0</v>
      </c>
      <c r="K174" s="6">
        <v>0.0</v>
      </c>
      <c r="L174" s="6">
        <v>0.0</v>
      </c>
      <c r="M174" s="6">
        <v>0.0</v>
      </c>
      <c r="N174" s="6">
        <v>0.0</v>
      </c>
      <c r="O174" s="6">
        <v>0.0</v>
      </c>
      <c r="P174" s="6">
        <v>0.0</v>
      </c>
      <c r="Q174" s="6">
        <v>0.0</v>
      </c>
      <c r="R174" s="6">
        <v>0.0</v>
      </c>
      <c r="S174" s="6">
        <v>0.0</v>
      </c>
      <c r="T174" s="6">
        <v>0.0</v>
      </c>
      <c r="U174" s="6">
        <v>0.0</v>
      </c>
      <c r="V174" s="6">
        <v>0.0</v>
      </c>
      <c r="W174" s="6">
        <v>0.0</v>
      </c>
      <c r="X174" s="6">
        <v>0.0</v>
      </c>
      <c r="Y174" s="6">
        <v>0.0</v>
      </c>
      <c r="Z174" s="6">
        <v>0.0</v>
      </c>
      <c r="AA174" s="6">
        <v>0.0</v>
      </c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</row>
    <row r="175">
      <c r="A175" s="5">
        <v>45293.0</v>
      </c>
      <c r="B175" s="6">
        <v>26.0</v>
      </c>
      <c r="C175" s="6">
        <v>118.0</v>
      </c>
      <c r="D175" s="6">
        <v>5.0</v>
      </c>
      <c r="E175" s="6">
        <v>2629.0</v>
      </c>
      <c r="F175" s="6">
        <v>101.0</v>
      </c>
      <c r="G175" s="6">
        <v>0.0</v>
      </c>
      <c r="H175" s="4"/>
      <c r="I175" s="6">
        <v>18.0</v>
      </c>
      <c r="J175" s="6">
        <v>4.0</v>
      </c>
      <c r="K175" s="6">
        <v>0.0</v>
      </c>
      <c r="L175" s="6">
        <v>0.0</v>
      </c>
      <c r="M175" s="6">
        <v>22.0</v>
      </c>
      <c r="N175" s="6">
        <v>20.0</v>
      </c>
      <c r="O175" s="6">
        <v>0.0</v>
      </c>
      <c r="P175" s="6">
        <v>6.0</v>
      </c>
      <c r="Q175" s="6">
        <v>12.0</v>
      </c>
      <c r="R175" s="6">
        <v>2.0</v>
      </c>
      <c r="S175" s="6">
        <v>18.0</v>
      </c>
      <c r="T175" s="6">
        <v>2.0</v>
      </c>
      <c r="U175" s="6">
        <v>0.0</v>
      </c>
      <c r="V175" s="6">
        <v>14.0</v>
      </c>
      <c r="W175" s="6">
        <v>0.0</v>
      </c>
      <c r="X175" s="6">
        <v>27.0</v>
      </c>
      <c r="Y175" s="6">
        <v>17.0</v>
      </c>
      <c r="Z175" s="6">
        <v>2.0</v>
      </c>
      <c r="AA175" s="6">
        <v>0.0</v>
      </c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</row>
    <row r="176">
      <c r="A176" s="5">
        <v>45294.0</v>
      </c>
      <c r="B176" s="6">
        <v>26.0</v>
      </c>
      <c r="C176" s="6">
        <v>93.0</v>
      </c>
      <c r="D176" s="6">
        <v>4.0</v>
      </c>
      <c r="E176" s="6">
        <v>1817.0</v>
      </c>
      <c r="F176" s="6">
        <v>70.0</v>
      </c>
      <c r="G176" s="6">
        <v>0.0</v>
      </c>
      <c r="H176" s="4"/>
      <c r="I176" s="6">
        <v>19.0</v>
      </c>
      <c r="J176" s="6">
        <v>0.0</v>
      </c>
      <c r="K176" s="6">
        <v>1.0</v>
      </c>
      <c r="L176" s="6">
        <v>1.0</v>
      </c>
      <c r="M176" s="6">
        <v>21.0</v>
      </c>
      <c r="N176" s="6">
        <v>21.0</v>
      </c>
      <c r="O176" s="6">
        <v>0.0</v>
      </c>
      <c r="P176" s="6">
        <v>5.0</v>
      </c>
      <c r="Q176" s="6">
        <v>13.0</v>
      </c>
      <c r="R176" s="6">
        <v>2.0</v>
      </c>
      <c r="S176" s="6">
        <v>10.0</v>
      </c>
      <c r="T176" s="6">
        <v>1.0</v>
      </c>
      <c r="U176" s="6">
        <v>0.0</v>
      </c>
      <c r="V176" s="6">
        <v>15.0</v>
      </c>
      <c r="W176" s="6">
        <v>0.0</v>
      </c>
      <c r="X176" s="6">
        <v>13.0</v>
      </c>
      <c r="Y176" s="6">
        <v>17.0</v>
      </c>
      <c r="Z176" s="6">
        <v>1.0</v>
      </c>
      <c r="AA176" s="6">
        <v>0.0</v>
      </c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</row>
    <row r="177">
      <c r="A177" s="5">
        <v>45295.0</v>
      </c>
      <c r="B177" s="6">
        <v>22.0</v>
      </c>
      <c r="C177" s="6">
        <v>88.0</v>
      </c>
      <c r="D177" s="6">
        <v>4.0</v>
      </c>
      <c r="E177" s="6">
        <v>1785.0</v>
      </c>
      <c r="F177" s="6">
        <v>81.0</v>
      </c>
      <c r="G177" s="6">
        <v>0.0</v>
      </c>
      <c r="H177" s="4"/>
      <c r="I177" s="6">
        <v>13.0</v>
      </c>
      <c r="J177" s="6">
        <v>3.0</v>
      </c>
      <c r="K177" s="6">
        <v>1.0</v>
      </c>
      <c r="L177" s="6">
        <v>0.0</v>
      </c>
      <c r="M177" s="6">
        <v>17.0</v>
      </c>
      <c r="N177" s="6">
        <v>18.0</v>
      </c>
      <c r="O177" s="6">
        <v>0.0</v>
      </c>
      <c r="P177" s="6">
        <v>4.0</v>
      </c>
      <c r="Q177" s="6">
        <v>12.0</v>
      </c>
      <c r="R177" s="6">
        <v>4.0</v>
      </c>
      <c r="S177" s="6">
        <v>7.0</v>
      </c>
      <c r="T177" s="6">
        <v>1.0</v>
      </c>
      <c r="U177" s="6">
        <v>0.0</v>
      </c>
      <c r="V177" s="6">
        <v>16.0</v>
      </c>
      <c r="W177" s="6">
        <v>0.0</v>
      </c>
      <c r="X177" s="6">
        <v>18.0</v>
      </c>
      <c r="Y177" s="6">
        <v>17.0</v>
      </c>
      <c r="Z177" s="6">
        <v>1.0</v>
      </c>
      <c r="AA177" s="6">
        <v>0.0</v>
      </c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</row>
    <row r="178">
      <c r="A178" s="5">
        <v>45296.0</v>
      </c>
      <c r="B178" s="6">
        <v>23.0</v>
      </c>
      <c r="C178" s="6">
        <v>79.0</v>
      </c>
      <c r="D178" s="6">
        <v>3.0</v>
      </c>
      <c r="E178" s="6">
        <v>1405.0</v>
      </c>
      <c r="F178" s="6">
        <v>61.0</v>
      </c>
      <c r="G178" s="6">
        <v>0.0</v>
      </c>
      <c r="H178" s="4"/>
      <c r="I178" s="6">
        <v>15.0</v>
      </c>
      <c r="J178" s="6">
        <v>4.0</v>
      </c>
      <c r="K178" s="6">
        <v>0.0</v>
      </c>
      <c r="L178" s="6">
        <v>0.0</v>
      </c>
      <c r="M178" s="6">
        <v>19.0</v>
      </c>
      <c r="N178" s="6">
        <v>18.0</v>
      </c>
      <c r="O178" s="6">
        <v>0.0</v>
      </c>
      <c r="P178" s="6">
        <v>5.0</v>
      </c>
      <c r="Q178" s="6">
        <v>8.0</v>
      </c>
      <c r="R178" s="6">
        <v>2.0</v>
      </c>
      <c r="S178" s="6">
        <v>6.0</v>
      </c>
      <c r="T178" s="6">
        <v>1.0</v>
      </c>
      <c r="U178" s="6">
        <v>0.0</v>
      </c>
      <c r="V178" s="6">
        <v>10.0</v>
      </c>
      <c r="W178" s="6">
        <v>0.0</v>
      </c>
      <c r="X178" s="6">
        <v>12.0</v>
      </c>
      <c r="Y178" s="6">
        <v>12.0</v>
      </c>
      <c r="Z178" s="6">
        <v>1.0</v>
      </c>
      <c r="AA178" s="6">
        <v>0.0</v>
      </c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</row>
    <row r="179">
      <c r="A179" s="5">
        <v>45297.0</v>
      </c>
      <c r="B179" s="6">
        <v>12.0</v>
      </c>
      <c r="C179" s="6">
        <v>50.0</v>
      </c>
      <c r="D179" s="6">
        <v>4.0</v>
      </c>
      <c r="E179" s="6">
        <v>975.0</v>
      </c>
      <c r="F179" s="6">
        <v>81.0</v>
      </c>
      <c r="G179" s="6">
        <v>0.0</v>
      </c>
      <c r="H179" s="4"/>
      <c r="I179" s="6">
        <v>4.0</v>
      </c>
      <c r="J179" s="6">
        <v>2.0</v>
      </c>
      <c r="K179" s="6">
        <v>0.0</v>
      </c>
      <c r="L179" s="6">
        <v>1.0</v>
      </c>
      <c r="M179" s="6">
        <v>7.0</v>
      </c>
      <c r="N179" s="6">
        <v>10.0</v>
      </c>
      <c r="O179" s="6">
        <v>0.0</v>
      </c>
      <c r="P179" s="6">
        <v>2.0</v>
      </c>
      <c r="Q179" s="6">
        <v>7.0</v>
      </c>
      <c r="R179" s="6">
        <v>1.0</v>
      </c>
      <c r="S179" s="6">
        <v>6.0</v>
      </c>
      <c r="T179" s="6">
        <v>0.0</v>
      </c>
      <c r="U179" s="6">
        <v>0.0</v>
      </c>
      <c r="V179" s="6">
        <v>8.0</v>
      </c>
      <c r="W179" s="6">
        <v>0.0</v>
      </c>
      <c r="X179" s="6">
        <v>5.0</v>
      </c>
      <c r="Y179" s="6">
        <v>9.0</v>
      </c>
      <c r="Z179" s="6">
        <v>0.0</v>
      </c>
      <c r="AA179" s="6">
        <v>0.0</v>
      </c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</row>
    <row r="180">
      <c r="A180" s="5">
        <v>45298.0</v>
      </c>
      <c r="B180" s="6">
        <v>0.0</v>
      </c>
      <c r="C180" s="6">
        <v>0.0</v>
      </c>
      <c r="D180" s="6">
        <v>0.0</v>
      </c>
      <c r="E180" s="6">
        <v>0.0</v>
      </c>
      <c r="F180" s="6">
        <v>0.0</v>
      </c>
      <c r="G180" s="6">
        <v>0.0</v>
      </c>
      <c r="H180" s="4"/>
      <c r="I180" s="6">
        <v>0.0</v>
      </c>
      <c r="J180" s="6">
        <v>0.0</v>
      </c>
      <c r="K180" s="6">
        <v>0.0</v>
      </c>
      <c r="L180" s="6">
        <v>0.0</v>
      </c>
      <c r="M180" s="6">
        <v>0.0</v>
      </c>
      <c r="N180" s="6">
        <v>0.0</v>
      </c>
      <c r="O180" s="6">
        <v>0.0</v>
      </c>
      <c r="P180" s="6">
        <v>0.0</v>
      </c>
      <c r="Q180" s="6">
        <v>0.0</v>
      </c>
      <c r="R180" s="6">
        <v>0.0</v>
      </c>
      <c r="S180" s="6">
        <v>0.0</v>
      </c>
      <c r="T180" s="6">
        <v>0.0</v>
      </c>
      <c r="U180" s="6">
        <v>0.0</v>
      </c>
      <c r="V180" s="6">
        <v>0.0</v>
      </c>
      <c r="W180" s="6">
        <v>0.0</v>
      </c>
      <c r="X180" s="6">
        <v>0.0</v>
      </c>
      <c r="Y180" s="6">
        <v>0.0</v>
      </c>
      <c r="Z180" s="6">
        <v>0.0</v>
      </c>
      <c r="AA180" s="6">
        <v>0.0</v>
      </c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</row>
    <row r="181">
      <c r="A181" s="5">
        <v>45299.0</v>
      </c>
      <c r="B181" s="6">
        <v>19.0</v>
      </c>
      <c r="C181" s="6">
        <v>61.0</v>
      </c>
      <c r="D181" s="6">
        <v>3.0</v>
      </c>
      <c r="E181" s="6">
        <v>1124.0</v>
      </c>
      <c r="F181" s="6">
        <v>59.0</v>
      </c>
      <c r="G181" s="6">
        <v>0.0</v>
      </c>
      <c r="H181" s="4"/>
      <c r="I181" s="6">
        <v>13.0</v>
      </c>
      <c r="J181" s="6">
        <v>3.0</v>
      </c>
      <c r="K181" s="6">
        <v>0.0</v>
      </c>
      <c r="L181" s="6">
        <v>0.0</v>
      </c>
      <c r="M181" s="6">
        <v>16.0</v>
      </c>
      <c r="N181" s="6">
        <v>15.0</v>
      </c>
      <c r="O181" s="6">
        <v>0.0</v>
      </c>
      <c r="P181" s="6">
        <v>4.0</v>
      </c>
      <c r="Q181" s="6">
        <v>7.0</v>
      </c>
      <c r="R181" s="6">
        <v>0.0</v>
      </c>
      <c r="S181" s="6">
        <v>5.0</v>
      </c>
      <c r="T181" s="6">
        <v>0.0</v>
      </c>
      <c r="U181" s="6">
        <v>0.0</v>
      </c>
      <c r="V181" s="6">
        <v>7.0</v>
      </c>
      <c r="W181" s="6">
        <v>0.0</v>
      </c>
      <c r="X181" s="6">
        <v>10.0</v>
      </c>
      <c r="Y181" s="6">
        <v>8.0</v>
      </c>
      <c r="Z181" s="6">
        <v>0.0</v>
      </c>
      <c r="AA181" s="6">
        <v>0.0</v>
      </c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</row>
    <row r="182">
      <c r="A182" s="5">
        <v>45300.0</v>
      </c>
      <c r="B182" s="6">
        <v>19.0</v>
      </c>
      <c r="C182" s="6">
        <v>81.0</v>
      </c>
      <c r="D182" s="6">
        <v>4.0</v>
      </c>
      <c r="E182" s="6">
        <v>1521.0</v>
      </c>
      <c r="F182" s="6">
        <v>80.0</v>
      </c>
      <c r="G182" s="6">
        <v>0.0</v>
      </c>
      <c r="H182" s="4"/>
      <c r="I182" s="6">
        <v>14.0</v>
      </c>
      <c r="J182" s="6">
        <v>1.0</v>
      </c>
      <c r="K182" s="6">
        <v>1.0</v>
      </c>
      <c r="L182" s="6">
        <v>0.0</v>
      </c>
      <c r="M182" s="6">
        <v>16.0</v>
      </c>
      <c r="N182" s="6">
        <v>16.0</v>
      </c>
      <c r="O182" s="6">
        <v>0.0</v>
      </c>
      <c r="P182" s="6">
        <v>3.0</v>
      </c>
      <c r="Q182" s="6">
        <v>12.0</v>
      </c>
      <c r="R182" s="6">
        <v>1.0</v>
      </c>
      <c r="S182" s="6">
        <v>13.0</v>
      </c>
      <c r="T182" s="6">
        <v>1.0</v>
      </c>
      <c r="U182" s="6">
        <v>0.0</v>
      </c>
      <c r="V182" s="6">
        <v>13.0</v>
      </c>
      <c r="W182" s="6">
        <v>0.0</v>
      </c>
      <c r="X182" s="6">
        <v>13.0</v>
      </c>
      <c r="Y182" s="6">
        <v>14.0</v>
      </c>
      <c r="Z182" s="6">
        <v>1.0</v>
      </c>
      <c r="AA182" s="6">
        <v>0.0</v>
      </c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</row>
    <row r="183">
      <c r="A183" s="5">
        <v>45301.0</v>
      </c>
      <c r="B183" s="6">
        <v>29.0</v>
      </c>
      <c r="C183" s="6">
        <v>101.0</v>
      </c>
      <c r="D183" s="6">
        <v>3.0</v>
      </c>
      <c r="E183" s="6">
        <v>1552.0</v>
      </c>
      <c r="F183" s="6">
        <v>54.0</v>
      </c>
      <c r="G183" s="6">
        <v>0.0</v>
      </c>
      <c r="H183" s="4"/>
      <c r="I183" s="6">
        <v>16.0</v>
      </c>
      <c r="J183" s="6">
        <v>3.0</v>
      </c>
      <c r="K183" s="6">
        <v>1.0</v>
      </c>
      <c r="L183" s="6">
        <v>1.0</v>
      </c>
      <c r="M183" s="6">
        <v>21.0</v>
      </c>
      <c r="N183" s="6">
        <v>22.0</v>
      </c>
      <c r="O183" s="6">
        <v>1.0</v>
      </c>
      <c r="P183" s="6">
        <v>6.0</v>
      </c>
      <c r="Q183" s="6">
        <v>14.0</v>
      </c>
      <c r="R183" s="6">
        <v>3.0</v>
      </c>
      <c r="S183" s="6">
        <v>11.0</v>
      </c>
      <c r="T183" s="6">
        <v>0.0</v>
      </c>
      <c r="U183" s="6">
        <v>0.0</v>
      </c>
      <c r="V183" s="6">
        <v>17.0</v>
      </c>
      <c r="W183" s="6">
        <v>0.0</v>
      </c>
      <c r="X183" s="6">
        <v>9.0</v>
      </c>
      <c r="Y183" s="6">
        <v>19.0</v>
      </c>
      <c r="Z183" s="6">
        <v>0.0</v>
      </c>
      <c r="AA183" s="6">
        <v>0.0</v>
      </c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</row>
    <row r="184">
      <c r="A184" s="5">
        <v>45302.0</v>
      </c>
      <c r="B184" s="6">
        <v>26.0</v>
      </c>
      <c r="C184" s="6">
        <v>97.0</v>
      </c>
      <c r="D184" s="6">
        <v>4.0</v>
      </c>
      <c r="E184" s="6">
        <v>1670.0</v>
      </c>
      <c r="F184" s="6">
        <v>64.0</v>
      </c>
      <c r="G184" s="6">
        <v>0.0</v>
      </c>
      <c r="H184" s="4"/>
      <c r="I184" s="6">
        <v>20.0</v>
      </c>
      <c r="J184" s="6">
        <v>3.0</v>
      </c>
      <c r="K184" s="6">
        <v>0.0</v>
      </c>
      <c r="L184" s="6">
        <v>0.0</v>
      </c>
      <c r="M184" s="6">
        <v>23.0</v>
      </c>
      <c r="N184" s="6">
        <v>18.0</v>
      </c>
      <c r="O184" s="6">
        <v>0.0</v>
      </c>
      <c r="P184" s="6">
        <v>8.0</v>
      </c>
      <c r="Q184" s="6">
        <v>11.0</v>
      </c>
      <c r="R184" s="6">
        <v>6.0</v>
      </c>
      <c r="S184" s="6">
        <v>5.0</v>
      </c>
      <c r="T184" s="6">
        <v>0.0</v>
      </c>
      <c r="U184" s="6">
        <v>0.0</v>
      </c>
      <c r="V184" s="6">
        <v>17.0</v>
      </c>
      <c r="W184" s="6">
        <v>0.0</v>
      </c>
      <c r="X184" s="6">
        <v>14.0</v>
      </c>
      <c r="Y184" s="6">
        <v>19.0</v>
      </c>
      <c r="Z184" s="6">
        <v>0.0</v>
      </c>
      <c r="AA184" s="6">
        <v>0.0</v>
      </c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</row>
    <row r="185">
      <c r="A185" s="5">
        <v>45303.0</v>
      </c>
      <c r="B185" s="6">
        <v>24.0</v>
      </c>
      <c r="C185" s="6">
        <v>97.0</v>
      </c>
      <c r="D185" s="6">
        <v>4.0</v>
      </c>
      <c r="E185" s="6">
        <v>1799.0</v>
      </c>
      <c r="F185" s="6">
        <v>75.0</v>
      </c>
      <c r="G185" s="6">
        <v>0.0</v>
      </c>
      <c r="H185" s="4"/>
      <c r="I185" s="6">
        <v>22.0</v>
      </c>
      <c r="J185" s="6">
        <v>1.0</v>
      </c>
      <c r="K185" s="6">
        <v>0.0</v>
      </c>
      <c r="L185" s="6">
        <v>0.0</v>
      </c>
      <c r="M185" s="6">
        <v>23.0</v>
      </c>
      <c r="N185" s="6">
        <v>18.0</v>
      </c>
      <c r="O185" s="6">
        <v>1.0</v>
      </c>
      <c r="P185" s="6">
        <v>5.0</v>
      </c>
      <c r="Q185" s="6">
        <v>10.0</v>
      </c>
      <c r="R185" s="6">
        <v>4.0</v>
      </c>
      <c r="S185" s="6">
        <v>12.0</v>
      </c>
      <c r="T185" s="6">
        <v>3.0</v>
      </c>
      <c r="U185" s="6">
        <v>0.0</v>
      </c>
      <c r="V185" s="6">
        <v>14.0</v>
      </c>
      <c r="W185" s="6">
        <v>0.0</v>
      </c>
      <c r="X185" s="6">
        <v>14.0</v>
      </c>
      <c r="Y185" s="6">
        <v>18.0</v>
      </c>
      <c r="Z185" s="6">
        <v>3.0</v>
      </c>
      <c r="AA185" s="6">
        <v>0.0</v>
      </c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</row>
    <row r="186">
      <c r="A186" s="5">
        <v>45304.0</v>
      </c>
      <c r="B186" s="6">
        <v>13.0</v>
      </c>
      <c r="C186" s="6">
        <v>49.0</v>
      </c>
      <c r="D186" s="6">
        <v>4.0</v>
      </c>
      <c r="E186" s="6">
        <v>800.0</v>
      </c>
      <c r="F186" s="6">
        <v>62.0</v>
      </c>
      <c r="G186" s="6">
        <v>0.0</v>
      </c>
      <c r="H186" s="4"/>
      <c r="I186" s="6">
        <v>9.0</v>
      </c>
      <c r="J186" s="6">
        <v>2.0</v>
      </c>
      <c r="K186" s="6">
        <v>0.0</v>
      </c>
      <c r="L186" s="6">
        <v>0.0</v>
      </c>
      <c r="M186" s="6">
        <v>11.0</v>
      </c>
      <c r="N186" s="6">
        <v>6.0</v>
      </c>
      <c r="O186" s="6">
        <v>0.0</v>
      </c>
      <c r="P186" s="6">
        <v>7.0</v>
      </c>
      <c r="Q186" s="6">
        <v>1.0</v>
      </c>
      <c r="R186" s="6">
        <v>5.0</v>
      </c>
      <c r="S186" s="6">
        <v>8.0</v>
      </c>
      <c r="T186" s="6">
        <v>0.0</v>
      </c>
      <c r="U186" s="6">
        <v>0.0</v>
      </c>
      <c r="V186" s="6">
        <v>6.0</v>
      </c>
      <c r="W186" s="6">
        <v>0.0</v>
      </c>
      <c r="X186" s="6">
        <v>7.0</v>
      </c>
      <c r="Y186" s="6">
        <v>7.0</v>
      </c>
      <c r="Z186" s="6">
        <v>0.0</v>
      </c>
      <c r="AA186" s="6">
        <v>0.0</v>
      </c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</row>
    <row r="187">
      <c r="A187" s="5">
        <v>45305.0</v>
      </c>
      <c r="B187" s="6">
        <v>0.0</v>
      </c>
      <c r="C187" s="6">
        <v>0.0</v>
      </c>
      <c r="D187" s="6">
        <v>0.0</v>
      </c>
      <c r="E187" s="6">
        <v>0.0</v>
      </c>
      <c r="F187" s="6">
        <v>0.0</v>
      </c>
      <c r="G187" s="6">
        <v>0.0</v>
      </c>
      <c r="H187" s="4"/>
      <c r="I187" s="6">
        <v>0.0</v>
      </c>
      <c r="J187" s="6">
        <v>0.0</v>
      </c>
      <c r="K187" s="6">
        <v>0.0</v>
      </c>
      <c r="L187" s="6">
        <v>0.0</v>
      </c>
      <c r="M187" s="6">
        <v>0.0</v>
      </c>
      <c r="N187" s="6">
        <v>0.0</v>
      </c>
      <c r="O187" s="6">
        <v>0.0</v>
      </c>
      <c r="P187" s="6">
        <v>0.0</v>
      </c>
      <c r="Q187" s="6">
        <v>0.0</v>
      </c>
      <c r="R187" s="6">
        <v>0.0</v>
      </c>
      <c r="S187" s="6">
        <v>0.0</v>
      </c>
      <c r="T187" s="6">
        <v>0.0</v>
      </c>
      <c r="U187" s="6">
        <v>0.0</v>
      </c>
      <c r="V187" s="6">
        <v>0.0</v>
      </c>
      <c r="W187" s="6">
        <v>0.0</v>
      </c>
      <c r="X187" s="6">
        <v>0.0</v>
      </c>
      <c r="Y187" s="6">
        <v>0.0</v>
      </c>
      <c r="Z187" s="6">
        <v>0.0</v>
      </c>
      <c r="AA187" s="6">
        <v>0.0</v>
      </c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</row>
    <row r="188">
      <c r="A188" s="5">
        <v>45306.0</v>
      </c>
      <c r="B188" s="6">
        <v>37.0</v>
      </c>
      <c r="C188" s="6">
        <v>143.0</v>
      </c>
      <c r="D188" s="6">
        <v>4.0</v>
      </c>
      <c r="E188" s="6">
        <v>2691.0</v>
      </c>
      <c r="F188" s="6">
        <v>73.0</v>
      </c>
      <c r="G188" s="6">
        <v>0.0</v>
      </c>
      <c r="H188" s="4"/>
      <c r="I188" s="6">
        <v>22.0</v>
      </c>
      <c r="J188" s="6">
        <v>3.0</v>
      </c>
      <c r="K188" s="6">
        <v>0.0</v>
      </c>
      <c r="L188" s="6">
        <v>1.0</v>
      </c>
      <c r="M188" s="6">
        <v>27.0</v>
      </c>
      <c r="N188" s="6">
        <v>30.0</v>
      </c>
      <c r="O188" s="6">
        <v>0.0</v>
      </c>
      <c r="P188" s="6">
        <v>7.0</v>
      </c>
      <c r="Q188" s="6">
        <v>14.0</v>
      </c>
      <c r="R188" s="6">
        <v>5.0</v>
      </c>
      <c r="S188" s="6">
        <v>22.0</v>
      </c>
      <c r="T188" s="6">
        <v>1.0</v>
      </c>
      <c r="U188" s="6">
        <v>0.0</v>
      </c>
      <c r="V188" s="6">
        <v>19.0</v>
      </c>
      <c r="W188" s="6">
        <v>0.0</v>
      </c>
      <c r="X188" s="6">
        <v>20.0</v>
      </c>
      <c r="Y188" s="6">
        <v>23.0</v>
      </c>
      <c r="Z188" s="6">
        <v>1.0</v>
      </c>
      <c r="AA188" s="6">
        <v>0.0</v>
      </c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</row>
    <row r="189">
      <c r="A189" s="5">
        <v>45307.0</v>
      </c>
      <c r="B189" s="6">
        <v>24.0</v>
      </c>
      <c r="C189" s="6">
        <v>95.0</v>
      </c>
      <c r="D189" s="6">
        <v>4.0</v>
      </c>
      <c r="E189" s="6">
        <v>1435.0</v>
      </c>
      <c r="F189" s="6">
        <v>60.0</v>
      </c>
      <c r="G189" s="6">
        <v>0.0</v>
      </c>
      <c r="H189" s="4"/>
      <c r="I189" s="6">
        <v>16.0</v>
      </c>
      <c r="J189" s="6">
        <v>2.0</v>
      </c>
      <c r="K189" s="6">
        <v>0.0</v>
      </c>
      <c r="L189" s="6">
        <v>1.0</v>
      </c>
      <c r="M189" s="6">
        <v>19.0</v>
      </c>
      <c r="N189" s="6">
        <v>20.0</v>
      </c>
      <c r="O189" s="6">
        <v>0.0</v>
      </c>
      <c r="P189" s="6">
        <v>4.0</v>
      </c>
      <c r="Q189" s="6">
        <v>14.0</v>
      </c>
      <c r="R189" s="6">
        <v>2.0</v>
      </c>
      <c r="S189" s="6">
        <v>5.0</v>
      </c>
      <c r="T189" s="6">
        <v>1.0</v>
      </c>
      <c r="U189" s="6">
        <v>0.0</v>
      </c>
      <c r="V189" s="6">
        <v>16.0</v>
      </c>
      <c r="W189" s="6">
        <v>0.0</v>
      </c>
      <c r="X189" s="6">
        <v>11.0</v>
      </c>
      <c r="Y189" s="6">
        <v>21.0</v>
      </c>
      <c r="Z189" s="6">
        <v>1.0</v>
      </c>
      <c r="AA189" s="6">
        <v>0.0</v>
      </c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</row>
    <row r="190">
      <c r="A190" s="5">
        <v>45308.0</v>
      </c>
      <c r="B190" s="6">
        <v>35.0</v>
      </c>
      <c r="C190" s="6">
        <v>145.0</v>
      </c>
      <c r="D190" s="6">
        <v>4.0</v>
      </c>
      <c r="E190" s="6">
        <v>2553.0</v>
      </c>
      <c r="F190" s="6">
        <v>73.0</v>
      </c>
      <c r="G190" s="6">
        <v>0.0</v>
      </c>
      <c r="H190" s="4"/>
      <c r="I190" s="6">
        <v>30.0</v>
      </c>
      <c r="J190" s="6">
        <v>1.0</v>
      </c>
      <c r="K190" s="6">
        <v>1.0</v>
      </c>
      <c r="L190" s="6">
        <v>0.0</v>
      </c>
      <c r="M190" s="6">
        <v>32.0</v>
      </c>
      <c r="N190" s="6">
        <v>28.0</v>
      </c>
      <c r="O190" s="6">
        <v>0.0</v>
      </c>
      <c r="P190" s="6">
        <v>7.0</v>
      </c>
      <c r="Q190" s="6">
        <v>14.0</v>
      </c>
      <c r="R190" s="6">
        <v>7.0</v>
      </c>
      <c r="S190" s="6">
        <v>10.0</v>
      </c>
      <c r="T190" s="6">
        <v>3.0</v>
      </c>
      <c r="U190" s="6">
        <v>0.0</v>
      </c>
      <c r="V190" s="6">
        <v>21.0</v>
      </c>
      <c r="W190" s="6">
        <v>2.0</v>
      </c>
      <c r="X190" s="6">
        <v>29.0</v>
      </c>
      <c r="Y190" s="6">
        <v>24.0</v>
      </c>
      <c r="Z190" s="6">
        <v>4.0</v>
      </c>
      <c r="AA190" s="6">
        <v>0.0</v>
      </c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</row>
    <row r="191">
      <c r="A191" s="5">
        <v>45309.0</v>
      </c>
      <c r="B191" s="6">
        <v>30.0</v>
      </c>
      <c r="C191" s="6">
        <v>116.0</v>
      </c>
      <c r="D191" s="6">
        <v>4.0</v>
      </c>
      <c r="E191" s="6">
        <v>2168.0</v>
      </c>
      <c r="F191" s="6">
        <v>72.0</v>
      </c>
      <c r="G191" s="6">
        <v>0.0</v>
      </c>
      <c r="H191" s="4"/>
      <c r="I191" s="6">
        <v>25.0</v>
      </c>
      <c r="J191" s="6">
        <v>1.0</v>
      </c>
      <c r="K191" s="6">
        <v>1.0</v>
      </c>
      <c r="L191" s="6">
        <v>0.0</v>
      </c>
      <c r="M191" s="6">
        <v>27.0</v>
      </c>
      <c r="N191" s="6">
        <v>21.0</v>
      </c>
      <c r="O191" s="6">
        <v>0.0</v>
      </c>
      <c r="P191" s="6">
        <v>8.0</v>
      </c>
      <c r="Q191" s="6">
        <v>15.0</v>
      </c>
      <c r="R191" s="6">
        <v>5.0</v>
      </c>
      <c r="S191" s="6">
        <v>11.0</v>
      </c>
      <c r="T191" s="6">
        <v>0.0</v>
      </c>
      <c r="U191" s="6">
        <v>0.0</v>
      </c>
      <c r="V191" s="6">
        <v>20.0</v>
      </c>
      <c r="W191" s="6">
        <v>0.0</v>
      </c>
      <c r="X191" s="6">
        <v>15.0</v>
      </c>
      <c r="Y191" s="6">
        <v>23.0</v>
      </c>
      <c r="Z191" s="6">
        <v>0.0</v>
      </c>
      <c r="AA191" s="6">
        <v>0.0</v>
      </c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</row>
    <row r="192">
      <c r="A192" s="5">
        <v>45310.0</v>
      </c>
      <c r="B192" s="6">
        <v>21.0</v>
      </c>
      <c r="C192" s="6">
        <v>83.0</v>
      </c>
      <c r="D192" s="6">
        <v>4.0</v>
      </c>
      <c r="E192" s="6">
        <v>1654.0</v>
      </c>
      <c r="F192" s="6">
        <v>79.0</v>
      </c>
      <c r="G192" s="6">
        <v>0.0</v>
      </c>
      <c r="H192" s="4"/>
      <c r="I192" s="6">
        <v>21.0</v>
      </c>
      <c r="J192" s="6">
        <v>0.0</v>
      </c>
      <c r="K192" s="6">
        <v>0.0</v>
      </c>
      <c r="L192" s="6">
        <v>0.0</v>
      </c>
      <c r="M192" s="6">
        <v>21.0</v>
      </c>
      <c r="N192" s="6">
        <v>14.0</v>
      </c>
      <c r="O192" s="6">
        <v>0.0</v>
      </c>
      <c r="P192" s="6">
        <v>7.0</v>
      </c>
      <c r="Q192" s="6">
        <v>10.0</v>
      </c>
      <c r="R192" s="6">
        <v>5.0</v>
      </c>
      <c r="S192" s="6">
        <v>5.0</v>
      </c>
      <c r="T192" s="6">
        <v>1.0</v>
      </c>
      <c r="U192" s="6">
        <v>0.0</v>
      </c>
      <c r="V192" s="6">
        <v>15.0</v>
      </c>
      <c r="W192" s="6">
        <v>0.0</v>
      </c>
      <c r="X192" s="6">
        <v>14.0</v>
      </c>
      <c r="Y192" s="6">
        <v>17.0</v>
      </c>
      <c r="Z192" s="6">
        <v>1.0</v>
      </c>
      <c r="AA192" s="6">
        <v>0.0</v>
      </c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</row>
    <row r="193">
      <c r="A193" s="5">
        <v>45311.0</v>
      </c>
      <c r="B193" s="6">
        <v>9.0</v>
      </c>
      <c r="C193" s="6">
        <v>32.0</v>
      </c>
      <c r="D193" s="6">
        <v>4.0</v>
      </c>
      <c r="E193" s="6">
        <v>603.0</v>
      </c>
      <c r="F193" s="6">
        <v>67.0</v>
      </c>
      <c r="G193" s="6">
        <v>0.0</v>
      </c>
      <c r="H193" s="4"/>
      <c r="I193" s="6">
        <v>9.0</v>
      </c>
      <c r="J193" s="6">
        <v>0.0</v>
      </c>
      <c r="K193" s="6">
        <v>0.0</v>
      </c>
      <c r="L193" s="6">
        <v>0.0</v>
      </c>
      <c r="M193" s="6">
        <v>9.0</v>
      </c>
      <c r="N193" s="6">
        <v>4.0</v>
      </c>
      <c r="O193" s="6">
        <v>0.0</v>
      </c>
      <c r="P193" s="6">
        <v>5.0</v>
      </c>
      <c r="Q193" s="6">
        <v>2.0</v>
      </c>
      <c r="R193" s="6">
        <v>5.0</v>
      </c>
      <c r="S193" s="6">
        <v>2.0</v>
      </c>
      <c r="T193" s="6">
        <v>0.0</v>
      </c>
      <c r="U193" s="6">
        <v>0.0</v>
      </c>
      <c r="V193" s="6">
        <v>7.0</v>
      </c>
      <c r="W193" s="6">
        <v>0.0</v>
      </c>
      <c r="X193" s="6">
        <v>5.0</v>
      </c>
      <c r="Y193" s="6">
        <v>7.0</v>
      </c>
      <c r="Z193" s="6">
        <v>0.0</v>
      </c>
      <c r="AA193" s="6">
        <v>0.0</v>
      </c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</row>
    <row r="194">
      <c r="A194" s="5">
        <v>45312.0</v>
      </c>
      <c r="B194" s="6">
        <v>0.0</v>
      </c>
      <c r="C194" s="6">
        <v>0.0</v>
      </c>
      <c r="D194" s="6">
        <v>0.0</v>
      </c>
      <c r="E194" s="6">
        <v>0.0</v>
      </c>
      <c r="F194" s="6">
        <v>0.0</v>
      </c>
      <c r="G194" s="6">
        <v>0.0</v>
      </c>
      <c r="H194" s="4"/>
      <c r="I194" s="6">
        <v>0.0</v>
      </c>
      <c r="J194" s="6">
        <v>0.0</v>
      </c>
      <c r="K194" s="6">
        <v>0.0</v>
      </c>
      <c r="L194" s="6">
        <v>0.0</v>
      </c>
      <c r="M194" s="6">
        <v>0.0</v>
      </c>
      <c r="N194" s="6">
        <v>0.0</v>
      </c>
      <c r="O194" s="6">
        <v>0.0</v>
      </c>
      <c r="P194" s="6">
        <v>0.0</v>
      </c>
      <c r="Q194" s="6">
        <v>0.0</v>
      </c>
      <c r="R194" s="6">
        <v>0.0</v>
      </c>
      <c r="S194" s="6">
        <v>0.0</v>
      </c>
      <c r="T194" s="6">
        <v>0.0</v>
      </c>
      <c r="U194" s="6">
        <v>0.0</v>
      </c>
      <c r="V194" s="6">
        <v>0.0</v>
      </c>
      <c r="W194" s="6">
        <v>0.0</v>
      </c>
      <c r="X194" s="6">
        <v>0.0</v>
      </c>
      <c r="Y194" s="6">
        <v>0.0</v>
      </c>
      <c r="Z194" s="6">
        <v>0.0</v>
      </c>
      <c r="AA194" s="6">
        <v>0.0</v>
      </c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</row>
    <row r="195">
      <c r="A195" s="5">
        <v>45313.0</v>
      </c>
      <c r="B195" s="6">
        <v>21.0</v>
      </c>
      <c r="C195" s="6">
        <v>102.0</v>
      </c>
      <c r="D195" s="6">
        <v>5.0</v>
      </c>
      <c r="E195" s="6">
        <v>2051.0</v>
      </c>
      <c r="F195" s="6">
        <v>98.0</v>
      </c>
      <c r="G195" s="6">
        <v>0.0</v>
      </c>
      <c r="H195" s="4"/>
      <c r="I195" s="6">
        <v>17.0</v>
      </c>
      <c r="J195" s="6">
        <v>2.0</v>
      </c>
      <c r="K195" s="6">
        <v>0.0</v>
      </c>
      <c r="L195" s="6">
        <v>0.0</v>
      </c>
      <c r="M195" s="6">
        <v>19.0</v>
      </c>
      <c r="N195" s="6">
        <v>13.0</v>
      </c>
      <c r="O195" s="6">
        <v>0.0</v>
      </c>
      <c r="P195" s="6">
        <v>8.0</v>
      </c>
      <c r="Q195" s="6">
        <v>9.0</v>
      </c>
      <c r="R195" s="6">
        <v>3.0</v>
      </c>
      <c r="S195" s="6">
        <v>16.0</v>
      </c>
      <c r="T195" s="6">
        <v>1.0</v>
      </c>
      <c r="U195" s="6">
        <v>0.0</v>
      </c>
      <c r="V195" s="6">
        <v>12.0</v>
      </c>
      <c r="W195" s="6">
        <v>0.0</v>
      </c>
      <c r="X195" s="6">
        <v>23.0</v>
      </c>
      <c r="Y195" s="6">
        <v>16.0</v>
      </c>
      <c r="Z195" s="6">
        <v>1.0</v>
      </c>
      <c r="AA195" s="6">
        <v>0.0</v>
      </c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</row>
    <row r="196">
      <c r="A196" s="5">
        <v>45314.0</v>
      </c>
      <c r="B196" s="6">
        <v>21.0</v>
      </c>
      <c r="C196" s="6">
        <v>82.0</v>
      </c>
      <c r="D196" s="6">
        <v>4.0</v>
      </c>
      <c r="E196" s="6">
        <v>1428.0</v>
      </c>
      <c r="F196" s="6">
        <v>68.0</v>
      </c>
      <c r="G196" s="6">
        <v>0.0</v>
      </c>
      <c r="H196" s="4"/>
      <c r="I196" s="6">
        <v>17.0</v>
      </c>
      <c r="J196" s="6">
        <v>2.0</v>
      </c>
      <c r="K196" s="6">
        <v>0.0</v>
      </c>
      <c r="L196" s="6">
        <v>0.0</v>
      </c>
      <c r="M196" s="6">
        <v>19.0</v>
      </c>
      <c r="N196" s="6">
        <v>10.0</v>
      </c>
      <c r="O196" s="6">
        <v>0.0</v>
      </c>
      <c r="P196" s="6">
        <v>11.0</v>
      </c>
      <c r="Q196" s="6">
        <v>4.0</v>
      </c>
      <c r="R196" s="6">
        <v>10.0</v>
      </c>
      <c r="S196" s="6">
        <v>5.0</v>
      </c>
      <c r="T196" s="6">
        <v>0.0</v>
      </c>
      <c r="U196" s="6">
        <v>0.0</v>
      </c>
      <c r="V196" s="6">
        <v>14.0</v>
      </c>
      <c r="W196" s="6">
        <v>1.0</v>
      </c>
      <c r="X196" s="6">
        <v>10.0</v>
      </c>
      <c r="Y196" s="6">
        <v>16.0</v>
      </c>
      <c r="Z196" s="6">
        <v>1.0</v>
      </c>
      <c r="AA196" s="6">
        <v>0.0</v>
      </c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</row>
    <row r="197">
      <c r="A197" s="5">
        <v>45315.0</v>
      </c>
      <c r="B197" s="6">
        <v>43.0</v>
      </c>
      <c r="C197" s="6">
        <v>177.0</v>
      </c>
      <c r="D197" s="6">
        <v>4.0</v>
      </c>
      <c r="E197" s="6">
        <v>2818.0</v>
      </c>
      <c r="F197" s="6">
        <v>66.0</v>
      </c>
      <c r="G197" s="6">
        <v>0.0</v>
      </c>
      <c r="H197" s="4"/>
      <c r="I197" s="6">
        <v>34.0</v>
      </c>
      <c r="J197" s="6">
        <v>3.0</v>
      </c>
      <c r="K197" s="6">
        <v>1.0</v>
      </c>
      <c r="L197" s="6">
        <v>0.0</v>
      </c>
      <c r="M197" s="6">
        <v>38.0</v>
      </c>
      <c r="N197" s="6">
        <v>28.0</v>
      </c>
      <c r="O197" s="6">
        <v>0.0</v>
      </c>
      <c r="P197" s="6">
        <v>15.0</v>
      </c>
      <c r="Q197" s="6">
        <v>15.0</v>
      </c>
      <c r="R197" s="6">
        <v>11.0</v>
      </c>
      <c r="S197" s="6">
        <v>12.0</v>
      </c>
      <c r="T197" s="6">
        <v>2.0</v>
      </c>
      <c r="U197" s="6">
        <v>0.0</v>
      </c>
      <c r="V197" s="6">
        <v>26.0</v>
      </c>
      <c r="W197" s="6">
        <v>1.0</v>
      </c>
      <c r="X197" s="6">
        <v>25.0</v>
      </c>
      <c r="Y197" s="6">
        <v>32.0</v>
      </c>
      <c r="Z197" s="6">
        <v>3.0</v>
      </c>
      <c r="AA197" s="6">
        <v>0.0</v>
      </c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</row>
    <row r="198">
      <c r="A198" s="5">
        <v>45316.0</v>
      </c>
      <c r="B198" s="6">
        <v>38.0</v>
      </c>
      <c r="C198" s="6">
        <v>151.0</v>
      </c>
      <c r="D198" s="6">
        <v>4.0</v>
      </c>
      <c r="E198" s="6">
        <v>2869.0</v>
      </c>
      <c r="F198" s="6">
        <v>76.0</v>
      </c>
      <c r="G198" s="6">
        <v>0.0</v>
      </c>
      <c r="H198" s="4"/>
      <c r="I198" s="6">
        <v>25.0</v>
      </c>
      <c r="J198" s="6">
        <v>4.0</v>
      </c>
      <c r="K198" s="6">
        <v>0.0</v>
      </c>
      <c r="L198" s="6">
        <v>1.0</v>
      </c>
      <c r="M198" s="6">
        <v>30.0</v>
      </c>
      <c r="N198" s="6">
        <v>27.0</v>
      </c>
      <c r="O198" s="6">
        <v>0.0</v>
      </c>
      <c r="P198" s="6">
        <v>11.0</v>
      </c>
      <c r="Q198" s="6">
        <v>16.0</v>
      </c>
      <c r="R198" s="6">
        <v>7.0</v>
      </c>
      <c r="S198" s="6">
        <v>22.0</v>
      </c>
      <c r="T198" s="6">
        <v>1.0</v>
      </c>
      <c r="U198" s="6">
        <v>0.0</v>
      </c>
      <c r="V198" s="6">
        <v>23.0</v>
      </c>
      <c r="W198" s="6">
        <v>1.0</v>
      </c>
      <c r="X198" s="6">
        <v>26.0</v>
      </c>
      <c r="Y198" s="6">
        <v>26.0</v>
      </c>
      <c r="Z198" s="6">
        <v>2.0</v>
      </c>
      <c r="AA198" s="6">
        <v>0.0</v>
      </c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</row>
    <row r="199">
      <c r="A199" s="5">
        <v>45317.0</v>
      </c>
      <c r="B199" s="6">
        <v>42.0</v>
      </c>
      <c r="C199" s="6">
        <v>163.0</v>
      </c>
      <c r="D199" s="6">
        <v>4.0</v>
      </c>
      <c r="E199" s="6">
        <v>2963.0</v>
      </c>
      <c r="F199" s="6">
        <v>71.0</v>
      </c>
      <c r="G199" s="6">
        <v>0.0</v>
      </c>
      <c r="H199" s="4"/>
      <c r="I199" s="6">
        <v>30.0</v>
      </c>
      <c r="J199" s="6">
        <v>6.0</v>
      </c>
      <c r="K199" s="6">
        <v>0.0</v>
      </c>
      <c r="L199" s="6">
        <v>0.0</v>
      </c>
      <c r="M199" s="6">
        <v>36.0</v>
      </c>
      <c r="N199" s="6">
        <v>28.0</v>
      </c>
      <c r="O199" s="6">
        <v>0.0</v>
      </c>
      <c r="P199" s="6">
        <v>14.0</v>
      </c>
      <c r="Q199" s="6">
        <v>18.0</v>
      </c>
      <c r="R199" s="6">
        <v>10.0</v>
      </c>
      <c r="S199" s="6">
        <v>12.0</v>
      </c>
      <c r="T199" s="6">
        <v>4.0</v>
      </c>
      <c r="U199" s="6">
        <v>0.0</v>
      </c>
      <c r="V199" s="6">
        <v>28.0</v>
      </c>
      <c r="W199" s="6">
        <v>1.0</v>
      </c>
      <c r="X199" s="6">
        <v>18.0</v>
      </c>
      <c r="Y199" s="6">
        <v>37.0</v>
      </c>
      <c r="Z199" s="6">
        <v>5.0</v>
      </c>
      <c r="AA199" s="6">
        <v>0.0</v>
      </c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</row>
    <row r="200">
      <c r="A200" s="5">
        <v>45318.0</v>
      </c>
      <c r="B200" s="6">
        <v>10.0</v>
      </c>
      <c r="C200" s="6">
        <v>43.0</v>
      </c>
      <c r="D200" s="6">
        <v>4.0</v>
      </c>
      <c r="E200" s="6">
        <v>898.0</v>
      </c>
      <c r="F200" s="6">
        <v>90.0</v>
      </c>
      <c r="G200" s="6">
        <v>0.0</v>
      </c>
      <c r="H200" s="4"/>
      <c r="I200" s="6">
        <v>8.0</v>
      </c>
      <c r="J200" s="6">
        <v>1.0</v>
      </c>
      <c r="K200" s="6">
        <v>0.0</v>
      </c>
      <c r="L200" s="6">
        <v>0.0</v>
      </c>
      <c r="M200" s="6">
        <v>9.0</v>
      </c>
      <c r="N200" s="6">
        <v>8.0</v>
      </c>
      <c r="O200" s="6">
        <v>0.0</v>
      </c>
      <c r="P200" s="6">
        <v>2.0</v>
      </c>
      <c r="Q200" s="6">
        <v>4.0</v>
      </c>
      <c r="R200" s="6">
        <v>1.0</v>
      </c>
      <c r="S200" s="6">
        <v>6.0</v>
      </c>
      <c r="T200" s="6">
        <v>0.0</v>
      </c>
      <c r="U200" s="6">
        <v>0.0</v>
      </c>
      <c r="V200" s="6">
        <v>5.0</v>
      </c>
      <c r="W200" s="6">
        <v>0.0</v>
      </c>
      <c r="X200" s="6">
        <v>12.0</v>
      </c>
      <c r="Y200" s="6">
        <v>5.0</v>
      </c>
      <c r="Z200" s="6">
        <v>0.0</v>
      </c>
      <c r="AA200" s="6">
        <v>0.0</v>
      </c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</row>
    <row r="201">
      <c r="A201" s="5">
        <v>45319.0</v>
      </c>
      <c r="B201" s="6">
        <v>0.0</v>
      </c>
      <c r="C201" s="6">
        <v>0.0</v>
      </c>
      <c r="D201" s="6">
        <v>0.0</v>
      </c>
      <c r="E201" s="6">
        <v>0.0</v>
      </c>
      <c r="F201" s="6">
        <v>0.0</v>
      </c>
      <c r="G201" s="6">
        <v>0.0</v>
      </c>
      <c r="H201" s="4"/>
      <c r="I201" s="6">
        <v>0.0</v>
      </c>
      <c r="J201" s="6">
        <v>0.0</v>
      </c>
      <c r="K201" s="6">
        <v>0.0</v>
      </c>
      <c r="L201" s="6">
        <v>0.0</v>
      </c>
      <c r="M201" s="6">
        <v>0.0</v>
      </c>
      <c r="N201" s="6">
        <v>0.0</v>
      </c>
      <c r="O201" s="6">
        <v>0.0</v>
      </c>
      <c r="P201" s="6">
        <v>0.0</v>
      </c>
      <c r="Q201" s="6">
        <v>0.0</v>
      </c>
      <c r="R201" s="6">
        <v>0.0</v>
      </c>
      <c r="S201" s="6">
        <v>0.0</v>
      </c>
      <c r="T201" s="6">
        <v>0.0</v>
      </c>
      <c r="U201" s="6">
        <v>0.0</v>
      </c>
      <c r="V201" s="6">
        <v>0.0</v>
      </c>
      <c r="W201" s="6">
        <v>0.0</v>
      </c>
      <c r="X201" s="6">
        <v>0.0</v>
      </c>
      <c r="Y201" s="6">
        <v>0.0</v>
      </c>
      <c r="Z201" s="6">
        <v>0.0</v>
      </c>
      <c r="AA201" s="6">
        <v>0.0</v>
      </c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</row>
    <row r="202">
      <c r="A202" s="5">
        <v>45320.0</v>
      </c>
      <c r="B202" s="6">
        <v>39.0</v>
      </c>
      <c r="C202" s="6">
        <v>171.0</v>
      </c>
      <c r="D202" s="6">
        <v>4.0</v>
      </c>
      <c r="E202" s="6">
        <v>3156.0</v>
      </c>
      <c r="F202" s="6">
        <v>81.0</v>
      </c>
      <c r="G202" s="6">
        <v>0.0</v>
      </c>
      <c r="H202" s="4"/>
      <c r="I202" s="6">
        <v>24.0</v>
      </c>
      <c r="J202" s="6">
        <v>3.0</v>
      </c>
      <c r="K202" s="6">
        <v>3.0</v>
      </c>
      <c r="L202" s="6">
        <v>0.0</v>
      </c>
      <c r="M202" s="6">
        <v>30.0</v>
      </c>
      <c r="N202" s="6">
        <v>30.0</v>
      </c>
      <c r="O202" s="6">
        <v>0.0</v>
      </c>
      <c r="P202" s="6">
        <v>8.0</v>
      </c>
      <c r="Q202" s="6">
        <v>21.0</v>
      </c>
      <c r="R202" s="6">
        <v>5.0</v>
      </c>
      <c r="S202" s="6">
        <v>19.0</v>
      </c>
      <c r="T202" s="6">
        <v>1.0</v>
      </c>
      <c r="U202" s="6">
        <v>0.0</v>
      </c>
      <c r="V202" s="6">
        <v>26.0</v>
      </c>
      <c r="W202" s="6">
        <v>2.0</v>
      </c>
      <c r="X202" s="6">
        <v>22.0</v>
      </c>
      <c r="Y202" s="6">
        <v>34.0</v>
      </c>
      <c r="Z202" s="6">
        <v>3.0</v>
      </c>
      <c r="AA202" s="6">
        <v>0.0</v>
      </c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</row>
    <row r="203">
      <c r="A203" s="5">
        <v>45321.0</v>
      </c>
      <c r="B203" s="6">
        <v>44.0</v>
      </c>
      <c r="C203" s="6">
        <v>175.0</v>
      </c>
      <c r="D203" s="6">
        <v>4.0</v>
      </c>
      <c r="E203" s="6">
        <v>3267.0</v>
      </c>
      <c r="F203" s="6">
        <v>74.0</v>
      </c>
      <c r="G203" s="6">
        <v>0.0</v>
      </c>
      <c r="H203" s="4"/>
      <c r="I203" s="6">
        <v>34.0</v>
      </c>
      <c r="J203" s="6">
        <v>5.0</v>
      </c>
      <c r="K203" s="6">
        <v>0.0</v>
      </c>
      <c r="L203" s="6">
        <v>0.0</v>
      </c>
      <c r="M203" s="6">
        <v>39.0</v>
      </c>
      <c r="N203" s="6">
        <v>33.0</v>
      </c>
      <c r="O203" s="6">
        <v>0.0</v>
      </c>
      <c r="P203" s="6">
        <v>10.0</v>
      </c>
      <c r="Q203" s="6">
        <v>17.0</v>
      </c>
      <c r="R203" s="6">
        <v>9.0</v>
      </c>
      <c r="S203" s="6">
        <v>19.0</v>
      </c>
      <c r="T203" s="6">
        <v>0.0</v>
      </c>
      <c r="U203" s="6">
        <v>0.0</v>
      </c>
      <c r="V203" s="6">
        <v>26.0</v>
      </c>
      <c r="W203" s="6">
        <v>1.0</v>
      </c>
      <c r="X203" s="6">
        <v>30.0</v>
      </c>
      <c r="Y203" s="6">
        <v>29.0</v>
      </c>
      <c r="Z203" s="6">
        <v>1.0</v>
      </c>
      <c r="AA203" s="6">
        <v>0.0</v>
      </c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</row>
    <row r="204">
      <c r="A204" s="5">
        <v>45322.0</v>
      </c>
      <c r="B204" s="6">
        <v>43.0</v>
      </c>
      <c r="C204" s="6">
        <v>163.0</v>
      </c>
      <c r="D204" s="6">
        <v>4.0</v>
      </c>
      <c r="E204" s="6">
        <v>3082.0</v>
      </c>
      <c r="F204" s="6">
        <v>72.0</v>
      </c>
      <c r="G204" s="6">
        <v>0.0</v>
      </c>
      <c r="H204" s="4"/>
      <c r="I204" s="6">
        <v>31.0</v>
      </c>
      <c r="J204" s="6">
        <v>6.0</v>
      </c>
      <c r="K204" s="6">
        <v>0.0</v>
      </c>
      <c r="L204" s="6">
        <v>0.0</v>
      </c>
      <c r="M204" s="6">
        <v>37.0</v>
      </c>
      <c r="N204" s="6">
        <v>29.0</v>
      </c>
      <c r="O204" s="6">
        <v>0.0</v>
      </c>
      <c r="P204" s="6">
        <v>14.0</v>
      </c>
      <c r="Q204" s="6">
        <v>18.0</v>
      </c>
      <c r="R204" s="6">
        <v>9.0</v>
      </c>
      <c r="S204" s="6">
        <v>16.0</v>
      </c>
      <c r="T204" s="6">
        <v>1.0</v>
      </c>
      <c r="U204" s="6">
        <v>0.0</v>
      </c>
      <c r="V204" s="6">
        <v>27.0</v>
      </c>
      <c r="W204" s="6">
        <v>1.0</v>
      </c>
      <c r="X204" s="6">
        <v>19.0</v>
      </c>
      <c r="Y204" s="6">
        <v>33.0</v>
      </c>
      <c r="Z204" s="6">
        <v>2.0</v>
      </c>
      <c r="AA204" s="6">
        <v>0.0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</row>
    <row r="205">
      <c r="A205" s="5">
        <v>45323.0</v>
      </c>
      <c r="B205" s="6">
        <v>67.0</v>
      </c>
      <c r="C205" s="6">
        <v>265.0</v>
      </c>
      <c r="D205" s="6">
        <v>4.0</v>
      </c>
      <c r="E205" s="6">
        <v>4828.0</v>
      </c>
      <c r="F205" s="6">
        <v>72.0</v>
      </c>
      <c r="G205" s="6">
        <v>0.0</v>
      </c>
      <c r="H205" s="4"/>
      <c r="I205" s="6">
        <v>47.0</v>
      </c>
      <c r="J205" s="6">
        <v>7.0</v>
      </c>
      <c r="K205" s="6">
        <v>2.0</v>
      </c>
      <c r="L205" s="6">
        <v>0.0</v>
      </c>
      <c r="M205" s="6">
        <v>56.0</v>
      </c>
      <c r="N205" s="6">
        <v>54.0</v>
      </c>
      <c r="O205" s="6">
        <v>0.0</v>
      </c>
      <c r="P205" s="6">
        <v>11.0</v>
      </c>
      <c r="Q205" s="6">
        <v>38.0</v>
      </c>
      <c r="R205" s="6">
        <v>9.0</v>
      </c>
      <c r="S205" s="6">
        <v>29.0</v>
      </c>
      <c r="T205" s="6">
        <v>2.0</v>
      </c>
      <c r="U205" s="6">
        <v>0.0</v>
      </c>
      <c r="V205" s="6">
        <v>47.0</v>
      </c>
      <c r="W205" s="6">
        <v>0.0</v>
      </c>
      <c r="X205" s="6">
        <v>41.0</v>
      </c>
      <c r="Y205" s="6">
        <v>51.0</v>
      </c>
      <c r="Z205" s="6">
        <v>2.0</v>
      </c>
      <c r="AA205" s="6">
        <v>0.0</v>
      </c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</row>
    <row r="206">
      <c r="A206" s="5">
        <v>45324.0</v>
      </c>
      <c r="B206" s="6">
        <v>53.0</v>
      </c>
      <c r="C206" s="6">
        <v>203.0</v>
      </c>
      <c r="D206" s="6">
        <v>4.0</v>
      </c>
      <c r="E206" s="6">
        <v>3764.0</v>
      </c>
      <c r="F206" s="6">
        <v>71.0</v>
      </c>
      <c r="G206" s="6">
        <v>0.0</v>
      </c>
      <c r="H206" s="4"/>
      <c r="I206" s="6">
        <v>42.0</v>
      </c>
      <c r="J206" s="6">
        <v>4.0</v>
      </c>
      <c r="K206" s="6">
        <v>1.0</v>
      </c>
      <c r="L206" s="6">
        <v>0.0</v>
      </c>
      <c r="M206" s="6">
        <v>47.0</v>
      </c>
      <c r="N206" s="6">
        <v>38.0</v>
      </c>
      <c r="O206" s="6">
        <v>0.0</v>
      </c>
      <c r="P206" s="6">
        <v>15.0</v>
      </c>
      <c r="Q206" s="6">
        <v>27.0</v>
      </c>
      <c r="R206" s="6">
        <v>7.0</v>
      </c>
      <c r="S206" s="6">
        <v>14.0</v>
      </c>
      <c r="T206" s="6">
        <v>1.0</v>
      </c>
      <c r="U206" s="6">
        <v>0.0</v>
      </c>
      <c r="V206" s="6">
        <v>34.0</v>
      </c>
      <c r="W206" s="6">
        <v>2.0</v>
      </c>
      <c r="X206" s="6">
        <v>29.0</v>
      </c>
      <c r="Y206" s="6">
        <v>41.0</v>
      </c>
      <c r="Z206" s="6">
        <v>3.0</v>
      </c>
      <c r="AA206" s="6">
        <v>0.0</v>
      </c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</row>
    <row r="207">
      <c r="A207" s="5">
        <v>45325.0</v>
      </c>
      <c r="B207" s="6">
        <v>11.0</v>
      </c>
      <c r="C207" s="6">
        <v>44.0</v>
      </c>
      <c r="D207" s="6">
        <v>4.0</v>
      </c>
      <c r="E207" s="6">
        <v>728.0</v>
      </c>
      <c r="F207" s="6">
        <v>66.0</v>
      </c>
      <c r="G207" s="6">
        <v>0.0</v>
      </c>
      <c r="H207" s="4"/>
      <c r="I207" s="6">
        <v>4.0</v>
      </c>
      <c r="J207" s="6">
        <v>2.0</v>
      </c>
      <c r="K207" s="6">
        <v>1.0</v>
      </c>
      <c r="L207" s="6">
        <v>0.0</v>
      </c>
      <c r="M207" s="6">
        <v>7.0</v>
      </c>
      <c r="N207" s="6">
        <v>10.0</v>
      </c>
      <c r="O207" s="6">
        <v>0.0</v>
      </c>
      <c r="P207" s="6">
        <v>1.0</v>
      </c>
      <c r="Q207" s="6">
        <v>6.0</v>
      </c>
      <c r="R207" s="6">
        <v>1.0</v>
      </c>
      <c r="S207" s="6">
        <v>4.0</v>
      </c>
      <c r="T207" s="6">
        <v>0.0</v>
      </c>
      <c r="U207" s="6">
        <v>0.0</v>
      </c>
      <c r="V207" s="6">
        <v>7.0</v>
      </c>
      <c r="W207" s="6">
        <v>0.0</v>
      </c>
      <c r="X207" s="6">
        <v>8.0</v>
      </c>
      <c r="Y207" s="6">
        <v>7.0</v>
      </c>
      <c r="Z207" s="6">
        <v>0.0</v>
      </c>
      <c r="AA207" s="6">
        <v>0.0</v>
      </c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</row>
    <row r="208">
      <c r="A208" s="5">
        <v>45326.0</v>
      </c>
      <c r="B208" s="6">
        <v>0.0</v>
      </c>
      <c r="C208" s="6">
        <v>0.0</v>
      </c>
      <c r="D208" s="6">
        <v>0.0</v>
      </c>
      <c r="E208" s="6">
        <v>0.0</v>
      </c>
      <c r="F208" s="6">
        <v>0.0</v>
      </c>
      <c r="G208" s="6">
        <v>0.0</v>
      </c>
      <c r="H208" s="4"/>
      <c r="I208" s="6">
        <v>0.0</v>
      </c>
      <c r="J208" s="6">
        <v>0.0</v>
      </c>
      <c r="K208" s="6">
        <v>0.0</v>
      </c>
      <c r="L208" s="6">
        <v>0.0</v>
      </c>
      <c r="M208" s="6">
        <v>0.0</v>
      </c>
      <c r="N208" s="6">
        <v>0.0</v>
      </c>
      <c r="O208" s="6">
        <v>0.0</v>
      </c>
      <c r="P208" s="6">
        <v>0.0</v>
      </c>
      <c r="Q208" s="6">
        <v>0.0</v>
      </c>
      <c r="R208" s="6">
        <v>0.0</v>
      </c>
      <c r="S208" s="6">
        <v>0.0</v>
      </c>
      <c r="T208" s="6">
        <v>0.0</v>
      </c>
      <c r="U208" s="6">
        <v>0.0</v>
      </c>
      <c r="V208" s="6">
        <v>0.0</v>
      </c>
      <c r="W208" s="6">
        <v>0.0</v>
      </c>
      <c r="X208" s="6">
        <v>0.0</v>
      </c>
      <c r="Y208" s="6">
        <v>0.0</v>
      </c>
      <c r="Z208" s="6">
        <v>0.0</v>
      </c>
      <c r="AA208" s="6">
        <v>0.0</v>
      </c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</row>
    <row r="209">
      <c r="A209" s="5">
        <v>45327.0</v>
      </c>
      <c r="B209" s="6">
        <v>43.0</v>
      </c>
      <c r="C209" s="6">
        <v>211.0</v>
      </c>
      <c r="D209" s="6">
        <v>5.0</v>
      </c>
      <c r="E209" s="6">
        <v>4607.0</v>
      </c>
      <c r="F209" s="6">
        <v>107.0</v>
      </c>
      <c r="G209" s="6">
        <v>0.0</v>
      </c>
      <c r="H209" s="4"/>
      <c r="I209" s="6">
        <v>28.0</v>
      </c>
      <c r="J209" s="6">
        <v>6.0</v>
      </c>
      <c r="K209" s="6">
        <v>1.0</v>
      </c>
      <c r="L209" s="6">
        <v>0.0</v>
      </c>
      <c r="M209" s="6">
        <v>35.0</v>
      </c>
      <c r="N209" s="6">
        <v>32.0</v>
      </c>
      <c r="O209" s="6">
        <v>0.0</v>
      </c>
      <c r="P209" s="6">
        <v>11.0</v>
      </c>
      <c r="Q209" s="6">
        <v>17.0</v>
      </c>
      <c r="R209" s="6">
        <v>8.0</v>
      </c>
      <c r="S209" s="6">
        <v>30.0</v>
      </c>
      <c r="T209" s="6">
        <v>2.0</v>
      </c>
      <c r="U209" s="6">
        <v>0.0</v>
      </c>
      <c r="V209" s="6">
        <v>25.0</v>
      </c>
      <c r="W209" s="6">
        <v>0.0</v>
      </c>
      <c r="X209" s="6">
        <v>53.0</v>
      </c>
      <c r="Y209" s="6">
        <v>32.0</v>
      </c>
      <c r="Z209" s="6">
        <v>2.0</v>
      </c>
      <c r="AA209" s="6">
        <v>0.0</v>
      </c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</row>
    <row r="210">
      <c r="A210" s="5">
        <v>45328.0</v>
      </c>
      <c r="B210" s="6">
        <v>45.0</v>
      </c>
      <c r="C210" s="6">
        <v>176.0</v>
      </c>
      <c r="D210" s="6">
        <v>4.0</v>
      </c>
      <c r="E210" s="6">
        <v>3335.0</v>
      </c>
      <c r="F210" s="6">
        <v>74.0</v>
      </c>
      <c r="G210" s="6">
        <v>0.0</v>
      </c>
      <c r="H210" s="4"/>
      <c r="I210" s="6">
        <v>27.0</v>
      </c>
      <c r="J210" s="6">
        <v>7.0</v>
      </c>
      <c r="K210" s="6">
        <v>0.0</v>
      </c>
      <c r="L210" s="6">
        <v>1.0</v>
      </c>
      <c r="M210" s="6">
        <v>35.0</v>
      </c>
      <c r="N210" s="6">
        <v>27.0</v>
      </c>
      <c r="O210" s="6">
        <v>0.0</v>
      </c>
      <c r="P210" s="6">
        <v>17.0</v>
      </c>
      <c r="Q210" s="6">
        <v>17.0</v>
      </c>
      <c r="R210" s="6">
        <v>13.0</v>
      </c>
      <c r="S210" s="6">
        <v>8.0</v>
      </c>
      <c r="T210" s="6">
        <v>0.0</v>
      </c>
      <c r="U210" s="6">
        <v>0.0</v>
      </c>
      <c r="V210" s="6">
        <v>30.0</v>
      </c>
      <c r="W210" s="6">
        <v>0.0</v>
      </c>
      <c r="X210" s="6">
        <v>35.0</v>
      </c>
      <c r="Y210" s="6">
        <v>35.0</v>
      </c>
      <c r="Z210" s="6">
        <v>0.0</v>
      </c>
      <c r="AA210" s="6">
        <v>0.0</v>
      </c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</row>
    <row r="211">
      <c r="A211" s="5">
        <v>45329.0</v>
      </c>
      <c r="B211" s="6">
        <v>44.0</v>
      </c>
      <c r="C211" s="6">
        <v>189.0</v>
      </c>
      <c r="D211" s="6">
        <v>4.0</v>
      </c>
      <c r="E211" s="6">
        <v>4069.0</v>
      </c>
      <c r="F211" s="6">
        <v>92.0</v>
      </c>
      <c r="G211" s="6">
        <v>0.0</v>
      </c>
      <c r="H211" s="4"/>
      <c r="I211" s="6">
        <v>31.0</v>
      </c>
      <c r="J211" s="6">
        <v>5.0</v>
      </c>
      <c r="K211" s="6">
        <v>1.0</v>
      </c>
      <c r="L211" s="6">
        <v>0.0</v>
      </c>
      <c r="M211" s="6">
        <v>37.0</v>
      </c>
      <c r="N211" s="6">
        <v>38.0</v>
      </c>
      <c r="O211" s="6">
        <v>0.0</v>
      </c>
      <c r="P211" s="6">
        <v>6.0</v>
      </c>
      <c r="Q211" s="6">
        <v>24.0</v>
      </c>
      <c r="R211" s="6">
        <v>5.0</v>
      </c>
      <c r="S211" s="6">
        <v>29.0</v>
      </c>
      <c r="T211" s="6">
        <v>2.0</v>
      </c>
      <c r="U211" s="6">
        <v>0.0</v>
      </c>
      <c r="V211" s="6">
        <v>29.0</v>
      </c>
      <c r="W211" s="6">
        <v>0.0</v>
      </c>
      <c r="X211" s="6">
        <v>32.0</v>
      </c>
      <c r="Y211" s="6">
        <v>33.0</v>
      </c>
      <c r="Z211" s="6">
        <v>2.0</v>
      </c>
      <c r="AA211" s="6">
        <v>0.0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</row>
    <row r="212">
      <c r="A212" s="5">
        <v>45330.0</v>
      </c>
      <c r="B212" s="6">
        <v>52.0</v>
      </c>
      <c r="C212" s="6">
        <v>200.0</v>
      </c>
      <c r="D212" s="6">
        <v>4.0</v>
      </c>
      <c r="E212" s="6">
        <v>3725.0</v>
      </c>
      <c r="F212" s="6">
        <v>72.0</v>
      </c>
      <c r="G212" s="6">
        <v>0.0</v>
      </c>
      <c r="H212" s="4"/>
      <c r="I212" s="6">
        <v>33.0</v>
      </c>
      <c r="J212" s="6">
        <v>8.0</v>
      </c>
      <c r="K212" s="6">
        <v>1.0</v>
      </c>
      <c r="L212" s="6">
        <v>0.0</v>
      </c>
      <c r="M212" s="6">
        <v>42.0</v>
      </c>
      <c r="N212" s="6">
        <v>41.0</v>
      </c>
      <c r="O212" s="6">
        <v>0.0</v>
      </c>
      <c r="P212" s="6">
        <v>11.0</v>
      </c>
      <c r="Q212" s="6">
        <v>28.0</v>
      </c>
      <c r="R212" s="6">
        <v>5.0</v>
      </c>
      <c r="S212" s="6">
        <v>11.0</v>
      </c>
      <c r="T212" s="6">
        <v>3.0</v>
      </c>
      <c r="U212" s="6">
        <v>0.0</v>
      </c>
      <c r="V212" s="6">
        <v>33.0</v>
      </c>
      <c r="W212" s="6">
        <v>1.0</v>
      </c>
      <c r="X212" s="6">
        <v>37.0</v>
      </c>
      <c r="Y212" s="6">
        <v>38.0</v>
      </c>
      <c r="Z212" s="6">
        <v>4.0</v>
      </c>
      <c r="AA212" s="6">
        <v>0.0</v>
      </c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</row>
    <row r="213">
      <c r="A213" s="5">
        <v>45331.0</v>
      </c>
      <c r="B213" s="6">
        <v>41.0</v>
      </c>
      <c r="C213" s="6">
        <v>182.0</v>
      </c>
      <c r="D213" s="6">
        <v>4.0</v>
      </c>
      <c r="E213" s="6">
        <v>3379.0</v>
      </c>
      <c r="F213" s="6">
        <v>82.0</v>
      </c>
      <c r="G213" s="6">
        <v>0.0</v>
      </c>
      <c r="H213" s="4"/>
      <c r="I213" s="6">
        <v>26.0</v>
      </c>
      <c r="J213" s="6">
        <v>3.0</v>
      </c>
      <c r="K213" s="6">
        <v>3.0</v>
      </c>
      <c r="L213" s="6">
        <v>0.0</v>
      </c>
      <c r="M213" s="6">
        <v>32.0</v>
      </c>
      <c r="N213" s="6">
        <v>32.0</v>
      </c>
      <c r="O213" s="6">
        <v>0.0</v>
      </c>
      <c r="P213" s="6">
        <v>9.0</v>
      </c>
      <c r="Q213" s="6">
        <v>20.0</v>
      </c>
      <c r="R213" s="6">
        <v>4.0</v>
      </c>
      <c r="S213" s="6">
        <v>19.0</v>
      </c>
      <c r="T213" s="6">
        <v>4.0</v>
      </c>
      <c r="U213" s="6">
        <v>0.0</v>
      </c>
      <c r="V213" s="6">
        <v>24.0</v>
      </c>
      <c r="W213" s="6">
        <v>0.0</v>
      </c>
      <c r="X213" s="6">
        <v>37.0</v>
      </c>
      <c r="Y213" s="6">
        <v>30.0</v>
      </c>
      <c r="Z213" s="6">
        <v>3.0</v>
      </c>
      <c r="AA213" s="6">
        <v>0.0</v>
      </c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</row>
    <row r="214">
      <c r="A214" s="5">
        <v>45332.0</v>
      </c>
      <c r="B214" s="6">
        <v>14.0</v>
      </c>
      <c r="C214" s="6">
        <v>61.0</v>
      </c>
      <c r="D214" s="6">
        <v>4.0</v>
      </c>
      <c r="E214" s="6">
        <v>1099.0</v>
      </c>
      <c r="F214" s="6">
        <v>78.0</v>
      </c>
      <c r="G214" s="6">
        <v>0.0</v>
      </c>
      <c r="H214" s="4"/>
      <c r="I214" s="6">
        <v>9.0</v>
      </c>
      <c r="J214" s="6">
        <v>1.0</v>
      </c>
      <c r="K214" s="6">
        <v>1.0</v>
      </c>
      <c r="L214" s="6">
        <v>0.0</v>
      </c>
      <c r="M214" s="6">
        <v>11.0</v>
      </c>
      <c r="N214" s="6">
        <v>5.0</v>
      </c>
      <c r="O214" s="6">
        <v>0.0</v>
      </c>
      <c r="P214" s="6">
        <v>9.0</v>
      </c>
      <c r="Q214" s="6">
        <v>5.0</v>
      </c>
      <c r="R214" s="6">
        <v>6.0</v>
      </c>
      <c r="S214" s="6">
        <v>1.0</v>
      </c>
      <c r="T214" s="6">
        <v>0.0</v>
      </c>
      <c r="U214" s="6">
        <v>0.0</v>
      </c>
      <c r="V214" s="6">
        <v>11.0</v>
      </c>
      <c r="W214" s="6">
        <v>0.0</v>
      </c>
      <c r="X214" s="6">
        <v>7.0</v>
      </c>
      <c r="Y214" s="6">
        <v>14.0</v>
      </c>
      <c r="Z214" s="6">
        <v>0.0</v>
      </c>
      <c r="AA214" s="6">
        <v>0.0</v>
      </c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</row>
    <row r="215">
      <c r="A215" s="5">
        <v>45333.0</v>
      </c>
      <c r="B215" s="6">
        <v>0.0</v>
      </c>
      <c r="C215" s="6">
        <v>0.0</v>
      </c>
      <c r="D215" s="6">
        <v>0.0</v>
      </c>
      <c r="E215" s="6">
        <v>0.0</v>
      </c>
      <c r="F215" s="6">
        <v>0.0</v>
      </c>
      <c r="G215" s="6">
        <v>0.0</v>
      </c>
      <c r="H215" s="4"/>
      <c r="I215" s="6">
        <v>0.0</v>
      </c>
      <c r="J215" s="6">
        <v>0.0</v>
      </c>
      <c r="K215" s="6">
        <v>0.0</v>
      </c>
      <c r="L215" s="6">
        <v>0.0</v>
      </c>
      <c r="M215" s="6">
        <v>0.0</v>
      </c>
      <c r="N215" s="6">
        <v>0.0</v>
      </c>
      <c r="O215" s="6">
        <v>0.0</v>
      </c>
      <c r="P215" s="6">
        <v>0.0</v>
      </c>
      <c r="Q215" s="6">
        <v>0.0</v>
      </c>
      <c r="R215" s="6">
        <v>0.0</v>
      </c>
      <c r="S215" s="6">
        <v>0.0</v>
      </c>
      <c r="T215" s="6">
        <v>0.0</v>
      </c>
      <c r="U215" s="6">
        <v>0.0</v>
      </c>
      <c r="V215" s="6">
        <v>0.0</v>
      </c>
      <c r="W215" s="6">
        <v>0.0</v>
      </c>
      <c r="X215" s="6">
        <v>0.0</v>
      </c>
      <c r="Y215" s="6">
        <v>0.0</v>
      </c>
      <c r="Z215" s="6">
        <v>0.0</v>
      </c>
      <c r="AA215" s="6">
        <v>0.0</v>
      </c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</row>
    <row r="216">
      <c r="A216" s="5">
        <v>45334.0</v>
      </c>
      <c r="B216" s="6">
        <v>29.0</v>
      </c>
      <c r="C216" s="6">
        <v>122.0</v>
      </c>
      <c r="D216" s="6">
        <v>4.0</v>
      </c>
      <c r="E216" s="6">
        <v>2206.0</v>
      </c>
      <c r="F216" s="6">
        <v>76.0</v>
      </c>
      <c r="G216" s="6">
        <v>0.0</v>
      </c>
      <c r="H216" s="4"/>
      <c r="I216" s="6">
        <v>17.0</v>
      </c>
      <c r="J216" s="6">
        <v>6.0</v>
      </c>
      <c r="K216" s="6">
        <v>0.0</v>
      </c>
      <c r="L216" s="6">
        <v>0.0</v>
      </c>
      <c r="M216" s="6">
        <v>23.0</v>
      </c>
      <c r="N216" s="6">
        <v>21.0</v>
      </c>
      <c r="O216" s="6">
        <v>0.0</v>
      </c>
      <c r="P216" s="6">
        <v>8.0</v>
      </c>
      <c r="Q216" s="6">
        <v>13.0</v>
      </c>
      <c r="R216" s="6">
        <v>7.0</v>
      </c>
      <c r="S216" s="6">
        <v>9.0</v>
      </c>
      <c r="T216" s="6">
        <v>4.0</v>
      </c>
      <c r="U216" s="6">
        <v>0.0</v>
      </c>
      <c r="V216" s="6">
        <v>20.0</v>
      </c>
      <c r="W216" s="6">
        <v>0.0</v>
      </c>
      <c r="X216" s="6">
        <v>22.0</v>
      </c>
      <c r="Y216" s="6">
        <v>23.0</v>
      </c>
      <c r="Z216" s="6">
        <v>4.0</v>
      </c>
      <c r="AA216" s="6">
        <v>0.0</v>
      </c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</row>
    <row r="217">
      <c r="A217" s="5">
        <v>45335.0</v>
      </c>
      <c r="B217" s="6">
        <v>43.0</v>
      </c>
      <c r="C217" s="6">
        <v>165.0</v>
      </c>
      <c r="D217" s="6">
        <v>4.0</v>
      </c>
      <c r="E217" s="6">
        <v>2779.0</v>
      </c>
      <c r="F217" s="6">
        <v>65.0</v>
      </c>
      <c r="G217" s="6">
        <v>0.0</v>
      </c>
      <c r="H217" s="4"/>
      <c r="I217" s="6">
        <v>23.0</v>
      </c>
      <c r="J217" s="6">
        <v>5.0</v>
      </c>
      <c r="K217" s="6">
        <v>2.0</v>
      </c>
      <c r="L217" s="6">
        <v>1.0</v>
      </c>
      <c r="M217" s="6">
        <v>31.0</v>
      </c>
      <c r="N217" s="6">
        <v>24.0</v>
      </c>
      <c r="O217" s="6">
        <v>0.0</v>
      </c>
      <c r="P217" s="6">
        <v>19.0</v>
      </c>
      <c r="Q217" s="6">
        <v>12.0</v>
      </c>
      <c r="R217" s="6">
        <v>12.0</v>
      </c>
      <c r="S217" s="6">
        <v>15.0</v>
      </c>
      <c r="T217" s="6">
        <v>1.0</v>
      </c>
      <c r="U217" s="6">
        <v>0.0</v>
      </c>
      <c r="V217" s="6">
        <v>24.0</v>
      </c>
      <c r="W217" s="6">
        <v>1.0</v>
      </c>
      <c r="X217" s="6">
        <v>27.0</v>
      </c>
      <c r="Y217" s="6">
        <v>29.0</v>
      </c>
      <c r="Z217" s="6">
        <v>2.0</v>
      </c>
      <c r="AA217" s="6">
        <v>0.0</v>
      </c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</row>
    <row r="218">
      <c r="A218" s="5">
        <v>45336.0</v>
      </c>
      <c r="B218" s="6">
        <v>47.0</v>
      </c>
      <c r="C218" s="6">
        <v>182.0</v>
      </c>
      <c r="D218" s="6">
        <v>4.0</v>
      </c>
      <c r="E218" s="6">
        <v>4031.0</v>
      </c>
      <c r="F218" s="6">
        <v>86.0</v>
      </c>
      <c r="G218" s="6">
        <v>0.0</v>
      </c>
      <c r="H218" s="4"/>
      <c r="I218" s="6">
        <v>34.0</v>
      </c>
      <c r="J218" s="6">
        <v>5.0</v>
      </c>
      <c r="K218" s="6">
        <v>1.0</v>
      </c>
      <c r="L218" s="6">
        <v>0.0</v>
      </c>
      <c r="M218" s="6">
        <v>40.0</v>
      </c>
      <c r="N218" s="6">
        <v>31.0</v>
      </c>
      <c r="O218" s="6">
        <v>0.0</v>
      </c>
      <c r="P218" s="6">
        <v>16.0</v>
      </c>
      <c r="Q218" s="6">
        <v>21.0</v>
      </c>
      <c r="R218" s="6">
        <v>12.0</v>
      </c>
      <c r="S218" s="6">
        <v>8.0</v>
      </c>
      <c r="T218" s="6">
        <v>3.0</v>
      </c>
      <c r="U218" s="6">
        <v>0.0</v>
      </c>
      <c r="V218" s="6">
        <v>33.0</v>
      </c>
      <c r="W218" s="6">
        <v>0.0</v>
      </c>
      <c r="X218" s="6">
        <v>10.0</v>
      </c>
      <c r="Y218" s="6">
        <v>41.0</v>
      </c>
      <c r="Z218" s="6">
        <v>3.0</v>
      </c>
      <c r="AA218" s="6">
        <v>0.0</v>
      </c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</row>
    <row r="219">
      <c r="A219" s="5">
        <v>45337.0</v>
      </c>
      <c r="B219" s="6">
        <v>22.0</v>
      </c>
      <c r="C219" s="6">
        <v>94.0</v>
      </c>
      <c r="D219" s="6">
        <v>4.0</v>
      </c>
      <c r="E219" s="6">
        <v>1854.0</v>
      </c>
      <c r="F219" s="6">
        <v>84.0</v>
      </c>
      <c r="G219" s="6">
        <v>0.0</v>
      </c>
      <c r="H219" s="4"/>
      <c r="I219" s="6">
        <v>14.0</v>
      </c>
      <c r="J219" s="6">
        <v>4.0</v>
      </c>
      <c r="K219" s="6">
        <v>0.0</v>
      </c>
      <c r="L219" s="6">
        <v>0.0</v>
      </c>
      <c r="M219" s="6">
        <v>18.0</v>
      </c>
      <c r="N219" s="6">
        <v>10.0</v>
      </c>
      <c r="O219" s="6">
        <v>0.0</v>
      </c>
      <c r="P219" s="6">
        <v>12.0</v>
      </c>
      <c r="Q219" s="6">
        <v>8.0</v>
      </c>
      <c r="R219" s="6">
        <v>7.0</v>
      </c>
      <c r="S219" s="6">
        <v>7.0</v>
      </c>
      <c r="T219" s="6">
        <v>0.0</v>
      </c>
      <c r="U219" s="6">
        <v>0.0</v>
      </c>
      <c r="V219" s="6">
        <v>15.0</v>
      </c>
      <c r="W219" s="6">
        <v>0.0</v>
      </c>
      <c r="X219" s="6">
        <v>11.0</v>
      </c>
      <c r="Y219" s="6">
        <v>20.0</v>
      </c>
      <c r="Z219" s="6">
        <v>0.0</v>
      </c>
      <c r="AA219" s="6">
        <v>0.0</v>
      </c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</row>
    <row r="220">
      <c r="A220" s="5">
        <v>45338.0</v>
      </c>
      <c r="B220" s="6">
        <v>25.0</v>
      </c>
      <c r="C220" s="6">
        <v>101.0</v>
      </c>
      <c r="D220" s="6">
        <v>4.0</v>
      </c>
      <c r="E220" s="6">
        <v>1821.0</v>
      </c>
      <c r="F220" s="6">
        <v>73.0</v>
      </c>
      <c r="G220" s="6">
        <v>0.0</v>
      </c>
      <c r="H220" s="4"/>
      <c r="I220" s="6">
        <v>23.0</v>
      </c>
      <c r="J220" s="6">
        <v>1.0</v>
      </c>
      <c r="K220" s="6">
        <v>0.0</v>
      </c>
      <c r="L220" s="6">
        <v>0.0</v>
      </c>
      <c r="M220" s="6">
        <v>24.0</v>
      </c>
      <c r="N220" s="6">
        <v>14.0</v>
      </c>
      <c r="O220" s="6">
        <v>0.0</v>
      </c>
      <c r="P220" s="6">
        <v>11.0</v>
      </c>
      <c r="Q220" s="6">
        <v>9.0</v>
      </c>
      <c r="R220" s="6">
        <v>9.0</v>
      </c>
      <c r="S220" s="6">
        <v>6.0</v>
      </c>
      <c r="T220" s="6">
        <v>1.0</v>
      </c>
      <c r="U220" s="6">
        <v>0.0</v>
      </c>
      <c r="V220" s="6">
        <v>18.0</v>
      </c>
      <c r="W220" s="6">
        <v>1.0</v>
      </c>
      <c r="X220" s="6">
        <v>14.0</v>
      </c>
      <c r="Y220" s="6">
        <v>19.0</v>
      </c>
      <c r="Z220" s="6">
        <v>2.0</v>
      </c>
      <c r="AA220" s="6">
        <v>0.0</v>
      </c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</row>
    <row r="221">
      <c r="A221" s="5">
        <v>45339.0</v>
      </c>
      <c r="B221" s="6">
        <v>7.0</v>
      </c>
      <c r="C221" s="6">
        <v>31.0</v>
      </c>
      <c r="D221" s="6">
        <v>4.0</v>
      </c>
      <c r="E221" s="6">
        <v>630.0</v>
      </c>
      <c r="F221" s="6">
        <v>90.0</v>
      </c>
      <c r="G221" s="6">
        <v>0.0</v>
      </c>
      <c r="H221" s="4"/>
      <c r="I221" s="6">
        <v>7.0</v>
      </c>
      <c r="J221" s="6">
        <v>0.0</v>
      </c>
      <c r="K221" s="6">
        <v>0.0</v>
      </c>
      <c r="L221" s="6">
        <v>0.0</v>
      </c>
      <c r="M221" s="6">
        <v>7.0</v>
      </c>
      <c r="N221" s="6">
        <v>2.0</v>
      </c>
      <c r="O221" s="6">
        <v>0.0</v>
      </c>
      <c r="P221" s="6">
        <v>5.0</v>
      </c>
      <c r="Q221" s="6">
        <v>1.0</v>
      </c>
      <c r="R221" s="6">
        <v>4.0</v>
      </c>
      <c r="S221" s="6">
        <v>4.0</v>
      </c>
      <c r="T221" s="6">
        <v>0.0</v>
      </c>
      <c r="U221" s="6">
        <v>0.0</v>
      </c>
      <c r="V221" s="6">
        <v>5.0</v>
      </c>
      <c r="W221" s="6">
        <v>0.0</v>
      </c>
      <c r="X221" s="6">
        <v>6.0</v>
      </c>
      <c r="Y221" s="6">
        <v>6.0</v>
      </c>
      <c r="Z221" s="6">
        <v>0.0</v>
      </c>
      <c r="AA221" s="6">
        <v>0.0</v>
      </c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</row>
    <row r="222">
      <c r="A222" s="5">
        <v>45340.0</v>
      </c>
      <c r="B222" s="6">
        <v>0.0</v>
      </c>
      <c r="C222" s="6">
        <v>0.0</v>
      </c>
      <c r="D222" s="6">
        <v>0.0</v>
      </c>
      <c r="E222" s="6">
        <v>0.0</v>
      </c>
      <c r="F222" s="6">
        <v>0.0</v>
      </c>
      <c r="G222" s="6">
        <v>0.0</v>
      </c>
      <c r="H222" s="4"/>
      <c r="I222" s="6">
        <v>0.0</v>
      </c>
      <c r="J222" s="6">
        <v>0.0</v>
      </c>
      <c r="K222" s="6">
        <v>0.0</v>
      </c>
      <c r="L222" s="6">
        <v>0.0</v>
      </c>
      <c r="M222" s="6">
        <v>0.0</v>
      </c>
      <c r="N222" s="6">
        <v>0.0</v>
      </c>
      <c r="O222" s="6">
        <v>0.0</v>
      </c>
      <c r="P222" s="6">
        <v>0.0</v>
      </c>
      <c r="Q222" s="6">
        <v>0.0</v>
      </c>
      <c r="R222" s="6">
        <v>0.0</v>
      </c>
      <c r="S222" s="6">
        <v>0.0</v>
      </c>
      <c r="T222" s="6">
        <v>0.0</v>
      </c>
      <c r="U222" s="6">
        <v>0.0</v>
      </c>
      <c r="V222" s="6">
        <v>0.0</v>
      </c>
      <c r="W222" s="6">
        <v>0.0</v>
      </c>
      <c r="X222" s="6">
        <v>0.0</v>
      </c>
      <c r="Y222" s="6">
        <v>0.0</v>
      </c>
      <c r="Z222" s="6">
        <v>0.0</v>
      </c>
      <c r="AA222" s="6">
        <v>0.0</v>
      </c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</row>
    <row r="223">
      <c r="A223" s="5">
        <v>45341.0</v>
      </c>
      <c r="B223" s="6">
        <v>11.0</v>
      </c>
      <c r="C223" s="6">
        <v>46.0</v>
      </c>
      <c r="D223" s="6">
        <v>4.0</v>
      </c>
      <c r="E223" s="6">
        <v>967.0</v>
      </c>
      <c r="F223" s="6">
        <v>88.0</v>
      </c>
      <c r="G223" s="6">
        <v>0.0</v>
      </c>
      <c r="H223" s="4"/>
      <c r="I223" s="6">
        <v>11.0</v>
      </c>
      <c r="J223" s="6">
        <v>0.0</v>
      </c>
      <c r="K223" s="6">
        <v>0.0</v>
      </c>
      <c r="L223" s="6">
        <v>0.0</v>
      </c>
      <c r="M223" s="6">
        <v>11.0</v>
      </c>
      <c r="N223" s="6">
        <v>6.0</v>
      </c>
      <c r="O223" s="6">
        <v>0.0</v>
      </c>
      <c r="P223" s="6">
        <v>5.0</v>
      </c>
      <c r="Q223" s="6">
        <v>4.0</v>
      </c>
      <c r="R223" s="6">
        <v>4.0</v>
      </c>
      <c r="S223" s="6">
        <v>6.0</v>
      </c>
      <c r="T223" s="6">
        <v>0.0</v>
      </c>
      <c r="U223" s="6">
        <v>0.0</v>
      </c>
      <c r="V223" s="6">
        <v>8.0</v>
      </c>
      <c r="W223" s="6">
        <v>0.0</v>
      </c>
      <c r="X223" s="6">
        <v>9.0</v>
      </c>
      <c r="Y223" s="6">
        <v>8.0</v>
      </c>
      <c r="Z223" s="6">
        <v>0.0</v>
      </c>
      <c r="AA223" s="6">
        <v>0.0</v>
      </c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</row>
    <row r="224">
      <c r="A224" s="5">
        <v>45342.0</v>
      </c>
      <c r="B224" s="6">
        <v>24.0</v>
      </c>
      <c r="C224" s="6">
        <v>102.0</v>
      </c>
      <c r="D224" s="6">
        <v>4.0</v>
      </c>
      <c r="E224" s="6">
        <v>2035.0</v>
      </c>
      <c r="F224" s="6">
        <v>85.0</v>
      </c>
      <c r="G224" s="6">
        <v>0.0</v>
      </c>
      <c r="H224" s="4"/>
      <c r="I224" s="6">
        <v>19.0</v>
      </c>
      <c r="J224" s="6">
        <v>1.0</v>
      </c>
      <c r="K224" s="6">
        <v>1.0</v>
      </c>
      <c r="L224" s="6">
        <v>0.0</v>
      </c>
      <c r="M224" s="6">
        <v>21.0</v>
      </c>
      <c r="N224" s="6">
        <v>17.0</v>
      </c>
      <c r="O224" s="6">
        <v>0.0</v>
      </c>
      <c r="P224" s="6">
        <v>7.0</v>
      </c>
      <c r="Q224" s="6">
        <v>11.0</v>
      </c>
      <c r="R224" s="6">
        <v>6.0</v>
      </c>
      <c r="S224" s="6">
        <v>16.0</v>
      </c>
      <c r="T224" s="6">
        <v>0.0</v>
      </c>
      <c r="U224" s="6">
        <v>0.0</v>
      </c>
      <c r="V224" s="6">
        <v>17.0</v>
      </c>
      <c r="W224" s="6">
        <v>0.0</v>
      </c>
      <c r="X224" s="6">
        <v>20.0</v>
      </c>
      <c r="Y224" s="6">
        <v>18.0</v>
      </c>
      <c r="Z224" s="6">
        <v>0.0</v>
      </c>
      <c r="AA224" s="6">
        <v>0.0</v>
      </c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</row>
    <row r="225">
      <c r="A225" s="5">
        <v>45343.0</v>
      </c>
      <c r="B225" s="6">
        <v>15.0</v>
      </c>
      <c r="C225" s="6">
        <v>65.0</v>
      </c>
      <c r="D225" s="6">
        <v>4.0</v>
      </c>
      <c r="E225" s="6">
        <v>1088.0</v>
      </c>
      <c r="F225" s="6">
        <v>73.0</v>
      </c>
      <c r="G225" s="6">
        <v>0.0</v>
      </c>
      <c r="H225" s="4"/>
      <c r="I225" s="6">
        <v>10.0</v>
      </c>
      <c r="J225" s="6">
        <v>1.0</v>
      </c>
      <c r="K225" s="6">
        <v>1.0</v>
      </c>
      <c r="L225" s="6">
        <v>0.0</v>
      </c>
      <c r="M225" s="6">
        <v>12.0</v>
      </c>
      <c r="N225" s="6">
        <v>5.0</v>
      </c>
      <c r="O225" s="6">
        <v>0.0</v>
      </c>
      <c r="P225" s="6">
        <v>10.0</v>
      </c>
      <c r="Q225" s="6">
        <v>3.0</v>
      </c>
      <c r="R225" s="6">
        <v>9.0</v>
      </c>
      <c r="S225" s="6">
        <v>3.0</v>
      </c>
      <c r="T225" s="6">
        <v>0.0</v>
      </c>
      <c r="U225" s="6">
        <v>0.0</v>
      </c>
      <c r="V225" s="6">
        <v>12.0</v>
      </c>
      <c r="W225" s="6">
        <v>0.0</v>
      </c>
      <c r="X225" s="6">
        <v>9.0</v>
      </c>
      <c r="Y225" s="6">
        <v>13.0</v>
      </c>
      <c r="Z225" s="6">
        <v>0.0</v>
      </c>
      <c r="AA225" s="6">
        <v>0.0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</row>
    <row r="226">
      <c r="A226" s="5">
        <v>45344.0</v>
      </c>
      <c r="B226" s="6">
        <v>14.0</v>
      </c>
      <c r="C226" s="6">
        <v>65.0</v>
      </c>
      <c r="D226" s="6">
        <v>5.0</v>
      </c>
      <c r="E226" s="6">
        <v>953.0</v>
      </c>
      <c r="F226" s="6">
        <v>68.0</v>
      </c>
      <c r="G226" s="6">
        <v>0.0</v>
      </c>
      <c r="H226" s="4"/>
      <c r="I226" s="6">
        <v>12.0</v>
      </c>
      <c r="J226" s="6">
        <v>1.0</v>
      </c>
      <c r="K226" s="6">
        <v>0.0</v>
      </c>
      <c r="L226" s="6">
        <v>0.0</v>
      </c>
      <c r="M226" s="6">
        <v>13.0</v>
      </c>
      <c r="N226" s="6">
        <v>8.0</v>
      </c>
      <c r="O226" s="6">
        <v>0.0</v>
      </c>
      <c r="P226" s="6">
        <v>6.0</v>
      </c>
      <c r="Q226" s="6">
        <v>6.0</v>
      </c>
      <c r="R226" s="6">
        <v>3.0</v>
      </c>
      <c r="S226" s="6">
        <v>4.0</v>
      </c>
      <c r="T226" s="6">
        <v>1.0</v>
      </c>
      <c r="U226" s="6">
        <v>0.0</v>
      </c>
      <c r="V226" s="6">
        <v>9.0</v>
      </c>
      <c r="W226" s="6">
        <v>2.0</v>
      </c>
      <c r="X226" s="6">
        <v>8.0</v>
      </c>
      <c r="Y226" s="6">
        <v>13.0</v>
      </c>
      <c r="Z226" s="6">
        <v>3.0</v>
      </c>
      <c r="AA226" s="6">
        <v>0.0</v>
      </c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</row>
    <row r="227">
      <c r="A227" s="5">
        <v>45345.0</v>
      </c>
      <c r="B227" s="6">
        <v>14.0</v>
      </c>
      <c r="C227" s="6">
        <v>42.0</v>
      </c>
      <c r="D227" s="6">
        <v>3.0</v>
      </c>
      <c r="E227" s="6">
        <v>665.0</v>
      </c>
      <c r="F227" s="6">
        <v>48.0</v>
      </c>
      <c r="G227" s="6">
        <v>0.0</v>
      </c>
      <c r="H227" s="4"/>
      <c r="I227" s="6">
        <v>6.0</v>
      </c>
      <c r="J227" s="6">
        <v>4.0</v>
      </c>
      <c r="K227" s="6">
        <v>0.0</v>
      </c>
      <c r="L227" s="6">
        <v>0.0</v>
      </c>
      <c r="M227" s="6">
        <v>10.0</v>
      </c>
      <c r="N227" s="6">
        <v>9.0</v>
      </c>
      <c r="O227" s="6">
        <v>0.0</v>
      </c>
      <c r="P227" s="6">
        <v>5.0</v>
      </c>
      <c r="Q227" s="6">
        <v>6.0</v>
      </c>
      <c r="R227" s="6">
        <v>3.0</v>
      </c>
      <c r="S227" s="6">
        <v>1.0</v>
      </c>
      <c r="T227" s="6">
        <v>1.0</v>
      </c>
      <c r="U227" s="6">
        <v>0.0</v>
      </c>
      <c r="V227" s="6">
        <v>9.0</v>
      </c>
      <c r="W227" s="6">
        <v>0.0</v>
      </c>
      <c r="X227" s="6">
        <v>1.0</v>
      </c>
      <c r="Y227" s="6">
        <v>10.0</v>
      </c>
      <c r="Z227" s="6">
        <v>1.0</v>
      </c>
      <c r="AA227" s="6">
        <v>0.0</v>
      </c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</row>
    <row r="228">
      <c r="A228" s="5">
        <v>45346.0</v>
      </c>
      <c r="B228" s="6">
        <v>8.0</v>
      </c>
      <c r="C228" s="6">
        <v>37.0</v>
      </c>
      <c r="D228" s="6">
        <v>5.0</v>
      </c>
      <c r="E228" s="6">
        <v>751.0</v>
      </c>
      <c r="F228" s="6">
        <v>94.0</v>
      </c>
      <c r="G228" s="6">
        <v>0.0</v>
      </c>
      <c r="H228" s="4"/>
      <c r="I228" s="6">
        <v>6.0</v>
      </c>
      <c r="J228" s="6">
        <v>1.0</v>
      </c>
      <c r="K228" s="6">
        <v>0.0</v>
      </c>
      <c r="L228" s="6">
        <v>0.0</v>
      </c>
      <c r="M228" s="6">
        <v>7.0</v>
      </c>
      <c r="N228" s="6">
        <v>4.0</v>
      </c>
      <c r="O228" s="6">
        <v>0.0</v>
      </c>
      <c r="P228" s="6">
        <v>4.0</v>
      </c>
      <c r="Q228" s="6">
        <v>0.0</v>
      </c>
      <c r="R228" s="6">
        <v>4.0</v>
      </c>
      <c r="S228" s="6">
        <v>3.0</v>
      </c>
      <c r="T228" s="6">
        <v>0.0</v>
      </c>
      <c r="U228" s="6">
        <v>0.0</v>
      </c>
      <c r="V228" s="6">
        <v>4.0</v>
      </c>
      <c r="W228" s="6">
        <v>0.0</v>
      </c>
      <c r="X228" s="6">
        <v>13.0</v>
      </c>
      <c r="Y228" s="6">
        <v>5.0</v>
      </c>
      <c r="Z228" s="6">
        <v>0.0</v>
      </c>
      <c r="AA228" s="6">
        <v>0.0</v>
      </c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</row>
    <row r="229">
      <c r="A229" s="5">
        <v>45347.0</v>
      </c>
      <c r="B229" s="6">
        <v>0.0</v>
      </c>
      <c r="C229" s="6">
        <v>0.0</v>
      </c>
      <c r="D229" s="6">
        <v>0.0</v>
      </c>
      <c r="E229" s="6">
        <v>0.0</v>
      </c>
      <c r="F229" s="6">
        <v>0.0</v>
      </c>
      <c r="G229" s="6">
        <v>0.0</v>
      </c>
      <c r="H229" s="4"/>
      <c r="I229" s="6">
        <v>0.0</v>
      </c>
      <c r="J229" s="6">
        <v>0.0</v>
      </c>
      <c r="K229" s="6">
        <v>0.0</v>
      </c>
      <c r="L229" s="6">
        <v>0.0</v>
      </c>
      <c r="M229" s="6">
        <v>0.0</v>
      </c>
      <c r="N229" s="6">
        <v>0.0</v>
      </c>
      <c r="O229" s="6">
        <v>0.0</v>
      </c>
      <c r="P229" s="6">
        <v>0.0</v>
      </c>
      <c r="Q229" s="6">
        <v>0.0</v>
      </c>
      <c r="R229" s="6">
        <v>0.0</v>
      </c>
      <c r="S229" s="6">
        <v>0.0</v>
      </c>
      <c r="T229" s="6">
        <v>0.0</v>
      </c>
      <c r="U229" s="6">
        <v>0.0</v>
      </c>
      <c r="V229" s="6">
        <v>0.0</v>
      </c>
      <c r="W229" s="6">
        <v>0.0</v>
      </c>
      <c r="X229" s="6">
        <v>0.0</v>
      </c>
      <c r="Y229" s="6">
        <v>0.0</v>
      </c>
      <c r="Z229" s="6">
        <v>0.0</v>
      </c>
      <c r="AA229" s="6">
        <v>0.0</v>
      </c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</row>
    <row r="230">
      <c r="A230" s="5">
        <v>45348.0</v>
      </c>
      <c r="B230" s="6">
        <v>9.0</v>
      </c>
      <c r="C230" s="6">
        <v>40.0</v>
      </c>
      <c r="D230" s="6">
        <v>4.0</v>
      </c>
      <c r="E230" s="6">
        <v>766.0</v>
      </c>
      <c r="F230" s="6">
        <v>85.0</v>
      </c>
      <c r="G230" s="6">
        <v>0.0</v>
      </c>
      <c r="H230" s="4"/>
      <c r="I230" s="6">
        <v>5.0</v>
      </c>
      <c r="J230" s="6">
        <v>2.0</v>
      </c>
      <c r="K230" s="6">
        <v>0.0</v>
      </c>
      <c r="L230" s="6">
        <v>0.0</v>
      </c>
      <c r="M230" s="6">
        <v>7.0</v>
      </c>
      <c r="N230" s="6">
        <v>4.0</v>
      </c>
      <c r="O230" s="6">
        <v>0.0</v>
      </c>
      <c r="P230" s="6">
        <v>5.0</v>
      </c>
      <c r="Q230" s="6">
        <v>3.0</v>
      </c>
      <c r="R230" s="6">
        <v>2.0</v>
      </c>
      <c r="S230" s="6">
        <v>2.0</v>
      </c>
      <c r="T230" s="6">
        <v>0.0</v>
      </c>
      <c r="U230" s="6">
        <v>0.0</v>
      </c>
      <c r="V230" s="6">
        <v>5.0</v>
      </c>
      <c r="W230" s="6">
        <v>1.0</v>
      </c>
      <c r="X230" s="6">
        <v>9.0</v>
      </c>
      <c r="Y230" s="6">
        <v>6.0</v>
      </c>
      <c r="Z230" s="6">
        <v>1.0</v>
      </c>
      <c r="AA230" s="6">
        <v>0.0</v>
      </c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</row>
    <row r="231">
      <c r="A231" s="5">
        <v>45349.0</v>
      </c>
      <c r="B231" s="6">
        <v>11.0</v>
      </c>
      <c r="C231" s="6">
        <v>36.0</v>
      </c>
      <c r="D231" s="6">
        <v>3.0</v>
      </c>
      <c r="E231" s="6">
        <v>635.0</v>
      </c>
      <c r="F231" s="6">
        <v>58.0</v>
      </c>
      <c r="G231" s="6">
        <v>0.0</v>
      </c>
      <c r="H231" s="4"/>
      <c r="I231" s="6">
        <v>11.0</v>
      </c>
      <c r="J231" s="6">
        <v>0.0</v>
      </c>
      <c r="K231" s="6">
        <v>0.0</v>
      </c>
      <c r="L231" s="6">
        <v>0.0</v>
      </c>
      <c r="M231" s="6">
        <v>11.0</v>
      </c>
      <c r="N231" s="6">
        <v>9.0</v>
      </c>
      <c r="O231" s="6">
        <v>0.0</v>
      </c>
      <c r="P231" s="6">
        <v>2.0</v>
      </c>
      <c r="Q231" s="6">
        <v>6.0</v>
      </c>
      <c r="R231" s="6">
        <v>1.0</v>
      </c>
      <c r="S231" s="6">
        <v>3.0</v>
      </c>
      <c r="T231" s="6">
        <v>1.0</v>
      </c>
      <c r="U231" s="6">
        <v>0.0</v>
      </c>
      <c r="V231" s="6">
        <v>7.0</v>
      </c>
      <c r="W231" s="6">
        <v>0.0</v>
      </c>
      <c r="X231" s="6">
        <v>1.0</v>
      </c>
      <c r="Y231" s="6">
        <v>9.0</v>
      </c>
      <c r="Z231" s="6">
        <v>1.0</v>
      </c>
      <c r="AA231" s="6">
        <v>0.0</v>
      </c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</row>
    <row r="232">
      <c r="A232" s="5">
        <v>45350.0</v>
      </c>
      <c r="B232" s="6">
        <v>8.0</v>
      </c>
      <c r="C232" s="6">
        <v>36.0</v>
      </c>
      <c r="D232" s="6">
        <v>4.0</v>
      </c>
      <c r="E232" s="6">
        <v>586.0</v>
      </c>
      <c r="F232" s="6">
        <v>73.0</v>
      </c>
      <c r="G232" s="6">
        <v>0.0</v>
      </c>
      <c r="H232" s="4"/>
      <c r="I232" s="6">
        <v>6.0</v>
      </c>
      <c r="J232" s="6">
        <v>1.0</v>
      </c>
      <c r="K232" s="6">
        <v>0.0</v>
      </c>
      <c r="L232" s="6">
        <v>0.0</v>
      </c>
      <c r="M232" s="6">
        <v>7.0</v>
      </c>
      <c r="N232" s="6">
        <v>7.0</v>
      </c>
      <c r="O232" s="6">
        <v>0.0</v>
      </c>
      <c r="P232" s="6">
        <v>1.0</v>
      </c>
      <c r="Q232" s="6">
        <v>3.0</v>
      </c>
      <c r="R232" s="6">
        <v>0.0</v>
      </c>
      <c r="S232" s="6">
        <v>4.0</v>
      </c>
      <c r="T232" s="6">
        <v>1.0</v>
      </c>
      <c r="U232" s="6">
        <v>0.0</v>
      </c>
      <c r="V232" s="6">
        <v>3.0</v>
      </c>
      <c r="W232" s="6">
        <v>0.0</v>
      </c>
      <c r="X232" s="6">
        <v>6.0</v>
      </c>
      <c r="Y232" s="6">
        <v>7.0</v>
      </c>
      <c r="Z232" s="6">
        <v>1.0</v>
      </c>
      <c r="AA232" s="6">
        <v>0.0</v>
      </c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</row>
    <row r="233">
      <c r="A233" s="5">
        <v>45351.0</v>
      </c>
      <c r="B233" s="6">
        <v>14.0</v>
      </c>
      <c r="C233" s="6">
        <v>47.0</v>
      </c>
      <c r="D233" s="6">
        <v>3.0</v>
      </c>
      <c r="E233" s="6">
        <v>745.0</v>
      </c>
      <c r="F233" s="6">
        <v>53.0</v>
      </c>
      <c r="G233" s="6">
        <v>0.0</v>
      </c>
      <c r="H233" s="4"/>
      <c r="I233" s="6">
        <v>12.0</v>
      </c>
      <c r="J233" s="6">
        <v>1.0</v>
      </c>
      <c r="K233" s="6">
        <v>0.0</v>
      </c>
      <c r="L233" s="6">
        <v>0.0</v>
      </c>
      <c r="M233" s="6">
        <v>13.0</v>
      </c>
      <c r="N233" s="6">
        <v>10.0</v>
      </c>
      <c r="O233" s="6">
        <v>0.0</v>
      </c>
      <c r="P233" s="6">
        <v>4.0</v>
      </c>
      <c r="Q233" s="6">
        <v>5.0</v>
      </c>
      <c r="R233" s="6">
        <v>4.0</v>
      </c>
      <c r="S233" s="6">
        <v>3.0</v>
      </c>
      <c r="T233" s="6">
        <v>0.0</v>
      </c>
      <c r="U233" s="6">
        <v>0.0</v>
      </c>
      <c r="V233" s="6">
        <v>9.0</v>
      </c>
      <c r="W233" s="6">
        <v>0.0</v>
      </c>
      <c r="X233" s="6">
        <v>4.0</v>
      </c>
      <c r="Y233" s="6">
        <v>10.0</v>
      </c>
      <c r="Z233" s="6">
        <v>0.0</v>
      </c>
      <c r="AA233" s="6">
        <v>0.0</v>
      </c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</row>
    <row r="234">
      <c r="A234" s="5">
        <v>45352.0</v>
      </c>
      <c r="B234" s="6">
        <v>14.0</v>
      </c>
      <c r="C234" s="6">
        <v>62.0</v>
      </c>
      <c r="D234" s="6">
        <v>4.0</v>
      </c>
      <c r="E234" s="6">
        <v>884.0</v>
      </c>
      <c r="F234" s="6">
        <v>63.0</v>
      </c>
      <c r="G234" s="6">
        <v>0.0</v>
      </c>
      <c r="H234" s="4"/>
      <c r="I234" s="6">
        <v>11.0</v>
      </c>
      <c r="J234" s="6">
        <v>0.0</v>
      </c>
      <c r="K234" s="6">
        <v>1.0</v>
      </c>
      <c r="L234" s="6">
        <v>0.0</v>
      </c>
      <c r="M234" s="6">
        <v>12.0</v>
      </c>
      <c r="N234" s="6">
        <v>9.0</v>
      </c>
      <c r="O234" s="6">
        <v>0.0</v>
      </c>
      <c r="P234" s="6">
        <v>5.0</v>
      </c>
      <c r="Q234" s="6">
        <v>5.0</v>
      </c>
      <c r="R234" s="6">
        <v>3.0</v>
      </c>
      <c r="S234" s="6">
        <v>8.0</v>
      </c>
      <c r="T234" s="6">
        <v>0.0</v>
      </c>
      <c r="U234" s="6">
        <v>0.0</v>
      </c>
      <c r="V234" s="6">
        <v>8.0</v>
      </c>
      <c r="W234" s="6">
        <v>1.0</v>
      </c>
      <c r="X234" s="6">
        <v>3.0</v>
      </c>
      <c r="Y234" s="6">
        <v>10.0</v>
      </c>
      <c r="Z234" s="6">
        <v>1.0</v>
      </c>
      <c r="AA234" s="6">
        <v>0.0</v>
      </c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</row>
    <row r="235">
      <c r="A235" s="5">
        <v>45353.0</v>
      </c>
      <c r="B235" s="6">
        <v>2.0</v>
      </c>
      <c r="C235" s="6">
        <v>5.0</v>
      </c>
      <c r="D235" s="6">
        <v>2.0</v>
      </c>
      <c r="E235" s="6">
        <v>66.0</v>
      </c>
      <c r="F235" s="6">
        <v>33.0</v>
      </c>
      <c r="G235" s="6">
        <v>0.0</v>
      </c>
      <c r="H235" s="4"/>
      <c r="I235" s="6">
        <v>2.0</v>
      </c>
      <c r="J235" s="6">
        <v>0.0</v>
      </c>
      <c r="K235" s="6">
        <v>0.0</v>
      </c>
      <c r="L235" s="6">
        <v>0.0</v>
      </c>
      <c r="M235" s="6">
        <v>2.0</v>
      </c>
      <c r="N235" s="6">
        <v>1.0</v>
      </c>
      <c r="O235" s="6">
        <v>0.0</v>
      </c>
      <c r="P235" s="6">
        <v>1.0</v>
      </c>
      <c r="Q235" s="6">
        <v>0.0</v>
      </c>
      <c r="R235" s="6">
        <v>0.0</v>
      </c>
      <c r="S235" s="6">
        <v>0.0</v>
      </c>
      <c r="T235" s="6">
        <v>0.0</v>
      </c>
      <c r="U235" s="6">
        <v>0.0</v>
      </c>
      <c r="V235" s="6">
        <v>0.0</v>
      </c>
      <c r="W235" s="6">
        <v>0.0</v>
      </c>
      <c r="X235" s="6">
        <v>0.0</v>
      </c>
      <c r="Y235" s="6">
        <v>1.0</v>
      </c>
      <c r="Z235" s="6">
        <v>0.0</v>
      </c>
      <c r="AA235" s="6">
        <v>0.0</v>
      </c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</row>
    <row r="236">
      <c r="A236" s="5">
        <v>45354.0</v>
      </c>
      <c r="B236" s="6">
        <v>0.0</v>
      </c>
      <c r="C236" s="6">
        <v>0.0</v>
      </c>
      <c r="D236" s="6">
        <v>0.0</v>
      </c>
      <c r="E236" s="6">
        <v>0.0</v>
      </c>
      <c r="F236" s="6">
        <v>0.0</v>
      </c>
      <c r="G236" s="6">
        <v>0.0</v>
      </c>
      <c r="H236" s="4"/>
      <c r="I236" s="6">
        <v>0.0</v>
      </c>
      <c r="J236" s="6">
        <v>0.0</v>
      </c>
      <c r="K236" s="6">
        <v>0.0</v>
      </c>
      <c r="L236" s="6">
        <v>0.0</v>
      </c>
      <c r="M236" s="6">
        <v>0.0</v>
      </c>
      <c r="N236" s="6">
        <v>0.0</v>
      </c>
      <c r="O236" s="6">
        <v>0.0</v>
      </c>
      <c r="P236" s="6">
        <v>0.0</v>
      </c>
      <c r="Q236" s="6">
        <v>0.0</v>
      </c>
      <c r="R236" s="6">
        <v>0.0</v>
      </c>
      <c r="S236" s="6">
        <v>0.0</v>
      </c>
      <c r="T236" s="6">
        <v>0.0</v>
      </c>
      <c r="U236" s="6">
        <v>0.0</v>
      </c>
      <c r="V236" s="6">
        <v>0.0</v>
      </c>
      <c r="W236" s="6">
        <v>0.0</v>
      </c>
      <c r="X236" s="6">
        <v>0.0</v>
      </c>
      <c r="Y236" s="6">
        <v>0.0</v>
      </c>
      <c r="Z236" s="6">
        <v>0.0</v>
      </c>
      <c r="AA236" s="6">
        <v>0.0</v>
      </c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</row>
    <row r="237">
      <c r="A237" s="5">
        <v>45355.0</v>
      </c>
      <c r="B237" s="6">
        <v>16.0</v>
      </c>
      <c r="C237" s="6">
        <v>66.0</v>
      </c>
      <c r="D237" s="6">
        <v>4.0</v>
      </c>
      <c r="E237" s="6">
        <v>1279.0</v>
      </c>
      <c r="F237" s="6">
        <v>80.0</v>
      </c>
      <c r="G237" s="6">
        <v>0.0</v>
      </c>
      <c r="H237" s="4"/>
      <c r="I237" s="6">
        <v>12.0</v>
      </c>
      <c r="J237" s="6">
        <v>2.0</v>
      </c>
      <c r="K237" s="6">
        <v>0.0</v>
      </c>
      <c r="L237" s="6">
        <v>0.0</v>
      </c>
      <c r="M237" s="6">
        <v>14.0</v>
      </c>
      <c r="N237" s="6">
        <v>12.0</v>
      </c>
      <c r="O237" s="6">
        <v>0.0</v>
      </c>
      <c r="P237" s="6">
        <v>3.0</v>
      </c>
      <c r="Q237" s="6">
        <v>7.0</v>
      </c>
      <c r="R237" s="6">
        <v>3.0</v>
      </c>
      <c r="S237" s="6">
        <v>5.0</v>
      </c>
      <c r="T237" s="6">
        <v>0.0</v>
      </c>
      <c r="U237" s="6">
        <v>0.0</v>
      </c>
      <c r="V237" s="6">
        <v>10.0</v>
      </c>
      <c r="W237" s="6">
        <v>0.0</v>
      </c>
      <c r="X237" s="6">
        <v>14.0</v>
      </c>
      <c r="Y237" s="6">
        <v>11.0</v>
      </c>
      <c r="Z237" s="6">
        <v>0.0</v>
      </c>
      <c r="AA237" s="6">
        <v>0.0</v>
      </c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</row>
    <row r="238">
      <c r="A238" s="5">
        <v>45356.0</v>
      </c>
      <c r="B238" s="6">
        <v>16.0</v>
      </c>
      <c r="C238" s="6">
        <v>70.0</v>
      </c>
      <c r="D238" s="6">
        <v>4.0</v>
      </c>
      <c r="E238" s="6">
        <v>1144.0</v>
      </c>
      <c r="F238" s="6">
        <v>72.0</v>
      </c>
      <c r="G238" s="6">
        <v>0.0</v>
      </c>
      <c r="H238" s="4"/>
      <c r="I238" s="6">
        <v>11.0</v>
      </c>
      <c r="J238" s="6">
        <v>1.0</v>
      </c>
      <c r="K238" s="6">
        <v>1.0</v>
      </c>
      <c r="L238" s="6">
        <v>0.0</v>
      </c>
      <c r="M238" s="6">
        <v>13.0</v>
      </c>
      <c r="N238" s="6">
        <v>12.0</v>
      </c>
      <c r="O238" s="6">
        <v>0.0</v>
      </c>
      <c r="P238" s="6">
        <v>4.0</v>
      </c>
      <c r="Q238" s="6">
        <v>5.0</v>
      </c>
      <c r="R238" s="6">
        <v>0.0</v>
      </c>
      <c r="S238" s="6">
        <v>5.0</v>
      </c>
      <c r="T238" s="6">
        <v>1.0</v>
      </c>
      <c r="U238" s="6">
        <v>0.0</v>
      </c>
      <c r="V238" s="6">
        <v>5.0</v>
      </c>
      <c r="W238" s="6">
        <v>0.0</v>
      </c>
      <c r="X238" s="6">
        <v>18.0</v>
      </c>
      <c r="Y238" s="6">
        <v>6.0</v>
      </c>
      <c r="Z238" s="6">
        <v>1.0</v>
      </c>
      <c r="AA238" s="6">
        <v>0.0</v>
      </c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</row>
    <row r="239">
      <c r="A239" s="5">
        <v>45357.0</v>
      </c>
      <c r="B239" s="6">
        <v>5.0</v>
      </c>
      <c r="C239" s="6">
        <v>19.0</v>
      </c>
      <c r="D239" s="6">
        <v>4.0</v>
      </c>
      <c r="E239" s="6">
        <v>347.0</v>
      </c>
      <c r="F239" s="6">
        <v>69.0</v>
      </c>
      <c r="G239" s="6">
        <v>0.0</v>
      </c>
      <c r="H239" s="4"/>
      <c r="I239" s="6">
        <v>3.0</v>
      </c>
      <c r="J239" s="6">
        <v>1.0</v>
      </c>
      <c r="K239" s="6">
        <v>0.0</v>
      </c>
      <c r="L239" s="6">
        <v>0.0</v>
      </c>
      <c r="M239" s="6">
        <v>4.0</v>
      </c>
      <c r="N239" s="6">
        <v>5.0</v>
      </c>
      <c r="O239" s="6">
        <v>0.0</v>
      </c>
      <c r="P239" s="6">
        <v>0.0</v>
      </c>
      <c r="Q239" s="6">
        <v>3.0</v>
      </c>
      <c r="R239" s="6">
        <v>0.0</v>
      </c>
      <c r="S239" s="6">
        <v>2.0</v>
      </c>
      <c r="T239" s="6">
        <v>0.0</v>
      </c>
      <c r="U239" s="6">
        <v>0.0</v>
      </c>
      <c r="V239" s="6">
        <v>3.0</v>
      </c>
      <c r="W239" s="6">
        <v>0.0</v>
      </c>
      <c r="X239" s="6">
        <v>4.0</v>
      </c>
      <c r="Y239" s="6">
        <v>3.0</v>
      </c>
      <c r="Z239" s="6">
        <v>0.0</v>
      </c>
      <c r="AA239" s="6">
        <v>0.0</v>
      </c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</row>
    <row r="240">
      <c r="A240" s="5">
        <v>45358.0</v>
      </c>
      <c r="B240" s="6">
        <v>5.0</v>
      </c>
      <c r="C240" s="6">
        <v>17.0</v>
      </c>
      <c r="D240" s="6">
        <v>3.0</v>
      </c>
      <c r="E240" s="6">
        <v>322.0</v>
      </c>
      <c r="F240" s="6">
        <v>64.0</v>
      </c>
      <c r="G240" s="6">
        <v>0.0</v>
      </c>
      <c r="H240" s="4"/>
      <c r="I240" s="6">
        <v>2.0</v>
      </c>
      <c r="J240" s="6">
        <v>0.0</v>
      </c>
      <c r="K240" s="6">
        <v>1.0</v>
      </c>
      <c r="L240" s="6">
        <v>0.0</v>
      </c>
      <c r="M240" s="6">
        <v>3.0</v>
      </c>
      <c r="N240" s="6">
        <v>4.0</v>
      </c>
      <c r="O240" s="6">
        <v>0.0</v>
      </c>
      <c r="P240" s="6">
        <v>1.0</v>
      </c>
      <c r="Q240" s="6">
        <v>1.0</v>
      </c>
      <c r="R240" s="6">
        <v>1.0</v>
      </c>
      <c r="S240" s="6">
        <v>0.0</v>
      </c>
      <c r="T240" s="6">
        <v>0.0</v>
      </c>
      <c r="U240" s="6">
        <v>0.0</v>
      </c>
      <c r="V240" s="6">
        <v>2.0</v>
      </c>
      <c r="W240" s="6">
        <v>0.0</v>
      </c>
      <c r="X240" s="6">
        <v>1.0</v>
      </c>
      <c r="Y240" s="6">
        <v>4.0</v>
      </c>
      <c r="Z240" s="6">
        <v>0.0</v>
      </c>
      <c r="AA240" s="6">
        <v>0.0</v>
      </c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</row>
    <row r="241">
      <c r="A241" s="5">
        <v>45359.0</v>
      </c>
      <c r="B241" s="6">
        <v>5.0</v>
      </c>
      <c r="C241" s="6">
        <v>14.0</v>
      </c>
      <c r="D241" s="6">
        <v>3.0</v>
      </c>
      <c r="E241" s="6">
        <v>215.0</v>
      </c>
      <c r="F241" s="6">
        <v>43.0</v>
      </c>
      <c r="G241" s="6">
        <v>0.0</v>
      </c>
      <c r="H241" s="4"/>
      <c r="I241" s="6">
        <v>2.0</v>
      </c>
      <c r="J241" s="6">
        <v>0.0</v>
      </c>
      <c r="K241" s="6">
        <v>1.0</v>
      </c>
      <c r="L241" s="6">
        <v>0.0</v>
      </c>
      <c r="M241" s="6">
        <v>3.0</v>
      </c>
      <c r="N241" s="6">
        <v>2.0</v>
      </c>
      <c r="O241" s="6">
        <v>0.0</v>
      </c>
      <c r="P241" s="6">
        <v>3.0</v>
      </c>
      <c r="Q241" s="6">
        <v>1.0</v>
      </c>
      <c r="R241" s="6">
        <v>1.0</v>
      </c>
      <c r="S241" s="6">
        <v>0.0</v>
      </c>
      <c r="T241" s="6">
        <v>0.0</v>
      </c>
      <c r="U241" s="6">
        <v>0.0</v>
      </c>
      <c r="V241" s="6">
        <v>2.0</v>
      </c>
      <c r="W241" s="6">
        <v>0.0</v>
      </c>
      <c r="X241" s="6">
        <v>1.0</v>
      </c>
      <c r="Y241" s="6">
        <v>3.0</v>
      </c>
      <c r="Z241" s="6">
        <v>0.0</v>
      </c>
      <c r="AA241" s="6">
        <v>0.0</v>
      </c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</row>
    <row r="242">
      <c r="A242" s="5">
        <v>45360.0</v>
      </c>
      <c r="B242" s="6">
        <v>8.0</v>
      </c>
      <c r="C242" s="6">
        <v>28.0</v>
      </c>
      <c r="D242" s="6">
        <v>4.0</v>
      </c>
      <c r="E242" s="6">
        <v>496.0</v>
      </c>
      <c r="F242" s="6">
        <v>62.0</v>
      </c>
      <c r="G242" s="6">
        <v>0.0</v>
      </c>
      <c r="H242" s="4"/>
      <c r="I242" s="6">
        <v>8.0</v>
      </c>
      <c r="J242" s="6">
        <v>0.0</v>
      </c>
      <c r="K242" s="6">
        <v>0.0</v>
      </c>
      <c r="L242" s="6">
        <v>0.0</v>
      </c>
      <c r="M242" s="6">
        <v>8.0</v>
      </c>
      <c r="N242" s="6">
        <v>5.0</v>
      </c>
      <c r="O242" s="6">
        <v>0.0</v>
      </c>
      <c r="P242" s="6">
        <v>3.0</v>
      </c>
      <c r="Q242" s="6">
        <v>2.0</v>
      </c>
      <c r="R242" s="6">
        <v>2.0</v>
      </c>
      <c r="S242" s="6">
        <v>5.0</v>
      </c>
      <c r="T242" s="6">
        <v>0.0</v>
      </c>
      <c r="U242" s="6">
        <v>0.0</v>
      </c>
      <c r="V242" s="6">
        <v>4.0</v>
      </c>
      <c r="W242" s="6">
        <v>0.0</v>
      </c>
      <c r="X242" s="6">
        <v>2.0</v>
      </c>
      <c r="Y242" s="6">
        <v>5.0</v>
      </c>
      <c r="Z242" s="6">
        <v>0.0</v>
      </c>
      <c r="AA242" s="6">
        <v>0.0</v>
      </c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</row>
    <row r="243">
      <c r="A243" s="5">
        <v>45361.0</v>
      </c>
      <c r="B243" s="6">
        <v>0.0</v>
      </c>
      <c r="C243" s="6">
        <v>0.0</v>
      </c>
      <c r="D243" s="6">
        <v>0.0</v>
      </c>
      <c r="E243" s="6">
        <v>0.0</v>
      </c>
      <c r="F243" s="6">
        <v>0.0</v>
      </c>
      <c r="G243" s="6">
        <v>0.0</v>
      </c>
      <c r="H243" s="4"/>
      <c r="I243" s="6">
        <v>0.0</v>
      </c>
      <c r="J243" s="6">
        <v>0.0</v>
      </c>
      <c r="K243" s="6">
        <v>0.0</v>
      </c>
      <c r="L243" s="6">
        <v>0.0</v>
      </c>
      <c r="M243" s="6">
        <v>0.0</v>
      </c>
      <c r="N243" s="6">
        <v>0.0</v>
      </c>
      <c r="O243" s="6">
        <v>0.0</v>
      </c>
      <c r="P243" s="6">
        <v>0.0</v>
      </c>
      <c r="Q243" s="6">
        <v>0.0</v>
      </c>
      <c r="R243" s="6">
        <v>0.0</v>
      </c>
      <c r="S243" s="6">
        <v>0.0</v>
      </c>
      <c r="T243" s="6">
        <v>0.0</v>
      </c>
      <c r="U243" s="6">
        <v>0.0</v>
      </c>
      <c r="V243" s="6">
        <v>0.0</v>
      </c>
      <c r="W243" s="6">
        <v>0.0</v>
      </c>
      <c r="X243" s="6">
        <v>0.0</v>
      </c>
      <c r="Y243" s="6">
        <v>0.0</v>
      </c>
      <c r="Z243" s="6">
        <v>0.0</v>
      </c>
      <c r="AA243" s="6">
        <v>0.0</v>
      </c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</row>
    <row r="244">
      <c r="A244" s="5">
        <v>45362.0</v>
      </c>
      <c r="B244" s="6">
        <v>12.0</v>
      </c>
      <c r="C244" s="6">
        <v>47.0</v>
      </c>
      <c r="D244" s="6">
        <v>4.0</v>
      </c>
      <c r="E244" s="6">
        <v>838.0</v>
      </c>
      <c r="F244" s="6">
        <v>70.0</v>
      </c>
      <c r="G244" s="6">
        <v>0.0</v>
      </c>
      <c r="H244" s="4"/>
      <c r="I244" s="6">
        <v>4.0</v>
      </c>
      <c r="J244" s="6">
        <v>4.0</v>
      </c>
      <c r="K244" s="6">
        <v>0.0</v>
      </c>
      <c r="L244" s="6">
        <v>0.0</v>
      </c>
      <c r="M244" s="6">
        <v>8.0</v>
      </c>
      <c r="N244" s="6">
        <v>12.0</v>
      </c>
      <c r="O244" s="6">
        <v>0.0</v>
      </c>
      <c r="P244" s="6">
        <v>0.0</v>
      </c>
      <c r="Q244" s="6">
        <v>3.0</v>
      </c>
      <c r="R244" s="6">
        <v>0.0</v>
      </c>
      <c r="S244" s="6">
        <v>8.0</v>
      </c>
      <c r="T244" s="6">
        <v>0.0</v>
      </c>
      <c r="U244" s="6">
        <v>0.0</v>
      </c>
      <c r="V244" s="6">
        <v>3.0</v>
      </c>
      <c r="W244" s="6">
        <v>0.0</v>
      </c>
      <c r="X244" s="6">
        <v>8.0</v>
      </c>
      <c r="Y244" s="6">
        <v>5.0</v>
      </c>
      <c r="Z244" s="6">
        <v>0.0</v>
      </c>
      <c r="AA244" s="6">
        <v>0.0</v>
      </c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</row>
    <row r="245">
      <c r="A245" s="5">
        <v>45363.0</v>
      </c>
      <c r="B245" s="6">
        <v>7.0</v>
      </c>
      <c r="C245" s="6">
        <v>20.0</v>
      </c>
      <c r="D245" s="6">
        <v>3.0</v>
      </c>
      <c r="E245" s="6">
        <v>299.0</v>
      </c>
      <c r="F245" s="6">
        <v>43.0</v>
      </c>
      <c r="G245" s="6">
        <v>0.0</v>
      </c>
      <c r="H245" s="4"/>
      <c r="I245" s="6">
        <v>5.0</v>
      </c>
      <c r="J245" s="6">
        <v>1.0</v>
      </c>
      <c r="K245" s="6">
        <v>0.0</v>
      </c>
      <c r="L245" s="6">
        <v>0.0</v>
      </c>
      <c r="M245" s="6">
        <v>6.0</v>
      </c>
      <c r="N245" s="6">
        <v>7.0</v>
      </c>
      <c r="O245" s="6">
        <v>0.0</v>
      </c>
      <c r="P245" s="6">
        <v>0.0</v>
      </c>
      <c r="Q245" s="6">
        <v>4.0</v>
      </c>
      <c r="R245" s="6">
        <v>0.0</v>
      </c>
      <c r="S245" s="6">
        <v>0.0</v>
      </c>
      <c r="T245" s="6">
        <v>0.0</v>
      </c>
      <c r="U245" s="6">
        <v>0.0</v>
      </c>
      <c r="V245" s="6">
        <v>4.0</v>
      </c>
      <c r="W245" s="6">
        <v>0.0</v>
      </c>
      <c r="X245" s="6">
        <v>2.0</v>
      </c>
      <c r="Y245" s="6">
        <v>4.0</v>
      </c>
      <c r="Z245" s="6">
        <v>0.0</v>
      </c>
      <c r="AA245" s="6">
        <v>0.0</v>
      </c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</row>
    <row r="246">
      <c r="A246" s="5">
        <v>45364.0</v>
      </c>
      <c r="B246" s="6">
        <v>13.0</v>
      </c>
      <c r="C246" s="6">
        <v>60.0</v>
      </c>
      <c r="D246" s="6">
        <v>5.0</v>
      </c>
      <c r="E246" s="6">
        <v>983.0</v>
      </c>
      <c r="F246" s="6">
        <v>76.0</v>
      </c>
      <c r="G246" s="6">
        <v>0.0</v>
      </c>
      <c r="H246" s="6"/>
      <c r="I246" s="6">
        <v>7.0</v>
      </c>
      <c r="J246" s="6">
        <v>3.0</v>
      </c>
      <c r="K246" s="6">
        <v>0.0</v>
      </c>
      <c r="L246" s="6">
        <v>0.0</v>
      </c>
      <c r="M246" s="6">
        <v>10.0</v>
      </c>
      <c r="N246" s="6">
        <v>12.0</v>
      </c>
      <c r="O246" s="6">
        <v>0.0</v>
      </c>
      <c r="P246" s="6">
        <v>1.0</v>
      </c>
      <c r="Q246" s="6">
        <v>6.0</v>
      </c>
      <c r="R246" s="6">
        <v>1.0</v>
      </c>
      <c r="S246" s="6">
        <v>14.0</v>
      </c>
      <c r="T246" s="6">
        <v>1.0</v>
      </c>
      <c r="U246" s="6">
        <v>0.0</v>
      </c>
      <c r="V246" s="6">
        <v>7.0</v>
      </c>
      <c r="W246" s="6">
        <v>0.0</v>
      </c>
      <c r="X246" s="6">
        <v>7.0</v>
      </c>
      <c r="Y246" s="6">
        <v>8.0</v>
      </c>
      <c r="Z246" s="6">
        <v>1.0</v>
      </c>
      <c r="AA246" s="6">
        <v>0.0</v>
      </c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</row>
    <row r="247">
      <c r="A247" s="5">
        <v>45365.0</v>
      </c>
      <c r="B247" s="6">
        <v>10.0</v>
      </c>
      <c r="C247" s="6">
        <v>41.0</v>
      </c>
      <c r="D247" s="6">
        <v>4.0</v>
      </c>
      <c r="E247" s="6">
        <v>711.0</v>
      </c>
      <c r="F247" s="6">
        <v>71.0</v>
      </c>
      <c r="G247" s="6">
        <v>0.0</v>
      </c>
      <c r="H247" s="6"/>
      <c r="I247" s="6">
        <v>8.0</v>
      </c>
      <c r="J247" s="6">
        <v>1.0</v>
      </c>
      <c r="K247" s="6">
        <v>0.0</v>
      </c>
      <c r="L247" s="6">
        <v>0.0</v>
      </c>
      <c r="M247" s="6">
        <v>9.0</v>
      </c>
      <c r="N247" s="6">
        <v>6.0</v>
      </c>
      <c r="O247" s="6">
        <v>0.0</v>
      </c>
      <c r="P247" s="6">
        <v>4.0</v>
      </c>
      <c r="Q247" s="6">
        <v>3.0</v>
      </c>
      <c r="R247" s="6">
        <v>3.0</v>
      </c>
      <c r="S247" s="6">
        <v>6.0</v>
      </c>
      <c r="T247" s="6">
        <v>1.0</v>
      </c>
      <c r="U247" s="6">
        <v>0.0</v>
      </c>
      <c r="V247" s="6">
        <v>6.0</v>
      </c>
      <c r="W247" s="6">
        <v>0.0</v>
      </c>
      <c r="X247" s="6">
        <v>5.0</v>
      </c>
      <c r="Y247" s="6">
        <v>7.0</v>
      </c>
      <c r="Z247" s="6">
        <v>1.0</v>
      </c>
      <c r="AA247" s="6">
        <v>0.0</v>
      </c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</row>
    <row r="248">
      <c r="A248" s="5">
        <v>45366.0</v>
      </c>
      <c r="B248" s="6">
        <v>16.0</v>
      </c>
      <c r="C248" s="6">
        <v>71.0</v>
      </c>
      <c r="D248" s="6">
        <v>4.0</v>
      </c>
      <c r="E248" s="6">
        <v>893.0</v>
      </c>
      <c r="F248" s="6">
        <v>56.0</v>
      </c>
      <c r="G248" s="6">
        <v>0.0</v>
      </c>
      <c r="H248" s="4"/>
      <c r="I248" s="6">
        <v>12.0</v>
      </c>
      <c r="J248" s="6">
        <v>2.0</v>
      </c>
      <c r="K248" s="6">
        <v>0.0</v>
      </c>
      <c r="L248" s="6">
        <v>0.0</v>
      </c>
      <c r="M248" s="6">
        <v>14.0</v>
      </c>
      <c r="N248" s="6">
        <v>5.0</v>
      </c>
      <c r="O248" s="6">
        <v>0.0</v>
      </c>
      <c r="P248" s="6">
        <v>11.0</v>
      </c>
      <c r="Q248" s="6">
        <v>3.0</v>
      </c>
      <c r="R248" s="6">
        <v>3.0</v>
      </c>
      <c r="S248" s="6">
        <v>9.0</v>
      </c>
      <c r="T248" s="6">
        <v>1.0</v>
      </c>
      <c r="U248" s="6">
        <v>0.0</v>
      </c>
      <c r="V248" s="6">
        <v>6.0</v>
      </c>
      <c r="W248" s="6">
        <v>1.0</v>
      </c>
      <c r="X248" s="6">
        <v>3.0</v>
      </c>
      <c r="Y248" s="6">
        <v>9.0</v>
      </c>
      <c r="Z248" s="6">
        <v>2.0</v>
      </c>
      <c r="AA248" s="6">
        <v>0.0</v>
      </c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</row>
    <row r="249">
      <c r="A249" s="5">
        <v>45367.0</v>
      </c>
      <c r="B249" s="6">
        <v>6.0</v>
      </c>
      <c r="C249" s="6">
        <v>21.0</v>
      </c>
      <c r="D249" s="6">
        <v>4.0</v>
      </c>
      <c r="E249" s="6">
        <v>366.0</v>
      </c>
      <c r="F249" s="6">
        <v>61.0</v>
      </c>
      <c r="G249" s="6">
        <v>0.0</v>
      </c>
      <c r="H249" s="4"/>
      <c r="I249" s="6">
        <v>4.0</v>
      </c>
      <c r="J249" s="6">
        <v>1.0</v>
      </c>
      <c r="K249" s="6">
        <v>0.0</v>
      </c>
      <c r="L249" s="6">
        <v>0.0</v>
      </c>
      <c r="M249" s="6">
        <v>5.0</v>
      </c>
      <c r="N249" s="6">
        <v>1.0</v>
      </c>
      <c r="O249" s="6">
        <v>0.0</v>
      </c>
      <c r="P249" s="6">
        <v>5.0</v>
      </c>
      <c r="Q249" s="6">
        <v>1.0</v>
      </c>
      <c r="R249" s="6">
        <v>4.0</v>
      </c>
      <c r="S249" s="6">
        <v>2.0</v>
      </c>
      <c r="T249" s="6">
        <v>0.0</v>
      </c>
      <c r="U249" s="6">
        <v>0.0</v>
      </c>
      <c r="V249" s="6">
        <v>5.0</v>
      </c>
      <c r="W249" s="6">
        <v>0.0</v>
      </c>
      <c r="X249" s="6">
        <v>0.0</v>
      </c>
      <c r="Y249" s="6">
        <v>6.0</v>
      </c>
      <c r="Z249" s="6">
        <v>0.0</v>
      </c>
      <c r="AA249" s="6">
        <v>0.0</v>
      </c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</row>
    <row r="250">
      <c r="A250" s="5">
        <v>45368.0</v>
      </c>
      <c r="B250" s="6">
        <v>0.0</v>
      </c>
      <c r="C250" s="6">
        <v>0.0</v>
      </c>
      <c r="D250" s="6">
        <v>0.0</v>
      </c>
      <c r="E250" s="6">
        <v>0.0</v>
      </c>
      <c r="F250" s="6">
        <v>0.0</v>
      </c>
      <c r="G250" s="6">
        <v>0.0</v>
      </c>
      <c r="H250" s="4"/>
      <c r="I250" s="6">
        <v>0.0</v>
      </c>
      <c r="J250" s="6">
        <v>0.0</v>
      </c>
      <c r="K250" s="6">
        <v>0.0</v>
      </c>
      <c r="L250" s="6">
        <v>0.0</v>
      </c>
      <c r="M250" s="6">
        <v>0.0</v>
      </c>
      <c r="N250" s="6">
        <v>0.0</v>
      </c>
      <c r="O250" s="6">
        <v>0.0</v>
      </c>
      <c r="P250" s="6">
        <v>0.0</v>
      </c>
      <c r="Q250" s="6">
        <v>0.0</v>
      </c>
      <c r="R250" s="6">
        <v>0.0</v>
      </c>
      <c r="S250" s="6">
        <v>0.0</v>
      </c>
      <c r="T250" s="6">
        <v>0.0</v>
      </c>
      <c r="U250" s="6">
        <v>0.0</v>
      </c>
      <c r="V250" s="6">
        <v>0.0</v>
      </c>
      <c r="W250" s="6">
        <v>0.0</v>
      </c>
      <c r="X250" s="6">
        <v>0.0</v>
      </c>
      <c r="Y250" s="6">
        <v>0.0</v>
      </c>
      <c r="Z250" s="6">
        <v>0.0</v>
      </c>
      <c r="AA250" s="6">
        <v>0.0</v>
      </c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</row>
    <row r="251">
      <c r="A251" s="5">
        <v>45369.0</v>
      </c>
      <c r="B251" s="6">
        <v>3.0</v>
      </c>
      <c r="C251" s="6">
        <v>12.0</v>
      </c>
      <c r="D251" s="6">
        <v>4.0</v>
      </c>
      <c r="E251" s="6">
        <v>263.0</v>
      </c>
      <c r="F251" s="6">
        <v>88.0</v>
      </c>
      <c r="G251" s="6">
        <v>0.0</v>
      </c>
      <c r="H251" s="4"/>
      <c r="I251" s="6">
        <v>3.0</v>
      </c>
      <c r="J251" s="6">
        <v>0.0</v>
      </c>
      <c r="K251" s="6">
        <v>0.0</v>
      </c>
      <c r="L251" s="6">
        <v>0.0</v>
      </c>
      <c r="M251" s="6">
        <v>3.0</v>
      </c>
      <c r="N251" s="6">
        <v>2.0</v>
      </c>
      <c r="O251" s="6">
        <v>0.0</v>
      </c>
      <c r="P251" s="6">
        <v>1.0</v>
      </c>
      <c r="Q251" s="6">
        <v>2.0</v>
      </c>
      <c r="R251" s="6">
        <v>1.0</v>
      </c>
      <c r="S251" s="6">
        <v>0.0</v>
      </c>
      <c r="T251" s="6">
        <v>0.0</v>
      </c>
      <c r="U251" s="6">
        <v>0.0</v>
      </c>
      <c r="V251" s="6">
        <v>3.0</v>
      </c>
      <c r="W251" s="6">
        <v>0.0</v>
      </c>
      <c r="X251" s="6">
        <v>3.0</v>
      </c>
      <c r="Y251" s="6">
        <v>3.0</v>
      </c>
      <c r="Z251" s="6">
        <v>0.0</v>
      </c>
      <c r="AA251" s="6">
        <v>0.0</v>
      </c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</row>
    <row r="252">
      <c r="A252" s="5">
        <v>45370.0</v>
      </c>
      <c r="B252" s="6">
        <v>6.0</v>
      </c>
      <c r="C252" s="6">
        <v>20.0</v>
      </c>
      <c r="D252" s="6">
        <v>3.0</v>
      </c>
      <c r="E252" s="6">
        <v>391.0</v>
      </c>
      <c r="F252" s="6">
        <v>65.0</v>
      </c>
      <c r="G252" s="6">
        <v>0.0</v>
      </c>
      <c r="H252" s="4"/>
      <c r="I252" s="6">
        <v>6.0</v>
      </c>
      <c r="J252" s="6">
        <v>0.0</v>
      </c>
      <c r="K252" s="6">
        <v>0.0</v>
      </c>
      <c r="L252" s="6">
        <v>0.0</v>
      </c>
      <c r="M252" s="6">
        <v>6.0</v>
      </c>
      <c r="N252" s="6">
        <v>3.0</v>
      </c>
      <c r="O252" s="6">
        <v>0.0</v>
      </c>
      <c r="P252" s="6">
        <v>3.0</v>
      </c>
      <c r="Q252" s="6">
        <v>3.0</v>
      </c>
      <c r="R252" s="6">
        <v>3.0</v>
      </c>
      <c r="S252" s="6">
        <v>0.0</v>
      </c>
      <c r="T252" s="6">
        <v>0.0</v>
      </c>
      <c r="U252" s="6">
        <v>0.0</v>
      </c>
      <c r="V252" s="6">
        <v>6.0</v>
      </c>
      <c r="W252" s="6">
        <v>0.0</v>
      </c>
      <c r="X252" s="6">
        <v>2.0</v>
      </c>
      <c r="Y252" s="6">
        <v>6.0</v>
      </c>
      <c r="Z252" s="6">
        <v>0.0</v>
      </c>
      <c r="AA252" s="6">
        <v>0.0</v>
      </c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</row>
    <row r="253">
      <c r="A253" s="5">
        <v>45371.0</v>
      </c>
      <c r="B253" s="6">
        <v>11.0</v>
      </c>
      <c r="C253" s="6">
        <v>56.0</v>
      </c>
      <c r="D253" s="6">
        <v>5.0</v>
      </c>
      <c r="E253" s="6">
        <v>896.0</v>
      </c>
      <c r="F253" s="6">
        <v>81.0</v>
      </c>
      <c r="G253" s="6">
        <v>0.0</v>
      </c>
      <c r="H253" s="4"/>
      <c r="I253" s="6">
        <v>5.0</v>
      </c>
      <c r="J253" s="6">
        <v>3.0</v>
      </c>
      <c r="K253" s="6">
        <v>0.0</v>
      </c>
      <c r="L253" s="6">
        <v>0.0</v>
      </c>
      <c r="M253" s="6">
        <v>8.0</v>
      </c>
      <c r="N253" s="6">
        <v>5.0</v>
      </c>
      <c r="O253" s="6">
        <v>0.0</v>
      </c>
      <c r="P253" s="6">
        <v>5.0</v>
      </c>
      <c r="Q253" s="6">
        <v>2.0</v>
      </c>
      <c r="R253" s="6">
        <v>1.0</v>
      </c>
      <c r="S253" s="6">
        <v>9.0</v>
      </c>
      <c r="T253" s="6">
        <v>0.0</v>
      </c>
      <c r="U253" s="6">
        <v>0.0</v>
      </c>
      <c r="V253" s="6">
        <v>3.0</v>
      </c>
      <c r="W253" s="6">
        <v>0.0</v>
      </c>
      <c r="X253" s="6">
        <v>7.0</v>
      </c>
      <c r="Y253" s="6">
        <v>6.0</v>
      </c>
      <c r="Z253" s="6">
        <v>0.0</v>
      </c>
      <c r="AA253" s="6">
        <v>0.0</v>
      </c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</row>
    <row r="254">
      <c r="A254" s="5">
        <v>45372.0</v>
      </c>
      <c r="B254" s="6">
        <v>8.0</v>
      </c>
      <c r="C254" s="6">
        <v>36.0</v>
      </c>
      <c r="D254" s="6">
        <v>4.0</v>
      </c>
      <c r="E254" s="6">
        <v>672.0</v>
      </c>
      <c r="F254" s="6">
        <v>84.0</v>
      </c>
      <c r="G254" s="6">
        <v>0.0</v>
      </c>
      <c r="H254" s="4"/>
      <c r="I254" s="6">
        <v>4.0</v>
      </c>
      <c r="J254" s="6">
        <v>2.0</v>
      </c>
      <c r="K254" s="6">
        <v>0.0</v>
      </c>
      <c r="L254" s="6">
        <v>0.0</v>
      </c>
      <c r="M254" s="6">
        <v>6.0</v>
      </c>
      <c r="N254" s="6">
        <v>3.0</v>
      </c>
      <c r="O254" s="6">
        <v>0.0</v>
      </c>
      <c r="P254" s="6">
        <v>5.0</v>
      </c>
      <c r="Q254" s="6">
        <v>1.0</v>
      </c>
      <c r="R254" s="6">
        <v>4.0</v>
      </c>
      <c r="S254" s="6">
        <v>3.0</v>
      </c>
      <c r="T254" s="6">
        <v>0.0</v>
      </c>
      <c r="U254" s="6">
        <v>0.0</v>
      </c>
      <c r="V254" s="6">
        <v>5.0</v>
      </c>
      <c r="W254" s="6">
        <v>0.0</v>
      </c>
      <c r="X254" s="6">
        <v>8.0</v>
      </c>
      <c r="Y254" s="6">
        <v>6.0</v>
      </c>
      <c r="Z254" s="6">
        <v>0.0</v>
      </c>
      <c r="AA254" s="6">
        <v>0.0</v>
      </c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</row>
    <row r="255">
      <c r="A255" s="5">
        <v>45373.0</v>
      </c>
      <c r="B255" s="6">
        <v>5.0</v>
      </c>
      <c r="C255" s="6">
        <v>18.0</v>
      </c>
      <c r="D255" s="6">
        <v>4.0</v>
      </c>
      <c r="E255" s="6">
        <v>402.0</v>
      </c>
      <c r="F255" s="6">
        <v>80.0</v>
      </c>
      <c r="G255" s="6">
        <v>0.0</v>
      </c>
      <c r="H255" s="4"/>
      <c r="I255" s="6">
        <v>3.0</v>
      </c>
      <c r="J255" s="6">
        <v>1.0</v>
      </c>
      <c r="K255" s="6">
        <v>0.0</v>
      </c>
      <c r="L255" s="6">
        <v>0.0</v>
      </c>
      <c r="M255" s="6">
        <v>4.0</v>
      </c>
      <c r="N255" s="6">
        <v>4.0</v>
      </c>
      <c r="O255" s="6">
        <v>0.0</v>
      </c>
      <c r="P255" s="6">
        <v>1.0</v>
      </c>
      <c r="Q255" s="6">
        <v>3.0</v>
      </c>
      <c r="R255" s="6">
        <v>1.0</v>
      </c>
      <c r="S255" s="6">
        <v>2.0</v>
      </c>
      <c r="T255" s="6">
        <v>0.0</v>
      </c>
      <c r="U255" s="6">
        <v>0.0</v>
      </c>
      <c r="V255" s="6">
        <v>4.0</v>
      </c>
      <c r="W255" s="6">
        <v>0.0</v>
      </c>
      <c r="X255" s="6">
        <v>2.0</v>
      </c>
      <c r="Y255" s="6">
        <v>4.0</v>
      </c>
      <c r="Z255" s="6">
        <v>0.0</v>
      </c>
      <c r="AA255" s="6">
        <v>0.0</v>
      </c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</row>
    <row r="256">
      <c r="A256" s="5">
        <v>45374.0</v>
      </c>
      <c r="B256" s="6">
        <v>0.0</v>
      </c>
      <c r="C256" s="6">
        <v>0.0</v>
      </c>
      <c r="D256" s="6">
        <v>0.0</v>
      </c>
      <c r="E256" s="6">
        <v>0.0</v>
      </c>
      <c r="F256" s="6">
        <v>0.0</v>
      </c>
      <c r="G256" s="6">
        <v>0.0</v>
      </c>
      <c r="H256" s="4"/>
      <c r="I256" s="6">
        <v>0.0</v>
      </c>
      <c r="J256" s="6">
        <v>0.0</v>
      </c>
      <c r="K256" s="6">
        <v>0.0</v>
      </c>
      <c r="L256" s="6">
        <v>0.0</v>
      </c>
      <c r="M256" s="6">
        <v>0.0</v>
      </c>
      <c r="N256" s="6">
        <v>0.0</v>
      </c>
      <c r="O256" s="6">
        <v>0.0</v>
      </c>
      <c r="P256" s="6">
        <v>0.0</v>
      </c>
      <c r="Q256" s="6">
        <v>0.0</v>
      </c>
      <c r="R256" s="6">
        <v>0.0</v>
      </c>
      <c r="S256" s="6">
        <v>0.0</v>
      </c>
      <c r="T256" s="6">
        <v>0.0</v>
      </c>
      <c r="U256" s="6">
        <v>0.0</v>
      </c>
      <c r="V256" s="6">
        <v>0.0</v>
      </c>
      <c r="W256" s="6">
        <v>0.0</v>
      </c>
      <c r="X256" s="6">
        <v>0.0</v>
      </c>
      <c r="Y256" s="6">
        <v>0.0</v>
      </c>
      <c r="Z256" s="6">
        <v>0.0</v>
      </c>
      <c r="AA256" s="6">
        <v>0.0</v>
      </c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</row>
    <row r="257">
      <c r="A257" s="5">
        <v>45375.0</v>
      </c>
      <c r="B257" s="6">
        <v>0.0</v>
      </c>
      <c r="C257" s="6">
        <v>0.0</v>
      </c>
      <c r="D257" s="6">
        <v>0.0</v>
      </c>
      <c r="E257" s="6">
        <v>0.0</v>
      </c>
      <c r="F257" s="6">
        <v>0.0</v>
      </c>
      <c r="G257" s="6">
        <v>0.0</v>
      </c>
      <c r="H257" s="4"/>
      <c r="I257" s="6">
        <v>0.0</v>
      </c>
      <c r="J257" s="6">
        <v>0.0</v>
      </c>
      <c r="K257" s="6">
        <v>0.0</v>
      </c>
      <c r="L257" s="6">
        <v>0.0</v>
      </c>
      <c r="M257" s="6">
        <v>0.0</v>
      </c>
      <c r="N257" s="6">
        <v>0.0</v>
      </c>
      <c r="O257" s="6">
        <v>0.0</v>
      </c>
      <c r="P257" s="6">
        <v>0.0</v>
      </c>
      <c r="Q257" s="6">
        <v>0.0</v>
      </c>
      <c r="R257" s="6">
        <v>0.0</v>
      </c>
      <c r="S257" s="6">
        <v>0.0</v>
      </c>
      <c r="T257" s="6">
        <v>0.0</v>
      </c>
      <c r="U257" s="6">
        <v>0.0</v>
      </c>
      <c r="V257" s="6">
        <v>0.0</v>
      </c>
      <c r="W257" s="6">
        <v>0.0</v>
      </c>
      <c r="X257" s="6">
        <v>0.0</v>
      </c>
      <c r="Y257" s="6">
        <v>0.0</v>
      </c>
      <c r="Z257" s="6">
        <v>0.0</v>
      </c>
      <c r="AA257" s="6">
        <v>0.0</v>
      </c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</row>
    <row r="258">
      <c r="A258" s="5">
        <v>45376.0</v>
      </c>
      <c r="B258" s="6">
        <v>5.0</v>
      </c>
      <c r="C258" s="6">
        <v>20.0</v>
      </c>
      <c r="D258" s="6">
        <v>4.0</v>
      </c>
      <c r="E258" s="6">
        <v>335.0</v>
      </c>
      <c r="F258" s="6">
        <v>67.0</v>
      </c>
      <c r="G258" s="6">
        <v>0.0</v>
      </c>
      <c r="H258" s="4"/>
      <c r="I258" s="6">
        <v>3.0</v>
      </c>
      <c r="J258" s="6">
        <v>1.0</v>
      </c>
      <c r="K258" s="6">
        <v>0.0</v>
      </c>
      <c r="L258" s="6">
        <v>0.0</v>
      </c>
      <c r="M258" s="6">
        <v>4.0</v>
      </c>
      <c r="N258" s="6">
        <v>3.0</v>
      </c>
      <c r="O258" s="6">
        <v>0.0</v>
      </c>
      <c r="P258" s="6">
        <v>2.0</v>
      </c>
      <c r="Q258" s="6">
        <v>1.0</v>
      </c>
      <c r="R258" s="6">
        <v>1.0</v>
      </c>
      <c r="S258" s="6">
        <v>2.0</v>
      </c>
      <c r="T258" s="6">
        <v>0.0</v>
      </c>
      <c r="U258" s="6">
        <v>0.0</v>
      </c>
      <c r="V258" s="6">
        <v>2.0</v>
      </c>
      <c r="W258" s="6">
        <v>1.0</v>
      </c>
      <c r="X258" s="6">
        <v>1.0</v>
      </c>
      <c r="Y258" s="6">
        <v>3.0</v>
      </c>
      <c r="Z258" s="6">
        <v>1.0</v>
      </c>
      <c r="AA258" s="6">
        <v>0.0</v>
      </c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</row>
    <row r="259">
      <c r="A259" s="5">
        <v>45377.0</v>
      </c>
      <c r="B259" s="6">
        <v>3.0</v>
      </c>
      <c r="C259" s="6">
        <v>13.0</v>
      </c>
      <c r="D259" s="6">
        <v>4.0</v>
      </c>
      <c r="E259" s="6">
        <v>278.0</v>
      </c>
      <c r="F259" s="6">
        <v>93.0</v>
      </c>
      <c r="G259" s="6">
        <v>0.0</v>
      </c>
      <c r="H259" s="4"/>
      <c r="I259" s="6">
        <v>3.0</v>
      </c>
      <c r="J259" s="6">
        <v>0.0</v>
      </c>
      <c r="K259" s="6">
        <v>0.0</v>
      </c>
      <c r="L259" s="6">
        <v>0.0</v>
      </c>
      <c r="M259" s="6">
        <v>3.0</v>
      </c>
      <c r="N259" s="6">
        <v>0.0</v>
      </c>
      <c r="O259" s="6">
        <v>0.0</v>
      </c>
      <c r="P259" s="6">
        <v>3.0</v>
      </c>
      <c r="Q259" s="6">
        <v>0.0</v>
      </c>
      <c r="R259" s="6">
        <v>3.0</v>
      </c>
      <c r="S259" s="6">
        <v>2.0</v>
      </c>
      <c r="T259" s="6">
        <v>0.0</v>
      </c>
      <c r="U259" s="6">
        <v>0.0</v>
      </c>
      <c r="V259" s="6">
        <v>3.0</v>
      </c>
      <c r="W259" s="6">
        <v>0.0</v>
      </c>
      <c r="X259" s="6">
        <v>2.0</v>
      </c>
      <c r="Y259" s="6">
        <v>3.0</v>
      </c>
      <c r="Z259" s="6">
        <v>0.0</v>
      </c>
      <c r="AA259" s="6">
        <v>0.0</v>
      </c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</row>
    <row r="260">
      <c r="A260" s="5">
        <v>45378.0</v>
      </c>
      <c r="B260" s="6">
        <v>10.0</v>
      </c>
      <c r="C260" s="6">
        <v>33.0</v>
      </c>
      <c r="D260" s="6">
        <v>3.0</v>
      </c>
      <c r="E260" s="6">
        <v>602.0</v>
      </c>
      <c r="F260" s="6">
        <v>60.0</v>
      </c>
      <c r="G260" s="6">
        <v>0.0</v>
      </c>
      <c r="H260" s="4"/>
      <c r="I260" s="6">
        <v>6.0</v>
      </c>
      <c r="J260" s="6">
        <v>2.0</v>
      </c>
      <c r="K260" s="6">
        <v>0.0</v>
      </c>
      <c r="L260" s="6">
        <v>0.0</v>
      </c>
      <c r="M260" s="6">
        <v>8.0</v>
      </c>
      <c r="N260" s="6">
        <v>7.0</v>
      </c>
      <c r="O260" s="6">
        <v>0.0</v>
      </c>
      <c r="P260" s="6">
        <v>3.0</v>
      </c>
      <c r="Q260" s="6">
        <v>2.0</v>
      </c>
      <c r="R260" s="6">
        <v>2.0</v>
      </c>
      <c r="S260" s="6">
        <v>1.0</v>
      </c>
      <c r="T260" s="6">
        <v>0.0</v>
      </c>
      <c r="U260" s="6">
        <v>0.0</v>
      </c>
      <c r="V260" s="6">
        <v>4.0</v>
      </c>
      <c r="W260" s="6">
        <v>0.0</v>
      </c>
      <c r="X260" s="6">
        <v>8.0</v>
      </c>
      <c r="Y260" s="6">
        <v>5.0</v>
      </c>
      <c r="Z260" s="6">
        <v>0.0</v>
      </c>
      <c r="AA260" s="6">
        <v>0.0</v>
      </c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</row>
    <row r="261">
      <c r="A261" s="5">
        <v>45379.0</v>
      </c>
      <c r="B261" s="6">
        <v>8.0</v>
      </c>
      <c r="C261" s="6">
        <v>36.0</v>
      </c>
      <c r="D261" s="6">
        <v>4.0</v>
      </c>
      <c r="E261" s="6">
        <v>723.0</v>
      </c>
      <c r="F261" s="6">
        <v>90.0</v>
      </c>
      <c r="G261" s="6">
        <v>0.0</v>
      </c>
      <c r="H261" s="4"/>
      <c r="I261" s="6">
        <v>6.0</v>
      </c>
      <c r="J261" s="6">
        <v>1.0</v>
      </c>
      <c r="K261" s="6">
        <v>0.0</v>
      </c>
      <c r="L261" s="6">
        <v>0.0</v>
      </c>
      <c r="M261" s="6">
        <v>7.0</v>
      </c>
      <c r="N261" s="6">
        <v>4.0</v>
      </c>
      <c r="O261" s="6">
        <v>0.0</v>
      </c>
      <c r="P261" s="6">
        <v>4.0</v>
      </c>
      <c r="Q261" s="6">
        <v>2.0</v>
      </c>
      <c r="R261" s="6">
        <v>2.0</v>
      </c>
      <c r="S261" s="6">
        <v>7.0</v>
      </c>
      <c r="T261" s="6">
        <v>0.0</v>
      </c>
      <c r="U261" s="6">
        <v>0.0</v>
      </c>
      <c r="V261" s="6">
        <v>4.0</v>
      </c>
      <c r="W261" s="6">
        <v>0.0</v>
      </c>
      <c r="X261" s="6">
        <v>8.0</v>
      </c>
      <c r="Y261" s="6">
        <v>4.0</v>
      </c>
      <c r="Z261" s="6">
        <v>0.0</v>
      </c>
      <c r="AA261" s="6">
        <v>0.0</v>
      </c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</row>
    <row r="262">
      <c r="A262" s="5">
        <v>45380.0</v>
      </c>
      <c r="B262" s="6">
        <v>8.0</v>
      </c>
      <c r="C262" s="6">
        <v>31.0</v>
      </c>
      <c r="D262" s="6">
        <v>4.0</v>
      </c>
      <c r="E262" s="6">
        <v>481.0</v>
      </c>
      <c r="F262" s="6">
        <v>60.0</v>
      </c>
      <c r="G262" s="6">
        <v>0.0</v>
      </c>
      <c r="H262" s="4"/>
      <c r="I262" s="6">
        <v>4.0</v>
      </c>
      <c r="J262" s="6">
        <v>2.0</v>
      </c>
      <c r="K262" s="6">
        <v>0.0</v>
      </c>
      <c r="L262" s="6">
        <v>0.0</v>
      </c>
      <c r="M262" s="6">
        <v>6.0</v>
      </c>
      <c r="N262" s="6">
        <v>5.0</v>
      </c>
      <c r="O262" s="6">
        <v>0.0</v>
      </c>
      <c r="P262" s="6">
        <v>3.0</v>
      </c>
      <c r="Q262" s="6">
        <v>4.0</v>
      </c>
      <c r="R262" s="6">
        <v>1.0</v>
      </c>
      <c r="S262" s="6">
        <v>3.0</v>
      </c>
      <c r="T262" s="6">
        <v>1.0</v>
      </c>
      <c r="U262" s="6">
        <v>0.0</v>
      </c>
      <c r="V262" s="6">
        <v>5.0</v>
      </c>
      <c r="W262" s="6">
        <v>0.0</v>
      </c>
      <c r="X262" s="6">
        <v>3.0</v>
      </c>
      <c r="Y262" s="6">
        <v>6.0</v>
      </c>
      <c r="Z262" s="6">
        <v>1.0</v>
      </c>
      <c r="AA262" s="6">
        <v>0.0</v>
      </c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</row>
    <row r="263">
      <c r="A263" s="5">
        <v>45381.0</v>
      </c>
      <c r="B263" s="6">
        <v>3.0</v>
      </c>
      <c r="C263" s="6">
        <v>9.0</v>
      </c>
      <c r="D263" s="6">
        <v>3.0</v>
      </c>
      <c r="E263" s="6">
        <v>160.0</v>
      </c>
      <c r="F263" s="6">
        <v>53.0</v>
      </c>
      <c r="G263" s="6">
        <v>0.0</v>
      </c>
      <c r="H263" s="4"/>
      <c r="I263" s="6">
        <v>3.0</v>
      </c>
      <c r="J263" s="6">
        <v>0.0</v>
      </c>
      <c r="K263" s="6">
        <v>0.0</v>
      </c>
      <c r="L263" s="6">
        <v>0.0</v>
      </c>
      <c r="M263" s="6">
        <v>3.0</v>
      </c>
      <c r="N263" s="6">
        <v>2.0</v>
      </c>
      <c r="O263" s="6">
        <v>0.0</v>
      </c>
      <c r="P263" s="6">
        <v>1.0</v>
      </c>
      <c r="Q263" s="6">
        <v>1.0</v>
      </c>
      <c r="R263" s="6">
        <v>1.0</v>
      </c>
      <c r="S263" s="6">
        <v>0.0</v>
      </c>
      <c r="T263" s="6">
        <v>1.0</v>
      </c>
      <c r="U263" s="6">
        <v>0.0</v>
      </c>
      <c r="V263" s="6">
        <v>2.0</v>
      </c>
      <c r="W263" s="6">
        <v>0.0</v>
      </c>
      <c r="X263" s="6">
        <v>0.0</v>
      </c>
      <c r="Y263" s="6">
        <v>3.0</v>
      </c>
      <c r="Z263" s="6">
        <v>1.0</v>
      </c>
      <c r="AA263" s="6">
        <v>0.0</v>
      </c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</row>
    <row r="264">
      <c r="A264" s="5">
        <v>45382.0</v>
      </c>
      <c r="B264" s="6">
        <v>0.0</v>
      </c>
      <c r="C264" s="6">
        <v>0.0</v>
      </c>
      <c r="D264" s="6">
        <v>0.0</v>
      </c>
      <c r="E264" s="6">
        <v>0.0</v>
      </c>
      <c r="F264" s="6">
        <v>0.0</v>
      </c>
      <c r="G264" s="6">
        <v>0.0</v>
      </c>
      <c r="H264" s="4"/>
      <c r="I264" s="6">
        <v>0.0</v>
      </c>
      <c r="J264" s="6">
        <v>0.0</v>
      </c>
      <c r="K264" s="6">
        <v>0.0</v>
      </c>
      <c r="L264" s="6">
        <v>0.0</v>
      </c>
      <c r="M264" s="6">
        <v>0.0</v>
      </c>
      <c r="N264" s="6">
        <v>0.0</v>
      </c>
      <c r="O264" s="6">
        <v>0.0</v>
      </c>
      <c r="P264" s="6">
        <v>0.0</v>
      </c>
      <c r="Q264" s="6">
        <v>0.0</v>
      </c>
      <c r="R264" s="6">
        <v>0.0</v>
      </c>
      <c r="S264" s="6">
        <v>0.0</v>
      </c>
      <c r="T264" s="6">
        <v>0.0</v>
      </c>
      <c r="U264" s="6">
        <v>0.0</v>
      </c>
      <c r="V264" s="6">
        <v>0.0</v>
      </c>
      <c r="W264" s="6">
        <v>0.0</v>
      </c>
      <c r="X264" s="6">
        <v>0.0</v>
      </c>
      <c r="Y264" s="6">
        <v>0.0</v>
      </c>
      <c r="Z264" s="6">
        <v>0.0</v>
      </c>
      <c r="AA264" s="6">
        <v>0.0</v>
      </c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</row>
    <row r="265">
      <c r="A265" s="5">
        <v>45383.0</v>
      </c>
      <c r="B265" s="6">
        <v>0.0</v>
      </c>
      <c r="C265" s="6">
        <v>0.0</v>
      </c>
      <c r="D265" s="6">
        <v>0.0</v>
      </c>
      <c r="E265" s="6">
        <v>0.0</v>
      </c>
      <c r="F265" s="6">
        <v>0.0</v>
      </c>
      <c r="G265" s="6">
        <v>0.0</v>
      </c>
      <c r="H265" s="4"/>
      <c r="I265" s="6">
        <v>0.0</v>
      </c>
      <c r="J265" s="6">
        <v>0.0</v>
      </c>
      <c r="K265" s="6">
        <v>0.0</v>
      </c>
      <c r="L265" s="6">
        <v>0.0</v>
      </c>
      <c r="M265" s="6">
        <v>0.0</v>
      </c>
      <c r="N265" s="6">
        <v>0.0</v>
      </c>
      <c r="O265" s="6">
        <v>0.0</v>
      </c>
      <c r="P265" s="6">
        <v>0.0</v>
      </c>
      <c r="Q265" s="6">
        <v>0.0</v>
      </c>
      <c r="R265" s="6">
        <v>0.0</v>
      </c>
      <c r="S265" s="6">
        <v>0.0</v>
      </c>
      <c r="T265" s="6">
        <v>0.0</v>
      </c>
      <c r="U265" s="6">
        <v>0.0</v>
      </c>
      <c r="V265" s="6">
        <v>0.0</v>
      </c>
      <c r="W265" s="6">
        <v>0.0</v>
      </c>
      <c r="X265" s="6">
        <v>0.0</v>
      </c>
      <c r="Y265" s="6">
        <v>0.0</v>
      </c>
      <c r="Z265" s="6">
        <v>0.0</v>
      </c>
      <c r="AA265" s="6">
        <v>0.0</v>
      </c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</row>
    <row r="266">
      <c r="A266" s="5">
        <v>45384.0</v>
      </c>
      <c r="B266" s="6">
        <v>6.0</v>
      </c>
      <c r="C266" s="6">
        <v>33.0</v>
      </c>
      <c r="D266" s="6">
        <v>6.0</v>
      </c>
      <c r="E266" s="6">
        <v>683.0</v>
      </c>
      <c r="F266" s="6">
        <v>114.0</v>
      </c>
      <c r="G266" s="6">
        <v>0.0</v>
      </c>
      <c r="H266" s="4"/>
      <c r="I266" s="6">
        <v>6.0</v>
      </c>
      <c r="J266" s="6">
        <v>0.0</v>
      </c>
      <c r="K266" s="6">
        <v>0.0</v>
      </c>
      <c r="L266" s="6">
        <v>0.0</v>
      </c>
      <c r="M266" s="6">
        <v>6.0</v>
      </c>
      <c r="N266" s="6">
        <v>3.0</v>
      </c>
      <c r="O266" s="6">
        <v>0.0</v>
      </c>
      <c r="P266" s="6">
        <v>3.0</v>
      </c>
      <c r="Q266" s="6">
        <v>3.0</v>
      </c>
      <c r="R266" s="6">
        <v>3.0</v>
      </c>
      <c r="S266" s="6">
        <v>10.0</v>
      </c>
      <c r="T266" s="6">
        <v>0.0</v>
      </c>
      <c r="U266" s="6">
        <v>0.0</v>
      </c>
      <c r="V266" s="6">
        <v>6.0</v>
      </c>
      <c r="W266" s="6">
        <v>0.0</v>
      </c>
      <c r="X266" s="6">
        <v>4.0</v>
      </c>
      <c r="Y266" s="6">
        <v>6.0</v>
      </c>
      <c r="Z266" s="6">
        <v>0.0</v>
      </c>
      <c r="AA266" s="6">
        <v>0.0</v>
      </c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</row>
    <row r="267">
      <c r="A267" s="5">
        <v>45385.0</v>
      </c>
      <c r="B267" s="6">
        <v>13.0</v>
      </c>
      <c r="C267" s="6">
        <v>55.0</v>
      </c>
      <c r="D267" s="6">
        <v>4.0</v>
      </c>
      <c r="E267" s="6">
        <v>1030.0</v>
      </c>
      <c r="F267" s="6">
        <v>79.0</v>
      </c>
      <c r="G267" s="6">
        <v>0.0</v>
      </c>
      <c r="H267" s="4"/>
      <c r="I267" s="6">
        <v>11.0</v>
      </c>
      <c r="J267" s="6">
        <v>1.0</v>
      </c>
      <c r="K267" s="6">
        <v>0.0</v>
      </c>
      <c r="L267" s="6">
        <v>0.0</v>
      </c>
      <c r="M267" s="6">
        <v>12.0</v>
      </c>
      <c r="N267" s="6">
        <v>7.0</v>
      </c>
      <c r="O267" s="6">
        <v>0.0</v>
      </c>
      <c r="P267" s="6">
        <v>5.0</v>
      </c>
      <c r="Q267" s="6">
        <v>3.0</v>
      </c>
      <c r="R267" s="6">
        <v>5.0</v>
      </c>
      <c r="S267" s="6">
        <v>8.0</v>
      </c>
      <c r="T267" s="6">
        <v>0.0</v>
      </c>
      <c r="U267" s="6">
        <v>0.0</v>
      </c>
      <c r="V267" s="6">
        <v>8.0</v>
      </c>
      <c r="W267" s="6">
        <v>0.0</v>
      </c>
      <c r="X267" s="6">
        <v>8.0</v>
      </c>
      <c r="Y267" s="6">
        <v>9.0</v>
      </c>
      <c r="Z267" s="6">
        <v>0.0</v>
      </c>
      <c r="AA267" s="6">
        <v>0.0</v>
      </c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</row>
    <row r="268">
      <c r="A268" s="5">
        <v>45386.0</v>
      </c>
      <c r="B268" s="6">
        <v>20.0</v>
      </c>
      <c r="C268" s="6">
        <v>183.0</v>
      </c>
      <c r="D268" s="6">
        <v>9.0</v>
      </c>
      <c r="E268" s="6">
        <v>2179.0</v>
      </c>
      <c r="F268" s="6">
        <v>109.0</v>
      </c>
      <c r="G268" s="6">
        <v>0.0</v>
      </c>
      <c r="H268" s="4"/>
      <c r="I268" s="6">
        <v>9.0</v>
      </c>
      <c r="J268" s="6">
        <v>1.0</v>
      </c>
      <c r="K268" s="6">
        <v>1.0</v>
      </c>
      <c r="L268" s="6">
        <v>1.0</v>
      </c>
      <c r="M268" s="6">
        <v>12.0</v>
      </c>
      <c r="N268" s="6">
        <v>12.0</v>
      </c>
      <c r="O268" s="6">
        <v>0.0</v>
      </c>
      <c r="P268" s="6">
        <v>7.0</v>
      </c>
      <c r="Q268" s="6">
        <v>9.0</v>
      </c>
      <c r="R268" s="6">
        <v>7.0</v>
      </c>
      <c r="S268" s="6">
        <v>3.0</v>
      </c>
      <c r="T268" s="6">
        <v>3.0</v>
      </c>
      <c r="U268" s="6">
        <v>0.0</v>
      </c>
      <c r="V268" s="6">
        <v>16.0</v>
      </c>
      <c r="W268" s="6">
        <v>0.0</v>
      </c>
      <c r="X268" s="6">
        <v>4.0</v>
      </c>
      <c r="Y268" s="6">
        <v>16.0</v>
      </c>
      <c r="Z268" s="6">
        <v>3.0</v>
      </c>
      <c r="AA268" s="6">
        <v>0.0</v>
      </c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</row>
    <row r="269">
      <c r="A269" s="5">
        <v>45387.0</v>
      </c>
      <c r="B269" s="6">
        <v>15.0</v>
      </c>
      <c r="C269" s="6">
        <v>138.0</v>
      </c>
      <c r="D269" s="6">
        <v>9.0</v>
      </c>
      <c r="E269" s="6">
        <v>2576.0</v>
      </c>
      <c r="F269" s="6">
        <v>172.0</v>
      </c>
      <c r="G269" s="6">
        <v>0.0</v>
      </c>
      <c r="H269" s="4"/>
      <c r="I269" s="6">
        <v>7.0</v>
      </c>
      <c r="J269" s="6">
        <v>4.0</v>
      </c>
      <c r="K269" s="6">
        <v>0.0</v>
      </c>
      <c r="L269" s="6">
        <v>0.0</v>
      </c>
      <c r="M269" s="6">
        <v>11.0</v>
      </c>
      <c r="N269" s="6">
        <v>9.0</v>
      </c>
      <c r="O269" s="6">
        <v>0.0</v>
      </c>
      <c r="P269" s="6">
        <v>5.0</v>
      </c>
      <c r="Q269" s="6">
        <v>6.0</v>
      </c>
      <c r="R269" s="6">
        <v>4.0</v>
      </c>
      <c r="S269" s="6">
        <v>9.0</v>
      </c>
      <c r="T269" s="6">
        <v>1.0</v>
      </c>
      <c r="U269" s="6">
        <v>0.0</v>
      </c>
      <c r="V269" s="6">
        <v>10.0</v>
      </c>
      <c r="W269" s="6">
        <v>0.0</v>
      </c>
      <c r="X269" s="6">
        <v>7.0</v>
      </c>
      <c r="Y269" s="6">
        <v>11.0</v>
      </c>
      <c r="Z269" s="6">
        <v>1.0</v>
      </c>
      <c r="AA269" s="6">
        <v>0.0</v>
      </c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</row>
    <row r="270">
      <c r="A270" s="5">
        <v>45388.0</v>
      </c>
      <c r="B270" s="6">
        <v>0.0</v>
      </c>
      <c r="C270" s="6">
        <v>0.0</v>
      </c>
      <c r="D270" s="6">
        <v>0.0</v>
      </c>
      <c r="E270" s="6">
        <v>0.0</v>
      </c>
      <c r="F270" s="6">
        <v>0.0</v>
      </c>
      <c r="G270" s="6">
        <v>0.0</v>
      </c>
      <c r="H270" s="4"/>
      <c r="I270" s="6">
        <v>0.0</v>
      </c>
      <c r="J270" s="6">
        <v>0.0</v>
      </c>
      <c r="K270" s="6">
        <v>0.0</v>
      </c>
      <c r="L270" s="6">
        <v>0.0</v>
      </c>
      <c r="M270" s="6">
        <v>0.0</v>
      </c>
      <c r="N270" s="6">
        <v>0.0</v>
      </c>
      <c r="O270" s="6">
        <v>0.0</v>
      </c>
      <c r="P270" s="6">
        <v>0.0</v>
      </c>
      <c r="Q270" s="6">
        <v>0.0</v>
      </c>
      <c r="R270" s="6">
        <v>0.0</v>
      </c>
      <c r="S270" s="6">
        <v>0.0</v>
      </c>
      <c r="T270" s="6">
        <v>0.0</v>
      </c>
      <c r="U270" s="6">
        <v>0.0</v>
      </c>
      <c r="V270" s="6">
        <v>0.0</v>
      </c>
      <c r="W270" s="6">
        <v>0.0</v>
      </c>
      <c r="X270" s="6">
        <v>0.0</v>
      </c>
      <c r="Y270" s="6">
        <v>0.0</v>
      </c>
      <c r="Z270" s="6">
        <v>0.0</v>
      </c>
      <c r="AA270" s="6">
        <v>0.0</v>
      </c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</row>
    <row r="271">
      <c r="A271" s="5">
        <v>45389.0</v>
      </c>
      <c r="B271" s="6">
        <v>0.0</v>
      </c>
      <c r="C271" s="6">
        <v>0.0</v>
      </c>
      <c r="D271" s="6">
        <v>0.0</v>
      </c>
      <c r="E271" s="6">
        <v>0.0</v>
      </c>
      <c r="F271" s="6">
        <v>0.0</v>
      </c>
      <c r="G271" s="6">
        <v>0.0</v>
      </c>
      <c r="H271" s="4"/>
      <c r="I271" s="6">
        <v>0.0</v>
      </c>
      <c r="J271" s="6">
        <v>0.0</v>
      </c>
      <c r="K271" s="6">
        <v>0.0</v>
      </c>
      <c r="L271" s="6">
        <v>0.0</v>
      </c>
      <c r="M271" s="6">
        <v>0.0</v>
      </c>
      <c r="N271" s="6">
        <v>0.0</v>
      </c>
      <c r="O271" s="6">
        <v>0.0</v>
      </c>
      <c r="P271" s="6">
        <v>0.0</v>
      </c>
      <c r="Q271" s="6">
        <v>0.0</v>
      </c>
      <c r="R271" s="6">
        <v>0.0</v>
      </c>
      <c r="S271" s="6">
        <v>0.0</v>
      </c>
      <c r="T271" s="6">
        <v>0.0</v>
      </c>
      <c r="U271" s="6">
        <v>0.0</v>
      </c>
      <c r="V271" s="6">
        <v>0.0</v>
      </c>
      <c r="W271" s="6">
        <v>0.0</v>
      </c>
      <c r="X271" s="6">
        <v>0.0</v>
      </c>
      <c r="Y271" s="6">
        <v>0.0</v>
      </c>
      <c r="Z271" s="6">
        <v>0.0</v>
      </c>
      <c r="AA271" s="6">
        <v>0.0</v>
      </c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</row>
    <row r="272">
      <c r="A272" s="5">
        <v>45390.0</v>
      </c>
      <c r="B272" s="6">
        <v>7.0</v>
      </c>
      <c r="C272" s="6">
        <v>64.0</v>
      </c>
      <c r="D272" s="6">
        <v>9.0</v>
      </c>
      <c r="E272" s="6">
        <v>1208.0</v>
      </c>
      <c r="F272" s="6">
        <v>173.0</v>
      </c>
      <c r="G272" s="6">
        <v>0.0</v>
      </c>
      <c r="H272" s="4"/>
      <c r="I272" s="6">
        <v>5.0</v>
      </c>
      <c r="J272" s="6">
        <v>1.0</v>
      </c>
      <c r="K272" s="6">
        <v>0.0</v>
      </c>
      <c r="L272" s="6">
        <v>0.0</v>
      </c>
      <c r="M272" s="6">
        <v>6.0</v>
      </c>
      <c r="N272" s="6">
        <v>6.0</v>
      </c>
      <c r="O272" s="6">
        <v>0.0</v>
      </c>
      <c r="P272" s="6">
        <v>1.0</v>
      </c>
      <c r="Q272" s="6">
        <v>3.0</v>
      </c>
      <c r="R272" s="6">
        <v>0.0</v>
      </c>
      <c r="S272" s="6">
        <v>7.0</v>
      </c>
      <c r="T272" s="6">
        <v>2.0</v>
      </c>
      <c r="U272" s="6">
        <v>0.0</v>
      </c>
      <c r="V272" s="6">
        <v>3.0</v>
      </c>
      <c r="W272" s="6">
        <v>0.0</v>
      </c>
      <c r="X272" s="6">
        <v>5.0</v>
      </c>
      <c r="Y272" s="6">
        <v>4.0</v>
      </c>
      <c r="Z272" s="6">
        <v>2.0</v>
      </c>
      <c r="AA272" s="6">
        <v>0.0</v>
      </c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</row>
    <row r="273">
      <c r="A273" s="5">
        <v>45391.0</v>
      </c>
      <c r="B273" s="6">
        <v>11.0</v>
      </c>
      <c r="C273" s="6">
        <v>102.0</v>
      </c>
      <c r="D273" s="6">
        <v>9.0</v>
      </c>
      <c r="E273" s="6">
        <v>1409.0</v>
      </c>
      <c r="F273" s="6">
        <v>128.0</v>
      </c>
      <c r="G273" s="6">
        <v>0.0</v>
      </c>
      <c r="H273" s="4"/>
      <c r="I273" s="6">
        <v>8.0</v>
      </c>
      <c r="J273" s="6">
        <v>0.0</v>
      </c>
      <c r="K273" s="6">
        <v>1.0</v>
      </c>
      <c r="L273" s="6">
        <v>0.0</v>
      </c>
      <c r="M273" s="6">
        <v>9.0</v>
      </c>
      <c r="N273" s="6">
        <v>8.0</v>
      </c>
      <c r="O273" s="6">
        <v>0.0</v>
      </c>
      <c r="P273" s="6">
        <v>3.0</v>
      </c>
      <c r="Q273" s="6">
        <v>5.0</v>
      </c>
      <c r="R273" s="6">
        <v>2.0</v>
      </c>
      <c r="S273" s="6">
        <v>3.0</v>
      </c>
      <c r="T273" s="6">
        <v>0.0</v>
      </c>
      <c r="U273" s="6">
        <v>0.0</v>
      </c>
      <c r="V273" s="6">
        <v>7.0</v>
      </c>
      <c r="W273" s="6">
        <v>1.0</v>
      </c>
      <c r="X273" s="6">
        <v>4.0</v>
      </c>
      <c r="Y273" s="6">
        <v>9.0</v>
      </c>
      <c r="Z273" s="6">
        <v>1.0</v>
      </c>
      <c r="AA273" s="6">
        <v>0.0</v>
      </c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</row>
    <row r="274">
      <c r="A274" s="5">
        <v>45392.0</v>
      </c>
      <c r="B274" s="6">
        <v>15.0</v>
      </c>
      <c r="C274" s="6">
        <v>126.0</v>
      </c>
      <c r="D274" s="6">
        <v>8.0</v>
      </c>
      <c r="E274" s="6">
        <v>1912.0</v>
      </c>
      <c r="F274" s="6">
        <v>127.0</v>
      </c>
      <c r="G274" s="6">
        <v>0.0</v>
      </c>
      <c r="H274" s="4"/>
      <c r="I274" s="6">
        <v>7.0</v>
      </c>
      <c r="J274" s="6">
        <v>4.0</v>
      </c>
      <c r="K274" s="6">
        <v>0.0</v>
      </c>
      <c r="L274" s="6">
        <v>0.0</v>
      </c>
      <c r="M274" s="6">
        <v>11.0</v>
      </c>
      <c r="N274" s="6">
        <v>11.0</v>
      </c>
      <c r="O274" s="6">
        <v>0.0</v>
      </c>
      <c r="P274" s="6">
        <v>4.0</v>
      </c>
      <c r="Q274" s="6">
        <v>5.0</v>
      </c>
      <c r="R274" s="6">
        <v>4.0</v>
      </c>
      <c r="S274" s="6">
        <v>4.0</v>
      </c>
      <c r="T274" s="6">
        <v>2.0</v>
      </c>
      <c r="U274" s="6">
        <v>0.0</v>
      </c>
      <c r="V274" s="6">
        <v>9.0</v>
      </c>
      <c r="W274" s="6">
        <v>1.0</v>
      </c>
      <c r="X274" s="6">
        <v>7.0</v>
      </c>
      <c r="Y274" s="6">
        <v>12.0</v>
      </c>
      <c r="Z274" s="6">
        <v>3.0</v>
      </c>
      <c r="AA274" s="6">
        <v>0.0</v>
      </c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</row>
    <row r="275">
      <c r="A275" s="5">
        <v>45393.0</v>
      </c>
      <c r="B275" s="6">
        <v>10.0</v>
      </c>
      <c r="C275" s="6">
        <v>90.0</v>
      </c>
      <c r="D275" s="6">
        <v>9.0</v>
      </c>
      <c r="E275" s="6">
        <v>1037.0</v>
      </c>
      <c r="F275" s="6">
        <v>104.0</v>
      </c>
      <c r="G275" s="6">
        <v>0.0</v>
      </c>
      <c r="H275" s="4"/>
      <c r="I275" s="6">
        <v>10.0</v>
      </c>
      <c r="J275" s="6">
        <v>0.0</v>
      </c>
      <c r="K275" s="6">
        <v>0.0</v>
      </c>
      <c r="L275" s="6">
        <v>0.0</v>
      </c>
      <c r="M275" s="6">
        <v>10.0</v>
      </c>
      <c r="N275" s="6">
        <v>5.0</v>
      </c>
      <c r="O275" s="6">
        <v>0.0</v>
      </c>
      <c r="P275" s="6">
        <v>4.0</v>
      </c>
      <c r="Q275" s="6">
        <v>3.0</v>
      </c>
      <c r="R275" s="6">
        <v>4.0</v>
      </c>
      <c r="S275" s="6">
        <v>0.0</v>
      </c>
      <c r="T275" s="6">
        <v>1.0</v>
      </c>
      <c r="U275" s="6">
        <v>0.0</v>
      </c>
      <c r="V275" s="6">
        <v>7.0</v>
      </c>
      <c r="W275" s="6">
        <v>0.0</v>
      </c>
      <c r="X275" s="6">
        <v>4.0</v>
      </c>
      <c r="Y275" s="6">
        <v>7.0</v>
      </c>
      <c r="Z275" s="6">
        <v>1.0</v>
      </c>
      <c r="AA275" s="6">
        <v>0.0</v>
      </c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</row>
    <row r="276">
      <c r="A276" s="5">
        <v>45394.0</v>
      </c>
      <c r="B276" s="6">
        <v>17.0</v>
      </c>
      <c r="C276" s="6">
        <v>164.0</v>
      </c>
      <c r="D276" s="6">
        <v>10.0</v>
      </c>
      <c r="E276" s="6">
        <v>2415.0</v>
      </c>
      <c r="F276" s="6">
        <v>142.0</v>
      </c>
      <c r="G276" s="6">
        <v>0.0</v>
      </c>
      <c r="H276" s="4"/>
      <c r="I276" s="6">
        <v>13.0</v>
      </c>
      <c r="J276" s="6">
        <v>2.0</v>
      </c>
      <c r="K276" s="6">
        <v>0.0</v>
      </c>
      <c r="L276" s="6">
        <v>0.0</v>
      </c>
      <c r="M276" s="6">
        <v>15.0</v>
      </c>
      <c r="N276" s="6">
        <v>11.0</v>
      </c>
      <c r="O276" s="6">
        <v>0.0</v>
      </c>
      <c r="P276" s="6">
        <v>6.0</v>
      </c>
      <c r="Q276" s="6">
        <v>6.0</v>
      </c>
      <c r="R276" s="6">
        <v>6.0</v>
      </c>
      <c r="S276" s="6">
        <v>8.0</v>
      </c>
      <c r="T276" s="6">
        <v>1.0</v>
      </c>
      <c r="U276" s="6">
        <v>0.0</v>
      </c>
      <c r="V276" s="6">
        <v>12.0</v>
      </c>
      <c r="W276" s="6">
        <v>1.0</v>
      </c>
      <c r="X276" s="6">
        <v>7.0</v>
      </c>
      <c r="Y276" s="6">
        <v>15.0</v>
      </c>
      <c r="Z276" s="6">
        <v>2.0</v>
      </c>
      <c r="AA276" s="6">
        <v>0.0</v>
      </c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</row>
    <row r="277">
      <c r="A277" s="5">
        <v>45395.0</v>
      </c>
      <c r="B277" s="6">
        <v>3.0</v>
      </c>
      <c r="C277" s="6">
        <v>44.0</v>
      </c>
      <c r="D277" s="6">
        <v>15.0</v>
      </c>
      <c r="E277" s="6">
        <v>537.0</v>
      </c>
      <c r="F277" s="6">
        <v>179.0</v>
      </c>
      <c r="G277" s="6">
        <v>0.0</v>
      </c>
      <c r="H277" s="4"/>
      <c r="I277" s="6">
        <v>3.0</v>
      </c>
      <c r="J277" s="6">
        <v>0.0</v>
      </c>
      <c r="K277" s="6">
        <v>0.0</v>
      </c>
      <c r="L277" s="6">
        <v>0.0</v>
      </c>
      <c r="M277" s="6">
        <v>3.0</v>
      </c>
      <c r="N277" s="6">
        <v>2.0</v>
      </c>
      <c r="O277" s="6">
        <v>0.0</v>
      </c>
      <c r="P277" s="6">
        <v>1.0</v>
      </c>
      <c r="Q277" s="6">
        <v>2.0</v>
      </c>
      <c r="R277" s="6">
        <v>0.0</v>
      </c>
      <c r="S277" s="6">
        <v>2.0</v>
      </c>
      <c r="T277" s="6">
        <v>0.0</v>
      </c>
      <c r="U277" s="6">
        <v>0.0</v>
      </c>
      <c r="V277" s="6">
        <v>2.0</v>
      </c>
      <c r="W277" s="6">
        <v>0.0</v>
      </c>
      <c r="X277" s="6">
        <v>1.0</v>
      </c>
      <c r="Y277" s="6">
        <v>2.0</v>
      </c>
      <c r="Z277" s="6">
        <v>0.0</v>
      </c>
      <c r="AA277" s="6">
        <v>0.0</v>
      </c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</row>
    <row r="278">
      <c r="A278" s="5">
        <v>45396.0</v>
      </c>
      <c r="B278" s="6">
        <v>0.0</v>
      </c>
      <c r="C278" s="6">
        <v>0.0</v>
      </c>
      <c r="D278" s="6">
        <v>0.0</v>
      </c>
      <c r="E278" s="6">
        <v>0.0</v>
      </c>
      <c r="F278" s="6">
        <v>0.0</v>
      </c>
      <c r="G278" s="6">
        <v>0.0</v>
      </c>
      <c r="H278" s="4"/>
      <c r="I278" s="6">
        <v>0.0</v>
      </c>
      <c r="J278" s="6">
        <v>0.0</v>
      </c>
      <c r="K278" s="6">
        <v>0.0</v>
      </c>
      <c r="L278" s="6">
        <v>0.0</v>
      </c>
      <c r="M278" s="6">
        <v>0.0</v>
      </c>
      <c r="N278" s="6">
        <v>0.0</v>
      </c>
      <c r="O278" s="6">
        <v>0.0</v>
      </c>
      <c r="P278" s="6">
        <v>0.0</v>
      </c>
      <c r="Q278" s="6">
        <v>0.0</v>
      </c>
      <c r="R278" s="6">
        <v>0.0</v>
      </c>
      <c r="S278" s="6">
        <v>0.0</v>
      </c>
      <c r="T278" s="6">
        <v>0.0</v>
      </c>
      <c r="U278" s="6">
        <v>0.0</v>
      </c>
      <c r="V278" s="6">
        <v>0.0</v>
      </c>
      <c r="W278" s="6">
        <v>0.0</v>
      </c>
      <c r="X278" s="6">
        <v>0.0</v>
      </c>
      <c r="Y278" s="6">
        <v>0.0</v>
      </c>
      <c r="Z278" s="6">
        <v>0.0</v>
      </c>
      <c r="AA278" s="6">
        <v>0.0</v>
      </c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</row>
    <row r="279">
      <c r="A279" s="5">
        <v>45397.0</v>
      </c>
      <c r="B279" s="6">
        <v>10.0</v>
      </c>
      <c r="C279" s="6">
        <v>92.0</v>
      </c>
      <c r="D279" s="6">
        <v>9.0</v>
      </c>
      <c r="E279" s="6">
        <v>1252.0</v>
      </c>
      <c r="F279" s="6">
        <v>125.0</v>
      </c>
      <c r="G279" s="6">
        <v>0.0</v>
      </c>
      <c r="H279" s="4"/>
      <c r="I279" s="6">
        <v>7.0</v>
      </c>
      <c r="J279" s="6">
        <v>0.0</v>
      </c>
      <c r="K279" s="6">
        <v>1.0</v>
      </c>
      <c r="L279" s="6">
        <v>0.0</v>
      </c>
      <c r="M279" s="6">
        <v>8.0</v>
      </c>
      <c r="N279" s="6">
        <v>8.0</v>
      </c>
      <c r="O279" s="6">
        <v>0.0</v>
      </c>
      <c r="P279" s="6">
        <v>2.0</v>
      </c>
      <c r="Q279" s="6">
        <v>3.0</v>
      </c>
      <c r="R279" s="6">
        <v>2.0</v>
      </c>
      <c r="S279" s="6">
        <v>8.0</v>
      </c>
      <c r="T279" s="6">
        <v>1.0</v>
      </c>
      <c r="U279" s="6">
        <v>0.0</v>
      </c>
      <c r="V279" s="6">
        <v>5.0</v>
      </c>
      <c r="W279" s="6">
        <v>1.0</v>
      </c>
      <c r="X279" s="6">
        <v>8.0</v>
      </c>
      <c r="Y279" s="6">
        <v>8.0</v>
      </c>
      <c r="Z279" s="6">
        <v>2.0</v>
      </c>
      <c r="AA279" s="6">
        <v>0.0</v>
      </c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</row>
    <row r="280">
      <c r="A280" s="5">
        <v>45398.0</v>
      </c>
      <c r="B280" s="6">
        <v>7.0</v>
      </c>
      <c r="C280" s="6">
        <v>42.0</v>
      </c>
      <c r="D280" s="6">
        <v>6.0</v>
      </c>
      <c r="E280" s="6">
        <v>690.0</v>
      </c>
      <c r="F280" s="6">
        <v>99.0</v>
      </c>
      <c r="G280" s="6">
        <v>0.0</v>
      </c>
      <c r="H280" s="4"/>
      <c r="I280" s="6">
        <v>7.0</v>
      </c>
      <c r="J280" s="6">
        <v>0.0</v>
      </c>
      <c r="K280" s="6">
        <v>0.0</v>
      </c>
      <c r="L280" s="6">
        <v>0.0</v>
      </c>
      <c r="M280" s="6">
        <v>7.0</v>
      </c>
      <c r="N280" s="6">
        <v>5.0</v>
      </c>
      <c r="O280" s="6">
        <v>0.0</v>
      </c>
      <c r="P280" s="6">
        <v>2.0</v>
      </c>
      <c r="Q280" s="6">
        <v>1.0</v>
      </c>
      <c r="R280" s="6">
        <v>2.0</v>
      </c>
      <c r="S280" s="6">
        <v>0.0</v>
      </c>
      <c r="T280" s="6">
        <v>2.0</v>
      </c>
      <c r="U280" s="6">
        <v>0.0</v>
      </c>
      <c r="V280" s="6">
        <v>3.0</v>
      </c>
      <c r="W280" s="6">
        <v>0.0</v>
      </c>
      <c r="X280" s="6">
        <v>1.0</v>
      </c>
      <c r="Y280" s="6">
        <v>6.0</v>
      </c>
      <c r="Z280" s="6">
        <v>2.0</v>
      </c>
      <c r="AA280" s="6">
        <v>0.0</v>
      </c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</row>
    <row r="281">
      <c r="A281" s="5">
        <v>45399.0</v>
      </c>
      <c r="B281" s="6">
        <v>9.0</v>
      </c>
      <c r="C281" s="6">
        <v>90.0</v>
      </c>
      <c r="D281" s="6">
        <v>10.0</v>
      </c>
      <c r="E281" s="6">
        <v>1625.0</v>
      </c>
      <c r="F281" s="6">
        <v>181.0</v>
      </c>
      <c r="G281" s="6">
        <v>0.0</v>
      </c>
      <c r="H281" s="4"/>
      <c r="I281" s="6">
        <v>7.0</v>
      </c>
      <c r="J281" s="6">
        <v>1.0</v>
      </c>
      <c r="K281" s="6">
        <v>0.0</v>
      </c>
      <c r="L281" s="6">
        <v>0.0</v>
      </c>
      <c r="M281" s="6">
        <v>8.0</v>
      </c>
      <c r="N281" s="6">
        <v>4.0</v>
      </c>
      <c r="O281" s="6">
        <v>0.0</v>
      </c>
      <c r="P281" s="6">
        <v>5.0</v>
      </c>
      <c r="Q281" s="6">
        <v>1.0</v>
      </c>
      <c r="R281" s="6">
        <v>5.0</v>
      </c>
      <c r="S281" s="6">
        <v>6.0</v>
      </c>
      <c r="T281" s="6">
        <v>1.0</v>
      </c>
      <c r="U281" s="6">
        <v>0.0</v>
      </c>
      <c r="V281" s="6">
        <v>6.0</v>
      </c>
      <c r="W281" s="6">
        <v>0.0</v>
      </c>
      <c r="X281" s="6">
        <v>8.0</v>
      </c>
      <c r="Y281" s="6">
        <v>8.0</v>
      </c>
      <c r="Z281" s="6">
        <v>1.0</v>
      </c>
      <c r="AA281" s="6">
        <v>0.0</v>
      </c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</row>
    <row r="282">
      <c r="A282" s="5">
        <v>45400.0</v>
      </c>
      <c r="B282" s="6">
        <v>8.0</v>
      </c>
      <c r="C282" s="6">
        <v>48.0</v>
      </c>
      <c r="D282" s="6">
        <v>6.0</v>
      </c>
      <c r="E282" s="6">
        <v>689.0</v>
      </c>
      <c r="F282" s="6">
        <v>86.0</v>
      </c>
      <c r="G282" s="6">
        <v>0.0</v>
      </c>
      <c r="H282" s="4"/>
      <c r="I282" s="6">
        <v>6.0</v>
      </c>
      <c r="J282" s="6">
        <v>1.0</v>
      </c>
      <c r="K282" s="6">
        <v>0.0</v>
      </c>
      <c r="L282" s="6">
        <v>0.0</v>
      </c>
      <c r="M282" s="6">
        <v>7.0</v>
      </c>
      <c r="N282" s="6">
        <v>5.0</v>
      </c>
      <c r="O282" s="6">
        <v>0.0</v>
      </c>
      <c r="P282" s="6">
        <v>3.0</v>
      </c>
      <c r="Q282" s="6">
        <v>3.0</v>
      </c>
      <c r="R282" s="6">
        <v>2.0</v>
      </c>
      <c r="S282" s="6">
        <v>1.0</v>
      </c>
      <c r="T282" s="6">
        <v>1.0</v>
      </c>
      <c r="U282" s="6">
        <v>0.0</v>
      </c>
      <c r="V282" s="6">
        <v>5.0</v>
      </c>
      <c r="W282" s="6">
        <v>1.0</v>
      </c>
      <c r="X282" s="6">
        <v>2.0</v>
      </c>
      <c r="Y282" s="6">
        <v>6.0</v>
      </c>
      <c r="Z282" s="6">
        <v>2.0</v>
      </c>
      <c r="AA282" s="6">
        <v>0.0</v>
      </c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</row>
    <row r="283">
      <c r="A283" s="5">
        <v>45401.0</v>
      </c>
      <c r="B283" s="6">
        <v>8.0</v>
      </c>
      <c r="C283" s="6">
        <v>94.0</v>
      </c>
      <c r="D283" s="6">
        <v>12.0</v>
      </c>
      <c r="E283" s="6">
        <v>1581.0</v>
      </c>
      <c r="F283" s="6">
        <v>198.0</v>
      </c>
      <c r="G283" s="6">
        <v>0.0</v>
      </c>
      <c r="H283" s="4"/>
      <c r="I283" s="6">
        <v>4.0</v>
      </c>
      <c r="J283" s="6">
        <v>2.0</v>
      </c>
      <c r="K283" s="6">
        <v>0.0</v>
      </c>
      <c r="L283" s="6">
        <v>0.0</v>
      </c>
      <c r="M283" s="6">
        <v>6.0</v>
      </c>
      <c r="N283" s="6">
        <v>4.0</v>
      </c>
      <c r="O283" s="6">
        <v>0.0</v>
      </c>
      <c r="P283" s="6">
        <v>4.0</v>
      </c>
      <c r="Q283" s="6">
        <v>3.0</v>
      </c>
      <c r="R283" s="6">
        <v>4.0</v>
      </c>
      <c r="S283" s="6">
        <v>0.0</v>
      </c>
      <c r="T283" s="6">
        <v>0.0</v>
      </c>
      <c r="U283" s="6">
        <v>0.0</v>
      </c>
      <c r="V283" s="6">
        <v>7.0</v>
      </c>
      <c r="W283" s="6">
        <v>0.0</v>
      </c>
      <c r="X283" s="6">
        <v>1.0</v>
      </c>
      <c r="Y283" s="6">
        <v>8.0</v>
      </c>
      <c r="Z283" s="6">
        <v>0.0</v>
      </c>
      <c r="AA283" s="6">
        <v>0.0</v>
      </c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</row>
    <row r="284">
      <c r="A284" s="5">
        <v>45402.0</v>
      </c>
      <c r="B284" s="6">
        <v>2.0</v>
      </c>
      <c r="C284" s="6">
        <v>19.0</v>
      </c>
      <c r="D284" s="6">
        <v>10.0</v>
      </c>
      <c r="E284" s="6">
        <v>264.0</v>
      </c>
      <c r="F284" s="6">
        <v>132.0</v>
      </c>
      <c r="G284" s="6">
        <v>0.0</v>
      </c>
      <c r="H284" s="4"/>
      <c r="I284" s="6">
        <v>2.0</v>
      </c>
      <c r="J284" s="6">
        <v>0.0</v>
      </c>
      <c r="K284" s="6">
        <v>0.0</v>
      </c>
      <c r="L284" s="6">
        <v>0.0</v>
      </c>
      <c r="M284" s="6">
        <v>2.0</v>
      </c>
      <c r="N284" s="6">
        <v>1.0</v>
      </c>
      <c r="O284" s="6">
        <v>0.0</v>
      </c>
      <c r="P284" s="6">
        <v>1.0</v>
      </c>
      <c r="Q284" s="6">
        <v>0.0</v>
      </c>
      <c r="R284" s="6">
        <v>1.0</v>
      </c>
      <c r="S284" s="6">
        <v>0.0</v>
      </c>
      <c r="T284" s="6">
        <v>0.0</v>
      </c>
      <c r="U284" s="6">
        <v>0.0</v>
      </c>
      <c r="V284" s="6">
        <v>1.0</v>
      </c>
      <c r="W284" s="6">
        <v>0.0</v>
      </c>
      <c r="X284" s="6">
        <v>3.0</v>
      </c>
      <c r="Y284" s="6">
        <v>1.0</v>
      </c>
      <c r="Z284" s="6">
        <v>0.0</v>
      </c>
      <c r="AA284" s="6">
        <v>0.0</v>
      </c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</row>
    <row r="285">
      <c r="A285" s="5">
        <v>45403.0</v>
      </c>
      <c r="B285" s="6">
        <v>0.0</v>
      </c>
      <c r="C285" s="6">
        <v>0.0</v>
      </c>
      <c r="D285" s="6">
        <v>0.0</v>
      </c>
      <c r="E285" s="6">
        <v>0.0</v>
      </c>
      <c r="F285" s="6">
        <v>0.0</v>
      </c>
      <c r="G285" s="6">
        <v>0.0</v>
      </c>
      <c r="H285" s="4"/>
      <c r="I285" s="6">
        <v>0.0</v>
      </c>
      <c r="J285" s="6">
        <v>0.0</v>
      </c>
      <c r="K285" s="6">
        <v>0.0</v>
      </c>
      <c r="L285" s="6">
        <v>0.0</v>
      </c>
      <c r="M285" s="6">
        <v>0.0</v>
      </c>
      <c r="N285" s="6">
        <v>0.0</v>
      </c>
      <c r="O285" s="6">
        <v>0.0</v>
      </c>
      <c r="P285" s="6">
        <v>0.0</v>
      </c>
      <c r="Q285" s="6">
        <v>0.0</v>
      </c>
      <c r="R285" s="6">
        <v>0.0</v>
      </c>
      <c r="S285" s="6">
        <v>0.0</v>
      </c>
      <c r="T285" s="6">
        <v>0.0</v>
      </c>
      <c r="U285" s="6">
        <v>0.0</v>
      </c>
      <c r="V285" s="6">
        <v>0.0</v>
      </c>
      <c r="W285" s="6">
        <v>0.0</v>
      </c>
      <c r="X285" s="6">
        <v>0.0</v>
      </c>
      <c r="Y285" s="6">
        <v>0.0</v>
      </c>
      <c r="Z285" s="6">
        <v>0.0</v>
      </c>
      <c r="AA285" s="6">
        <v>0.0</v>
      </c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</row>
    <row r="286">
      <c r="A286" s="5">
        <v>45404.0</v>
      </c>
      <c r="B286" s="6">
        <v>2.0</v>
      </c>
      <c r="C286" s="6">
        <v>10.0</v>
      </c>
      <c r="D286" s="6">
        <v>5.0</v>
      </c>
      <c r="E286" s="6">
        <v>229.0</v>
      </c>
      <c r="F286" s="6">
        <v>114.0</v>
      </c>
      <c r="G286" s="6">
        <v>0.0</v>
      </c>
      <c r="H286" s="4"/>
      <c r="I286" s="6">
        <v>2.0</v>
      </c>
      <c r="J286" s="6">
        <v>0.0</v>
      </c>
      <c r="K286" s="6">
        <v>0.0</v>
      </c>
      <c r="L286" s="6">
        <v>0.0</v>
      </c>
      <c r="M286" s="6">
        <v>2.0</v>
      </c>
      <c r="N286" s="6">
        <v>1.0</v>
      </c>
      <c r="O286" s="6">
        <v>0.0</v>
      </c>
      <c r="P286" s="6">
        <v>1.0</v>
      </c>
      <c r="Q286" s="6">
        <v>0.0</v>
      </c>
      <c r="R286" s="6">
        <v>0.0</v>
      </c>
      <c r="S286" s="6">
        <v>0.0</v>
      </c>
      <c r="T286" s="6">
        <v>0.0</v>
      </c>
      <c r="U286" s="6">
        <v>0.0</v>
      </c>
      <c r="V286" s="6">
        <v>0.0</v>
      </c>
      <c r="W286" s="6">
        <v>1.0</v>
      </c>
      <c r="X286" s="6">
        <v>4.0</v>
      </c>
      <c r="Y286" s="6">
        <v>2.0</v>
      </c>
      <c r="Z286" s="6">
        <v>1.0</v>
      </c>
      <c r="AA286" s="6">
        <v>0.0</v>
      </c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</row>
    <row r="287">
      <c r="A287" s="5">
        <v>45405.0</v>
      </c>
      <c r="B287" s="6">
        <v>5.0</v>
      </c>
      <c r="C287" s="6">
        <v>75.0</v>
      </c>
      <c r="D287" s="6">
        <v>15.0</v>
      </c>
      <c r="E287" s="6">
        <v>1139.0</v>
      </c>
      <c r="F287" s="6">
        <v>228.0</v>
      </c>
      <c r="G287" s="6">
        <v>0.0</v>
      </c>
      <c r="H287" s="4"/>
      <c r="I287" s="6">
        <v>5.0</v>
      </c>
      <c r="J287" s="6">
        <v>0.0</v>
      </c>
      <c r="K287" s="6">
        <v>0.0</v>
      </c>
      <c r="L287" s="6">
        <v>0.0</v>
      </c>
      <c r="M287" s="6">
        <v>5.0</v>
      </c>
      <c r="N287" s="6">
        <v>2.0</v>
      </c>
      <c r="O287" s="6">
        <v>0.0</v>
      </c>
      <c r="P287" s="6">
        <v>3.0</v>
      </c>
      <c r="Q287" s="6">
        <v>1.0</v>
      </c>
      <c r="R287" s="6">
        <v>3.0</v>
      </c>
      <c r="S287" s="6">
        <v>3.0</v>
      </c>
      <c r="T287" s="6">
        <v>0.0</v>
      </c>
      <c r="U287" s="6">
        <v>0.0</v>
      </c>
      <c r="V287" s="6">
        <v>4.0</v>
      </c>
      <c r="W287" s="6">
        <v>1.0</v>
      </c>
      <c r="X287" s="6">
        <v>9.0</v>
      </c>
      <c r="Y287" s="6">
        <v>4.0</v>
      </c>
      <c r="Z287" s="6">
        <v>1.0</v>
      </c>
      <c r="AA287" s="6">
        <v>0.0</v>
      </c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</row>
    <row r="288">
      <c r="A288" s="5">
        <v>45406.0</v>
      </c>
      <c r="B288" s="6">
        <v>11.0</v>
      </c>
      <c r="C288" s="6">
        <v>87.0</v>
      </c>
      <c r="D288" s="6">
        <v>8.0</v>
      </c>
      <c r="E288" s="6">
        <v>1275.0</v>
      </c>
      <c r="F288" s="6">
        <v>116.0</v>
      </c>
      <c r="G288" s="6">
        <v>0.0</v>
      </c>
      <c r="H288" s="4"/>
      <c r="I288" s="6">
        <v>7.0</v>
      </c>
      <c r="J288" s="6">
        <v>2.0</v>
      </c>
      <c r="K288" s="6">
        <v>0.0</v>
      </c>
      <c r="L288" s="6">
        <v>0.0</v>
      </c>
      <c r="M288" s="6">
        <v>9.0</v>
      </c>
      <c r="N288" s="6">
        <v>9.0</v>
      </c>
      <c r="O288" s="6">
        <v>0.0</v>
      </c>
      <c r="P288" s="6">
        <v>2.0</v>
      </c>
      <c r="Q288" s="6">
        <v>6.0</v>
      </c>
      <c r="R288" s="6">
        <v>1.0</v>
      </c>
      <c r="S288" s="6">
        <v>3.0</v>
      </c>
      <c r="T288" s="6">
        <v>2.0</v>
      </c>
      <c r="U288" s="6">
        <v>0.0</v>
      </c>
      <c r="V288" s="6">
        <v>7.0</v>
      </c>
      <c r="W288" s="6">
        <v>0.0</v>
      </c>
      <c r="X288" s="6">
        <v>3.0</v>
      </c>
      <c r="Y288" s="6">
        <v>10.0</v>
      </c>
      <c r="Z288" s="6">
        <v>2.0</v>
      </c>
      <c r="AA288" s="6">
        <v>0.0</v>
      </c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</row>
    <row r="289">
      <c r="A289" s="5">
        <v>45407.0</v>
      </c>
      <c r="B289" s="6">
        <v>5.0</v>
      </c>
      <c r="C289" s="6">
        <v>29.0</v>
      </c>
      <c r="D289" s="6">
        <v>6.0</v>
      </c>
      <c r="E289" s="6">
        <v>365.0</v>
      </c>
      <c r="F289" s="6">
        <v>73.0</v>
      </c>
      <c r="G289" s="6">
        <v>0.0</v>
      </c>
      <c r="H289" s="4"/>
      <c r="I289" s="6">
        <v>5.0</v>
      </c>
      <c r="J289" s="6">
        <v>0.0</v>
      </c>
      <c r="K289" s="6">
        <v>0.0</v>
      </c>
      <c r="L289" s="6">
        <v>0.0</v>
      </c>
      <c r="M289" s="6">
        <v>5.0</v>
      </c>
      <c r="N289" s="6">
        <v>2.0</v>
      </c>
      <c r="O289" s="6">
        <v>0.0</v>
      </c>
      <c r="P289" s="6">
        <v>3.0</v>
      </c>
      <c r="Q289" s="6">
        <v>0.0</v>
      </c>
      <c r="R289" s="6">
        <v>3.0</v>
      </c>
      <c r="S289" s="6">
        <v>0.0</v>
      </c>
      <c r="T289" s="6">
        <v>0.0</v>
      </c>
      <c r="U289" s="6">
        <v>0.0</v>
      </c>
      <c r="V289" s="6">
        <v>3.0</v>
      </c>
      <c r="W289" s="6">
        <v>1.0</v>
      </c>
      <c r="X289" s="6">
        <v>0.0</v>
      </c>
      <c r="Y289" s="6">
        <v>4.0</v>
      </c>
      <c r="Z289" s="6">
        <v>1.0</v>
      </c>
      <c r="AA289" s="6">
        <v>0.0</v>
      </c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</row>
    <row r="290">
      <c r="A290" s="5">
        <v>45408.0</v>
      </c>
      <c r="B290" s="6">
        <v>16.0</v>
      </c>
      <c r="C290" s="6">
        <v>166.0</v>
      </c>
      <c r="D290" s="6">
        <v>10.0</v>
      </c>
      <c r="E290" s="6">
        <v>2313.0</v>
      </c>
      <c r="F290" s="6">
        <v>145.0</v>
      </c>
      <c r="G290" s="6">
        <v>0.0</v>
      </c>
      <c r="H290" s="4"/>
      <c r="I290" s="6">
        <v>10.0</v>
      </c>
      <c r="J290" s="6">
        <v>3.0</v>
      </c>
      <c r="K290" s="6">
        <v>0.0</v>
      </c>
      <c r="L290" s="6">
        <v>0.0</v>
      </c>
      <c r="M290" s="6">
        <v>13.0</v>
      </c>
      <c r="N290" s="6">
        <v>10.0</v>
      </c>
      <c r="O290" s="6">
        <v>0.0</v>
      </c>
      <c r="P290" s="6">
        <v>6.0</v>
      </c>
      <c r="Q290" s="6">
        <v>6.0</v>
      </c>
      <c r="R290" s="6">
        <v>4.0</v>
      </c>
      <c r="S290" s="6">
        <v>5.0</v>
      </c>
      <c r="T290" s="6">
        <v>1.0</v>
      </c>
      <c r="U290" s="6">
        <v>0.0</v>
      </c>
      <c r="V290" s="6">
        <v>10.0</v>
      </c>
      <c r="W290" s="6">
        <v>0.0</v>
      </c>
      <c r="X290" s="6">
        <v>13.0</v>
      </c>
      <c r="Y290" s="6">
        <v>11.0</v>
      </c>
      <c r="Z290" s="6">
        <v>1.0</v>
      </c>
      <c r="AA290" s="6">
        <v>0.0</v>
      </c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</row>
    <row r="291">
      <c r="A291" s="5">
        <v>45409.0</v>
      </c>
      <c r="B291" s="6">
        <v>4.0</v>
      </c>
      <c r="C291" s="6">
        <v>38.0</v>
      </c>
      <c r="D291" s="6">
        <v>10.0</v>
      </c>
      <c r="E291" s="6">
        <v>808.0</v>
      </c>
      <c r="F291" s="6">
        <v>202.0</v>
      </c>
      <c r="G291" s="6">
        <v>0.0</v>
      </c>
      <c r="H291" s="4"/>
      <c r="I291" s="6">
        <v>4.0</v>
      </c>
      <c r="J291" s="6">
        <v>0.0</v>
      </c>
      <c r="K291" s="6">
        <v>0.0</v>
      </c>
      <c r="L291" s="6">
        <v>0.0</v>
      </c>
      <c r="M291" s="6">
        <v>4.0</v>
      </c>
      <c r="N291" s="6">
        <v>3.0</v>
      </c>
      <c r="O291" s="6">
        <v>0.0</v>
      </c>
      <c r="P291" s="6">
        <v>1.0</v>
      </c>
      <c r="Q291" s="6">
        <v>1.0</v>
      </c>
      <c r="R291" s="6">
        <v>1.0</v>
      </c>
      <c r="S291" s="6">
        <v>3.0</v>
      </c>
      <c r="T291" s="6">
        <v>0.0</v>
      </c>
      <c r="U291" s="6">
        <v>0.0</v>
      </c>
      <c r="V291" s="6">
        <v>2.0</v>
      </c>
      <c r="W291" s="6">
        <v>0.0</v>
      </c>
      <c r="X291" s="6">
        <v>15.0</v>
      </c>
      <c r="Y291" s="6">
        <v>2.0</v>
      </c>
      <c r="Z291" s="6">
        <v>0.0</v>
      </c>
      <c r="AA291" s="6">
        <v>0.0</v>
      </c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</row>
    <row r="292">
      <c r="A292" s="5">
        <v>45410.0</v>
      </c>
      <c r="B292" s="6">
        <v>0.0</v>
      </c>
      <c r="C292" s="6">
        <v>0.0</v>
      </c>
      <c r="D292" s="6">
        <v>0.0</v>
      </c>
      <c r="E292" s="6">
        <v>0.0</v>
      </c>
      <c r="F292" s="6">
        <v>0.0</v>
      </c>
      <c r="G292" s="6">
        <v>0.0</v>
      </c>
      <c r="H292" s="4"/>
      <c r="I292" s="6">
        <v>0.0</v>
      </c>
      <c r="J292" s="6">
        <v>0.0</v>
      </c>
      <c r="K292" s="6">
        <v>0.0</v>
      </c>
      <c r="L292" s="6">
        <v>0.0</v>
      </c>
      <c r="M292" s="6">
        <v>0.0</v>
      </c>
      <c r="N292" s="6">
        <v>0.0</v>
      </c>
      <c r="O292" s="6">
        <v>0.0</v>
      </c>
      <c r="P292" s="6">
        <v>0.0</v>
      </c>
      <c r="Q292" s="6">
        <v>0.0</v>
      </c>
      <c r="R292" s="6">
        <v>0.0</v>
      </c>
      <c r="S292" s="6">
        <v>0.0</v>
      </c>
      <c r="T292" s="6">
        <v>0.0</v>
      </c>
      <c r="U292" s="6">
        <v>0.0</v>
      </c>
      <c r="V292" s="6">
        <v>0.0</v>
      </c>
      <c r="W292" s="6">
        <v>0.0</v>
      </c>
      <c r="X292" s="6">
        <v>0.0</v>
      </c>
      <c r="Y292" s="6">
        <v>0.0</v>
      </c>
      <c r="Z292" s="6">
        <v>0.0</v>
      </c>
      <c r="AA292" s="6">
        <v>0.0</v>
      </c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</row>
    <row r="293">
      <c r="A293" s="5">
        <v>45411.0</v>
      </c>
      <c r="B293" s="6">
        <v>10.0</v>
      </c>
      <c r="C293" s="6">
        <v>102.0</v>
      </c>
      <c r="D293" s="6">
        <v>10.0</v>
      </c>
      <c r="E293" s="6">
        <v>1798.0</v>
      </c>
      <c r="F293" s="6">
        <v>180.0</v>
      </c>
      <c r="G293" s="6">
        <v>0.0</v>
      </c>
      <c r="H293" s="4"/>
      <c r="I293" s="6">
        <v>7.0</v>
      </c>
      <c r="J293" s="6">
        <v>0.0</v>
      </c>
      <c r="K293" s="6">
        <v>1.0</v>
      </c>
      <c r="L293" s="6">
        <v>0.0</v>
      </c>
      <c r="M293" s="6">
        <v>8.0</v>
      </c>
      <c r="N293" s="6">
        <v>8.0</v>
      </c>
      <c r="O293" s="6">
        <v>0.0</v>
      </c>
      <c r="P293" s="6">
        <v>2.0</v>
      </c>
      <c r="Q293" s="6">
        <v>4.0</v>
      </c>
      <c r="R293" s="6">
        <v>1.0</v>
      </c>
      <c r="S293" s="6">
        <v>4.0</v>
      </c>
      <c r="T293" s="6">
        <v>0.0</v>
      </c>
      <c r="U293" s="6">
        <v>0.0</v>
      </c>
      <c r="V293" s="6">
        <v>5.0</v>
      </c>
      <c r="W293" s="6">
        <v>1.0</v>
      </c>
      <c r="X293" s="6">
        <v>9.0</v>
      </c>
      <c r="Y293" s="6">
        <v>7.0</v>
      </c>
      <c r="Z293" s="6">
        <v>1.0</v>
      </c>
      <c r="AA293" s="6">
        <v>0.0</v>
      </c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</row>
    <row r="294">
      <c r="A294" s="5">
        <v>45412.0</v>
      </c>
      <c r="B294" s="6">
        <v>16.0</v>
      </c>
      <c r="C294" s="6">
        <v>156.0</v>
      </c>
      <c r="D294" s="6">
        <v>10.0</v>
      </c>
      <c r="E294" s="6">
        <v>2435.0</v>
      </c>
      <c r="F294" s="6">
        <v>152.0</v>
      </c>
      <c r="G294" s="6">
        <v>0.0</v>
      </c>
      <c r="H294" s="4"/>
      <c r="I294" s="6">
        <v>6.0</v>
      </c>
      <c r="J294" s="6">
        <v>0.0</v>
      </c>
      <c r="K294" s="6">
        <v>2.0</v>
      </c>
      <c r="L294" s="6">
        <v>1.0</v>
      </c>
      <c r="M294" s="6">
        <v>9.0</v>
      </c>
      <c r="N294" s="6">
        <v>10.0</v>
      </c>
      <c r="O294" s="6">
        <v>0.0</v>
      </c>
      <c r="P294" s="6">
        <v>5.0</v>
      </c>
      <c r="Q294" s="6">
        <v>6.0</v>
      </c>
      <c r="R294" s="6">
        <v>4.0</v>
      </c>
      <c r="S294" s="6">
        <v>1.0</v>
      </c>
      <c r="T294" s="6">
        <v>2.0</v>
      </c>
      <c r="U294" s="6">
        <v>0.0</v>
      </c>
      <c r="V294" s="6">
        <v>10.0</v>
      </c>
      <c r="W294" s="6">
        <v>0.0</v>
      </c>
      <c r="X294" s="6">
        <v>5.0</v>
      </c>
      <c r="Y294" s="6">
        <v>12.0</v>
      </c>
      <c r="Z294" s="6">
        <v>2.0</v>
      </c>
      <c r="AA294" s="6">
        <v>0.0</v>
      </c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</row>
    <row r="295">
      <c r="A295" s="5">
        <v>45413.0</v>
      </c>
      <c r="B295" s="6">
        <v>0.0</v>
      </c>
      <c r="C295" s="6">
        <v>0.0</v>
      </c>
      <c r="D295" s="6">
        <v>0.0</v>
      </c>
      <c r="E295" s="6">
        <v>0.0</v>
      </c>
      <c r="F295" s="6">
        <v>0.0</v>
      </c>
      <c r="G295" s="6">
        <v>0.0</v>
      </c>
      <c r="H295" s="4"/>
      <c r="I295" s="6">
        <v>0.0</v>
      </c>
      <c r="J295" s="6">
        <v>0.0</v>
      </c>
      <c r="K295" s="6">
        <v>0.0</v>
      </c>
      <c r="L295" s="6">
        <v>0.0</v>
      </c>
      <c r="M295" s="6">
        <v>0.0</v>
      </c>
      <c r="N295" s="6">
        <v>0.0</v>
      </c>
      <c r="O295" s="6">
        <v>0.0</v>
      </c>
      <c r="P295" s="6">
        <v>0.0</v>
      </c>
      <c r="Q295" s="6">
        <v>0.0</v>
      </c>
      <c r="R295" s="6">
        <v>0.0</v>
      </c>
      <c r="S295" s="6">
        <v>0.0</v>
      </c>
      <c r="T295" s="6">
        <v>0.0</v>
      </c>
      <c r="U295" s="6">
        <v>0.0</v>
      </c>
      <c r="V295" s="6">
        <v>0.0</v>
      </c>
      <c r="W295" s="6">
        <v>0.0</v>
      </c>
      <c r="X295" s="6">
        <v>0.0</v>
      </c>
      <c r="Y295" s="6">
        <v>0.0</v>
      </c>
      <c r="Z295" s="6">
        <v>0.0</v>
      </c>
      <c r="AA295" s="6">
        <v>0.0</v>
      </c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</row>
    <row r="296">
      <c r="A296" s="5">
        <v>45414.0</v>
      </c>
      <c r="B296" s="6">
        <v>17.0</v>
      </c>
      <c r="C296" s="6">
        <v>101.0</v>
      </c>
      <c r="D296" s="6">
        <v>6.0</v>
      </c>
      <c r="E296" s="6">
        <v>1312.0</v>
      </c>
      <c r="F296" s="6">
        <v>77.0</v>
      </c>
      <c r="G296" s="6">
        <v>0.0</v>
      </c>
      <c r="H296" s="4"/>
      <c r="I296" s="6">
        <v>8.0</v>
      </c>
      <c r="J296" s="6">
        <v>3.0</v>
      </c>
      <c r="K296" s="6">
        <v>1.0</v>
      </c>
      <c r="L296" s="6">
        <v>0.0</v>
      </c>
      <c r="M296" s="6">
        <v>12.0</v>
      </c>
      <c r="N296" s="6">
        <v>15.0</v>
      </c>
      <c r="O296" s="6">
        <v>0.0</v>
      </c>
      <c r="P296" s="6">
        <v>2.0</v>
      </c>
      <c r="Q296" s="6">
        <v>7.0</v>
      </c>
      <c r="R296" s="6">
        <v>2.0</v>
      </c>
      <c r="S296" s="6">
        <v>7.0</v>
      </c>
      <c r="T296" s="6">
        <v>1.0</v>
      </c>
      <c r="U296" s="6">
        <v>0.0</v>
      </c>
      <c r="V296" s="6">
        <v>9.0</v>
      </c>
      <c r="W296" s="6">
        <v>0.0</v>
      </c>
      <c r="X296" s="6">
        <v>11.0</v>
      </c>
      <c r="Y296" s="6">
        <v>10.0</v>
      </c>
      <c r="Z296" s="6">
        <v>1.0</v>
      </c>
      <c r="AA296" s="6">
        <v>0.0</v>
      </c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</row>
    <row r="297">
      <c r="A297" s="5">
        <v>45415.0</v>
      </c>
      <c r="B297" s="6">
        <v>8.0</v>
      </c>
      <c r="C297" s="6">
        <v>74.0</v>
      </c>
      <c r="D297" s="6">
        <v>9.0</v>
      </c>
      <c r="E297" s="6">
        <v>923.0</v>
      </c>
      <c r="F297" s="6">
        <v>115.0</v>
      </c>
      <c r="G297" s="6">
        <v>0.0</v>
      </c>
      <c r="H297" s="4"/>
      <c r="I297" s="6">
        <v>6.0</v>
      </c>
      <c r="J297" s="6">
        <v>1.0</v>
      </c>
      <c r="K297" s="6">
        <v>0.0</v>
      </c>
      <c r="L297" s="6">
        <v>0.0</v>
      </c>
      <c r="M297" s="6">
        <v>7.0</v>
      </c>
      <c r="N297" s="6">
        <v>6.0</v>
      </c>
      <c r="O297" s="6">
        <v>0.0</v>
      </c>
      <c r="P297" s="6">
        <v>2.0</v>
      </c>
      <c r="Q297" s="6">
        <v>5.0</v>
      </c>
      <c r="R297" s="6">
        <v>2.0</v>
      </c>
      <c r="S297" s="6">
        <v>1.0</v>
      </c>
      <c r="T297" s="6">
        <v>0.0</v>
      </c>
      <c r="U297" s="6">
        <v>0.0</v>
      </c>
      <c r="V297" s="6">
        <v>7.0</v>
      </c>
      <c r="W297" s="6">
        <v>1.0</v>
      </c>
      <c r="X297" s="6">
        <v>3.0</v>
      </c>
      <c r="Y297" s="6">
        <v>7.0</v>
      </c>
      <c r="Z297" s="6">
        <v>1.0</v>
      </c>
      <c r="AA297" s="6">
        <v>0.0</v>
      </c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</row>
    <row r="298">
      <c r="A298" s="5">
        <v>45416.0</v>
      </c>
      <c r="B298" s="6">
        <v>1.0</v>
      </c>
      <c r="C298" s="6">
        <v>4.0</v>
      </c>
      <c r="D298" s="6">
        <v>4.0</v>
      </c>
      <c r="E298" s="6">
        <v>67.0</v>
      </c>
      <c r="F298" s="6">
        <v>67.0</v>
      </c>
      <c r="G298" s="6">
        <v>0.0</v>
      </c>
      <c r="H298" s="4"/>
      <c r="I298" s="6">
        <v>1.0</v>
      </c>
      <c r="J298" s="6">
        <v>0.0</v>
      </c>
      <c r="K298" s="6">
        <v>0.0</v>
      </c>
      <c r="L298" s="6">
        <v>0.0</v>
      </c>
      <c r="M298" s="6">
        <v>1.0</v>
      </c>
      <c r="N298" s="6">
        <v>0.0</v>
      </c>
      <c r="O298" s="6">
        <v>0.0</v>
      </c>
      <c r="P298" s="6">
        <v>1.0</v>
      </c>
      <c r="Q298" s="6">
        <v>0.0</v>
      </c>
      <c r="R298" s="6">
        <v>0.0</v>
      </c>
      <c r="S298" s="6">
        <v>0.0</v>
      </c>
      <c r="T298" s="6">
        <v>0.0</v>
      </c>
      <c r="U298" s="6">
        <v>0.0</v>
      </c>
      <c r="V298" s="6">
        <v>0.0</v>
      </c>
      <c r="W298" s="6">
        <v>0.0</v>
      </c>
      <c r="X298" s="6">
        <v>2.0</v>
      </c>
      <c r="Y298" s="6">
        <v>0.0</v>
      </c>
      <c r="Z298" s="6">
        <v>0.0</v>
      </c>
      <c r="AA298" s="6">
        <v>0.0</v>
      </c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</row>
    <row r="299">
      <c r="A299" s="5">
        <v>45417.0</v>
      </c>
      <c r="B299" s="6">
        <v>0.0</v>
      </c>
      <c r="C299" s="6">
        <v>0.0</v>
      </c>
      <c r="D299" s="6">
        <v>0.0</v>
      </c>
      <c r="E299" s="6">
        <v>0.0</v>
      </c>
      <c r="F299" s="6">
        <v>0.0</v>
      </c>
      <c r="G299" s="6">
        <v>0.0</v>
      </c>
      <c r="H299" s="4"/>
      <c r="I299" s="6">
        <v>0.0</v>
      </c>
      <c r="J299" s="6">
        <v>0.0</v>
      </c>
      <c r="K299" s="6">
        <v>0.0</v>
      </c>
      <c r="L299" s="6">
        <v>0.0</v>
      </c>
      <c r="M299" s="6">
        <v>0.0</v>
      </c>
      <c r="N299" s="6">
        <v>0.0</v>
      </c>
      <c r="O299" s="6">
        <v>0.0</v>
      </c>
      <c r="P299" s="6">
        <v>0.0</v>
      </c>
      <c r="Q299" s="6">
        <v>0.0</v>
      </c>
      <c r="R299" s="6">
        <v>0.0</v>
      </c>
      <c r="S299" s="6">
        <v>0.0</v>
      </c>
      <c r="T299" s="6">
        <v>0.0</v>
      </c>
      <c r="U299" s="6">
        <v>0.0</v>
      </c>
      <c r="V299" s="6">
        <v>0.0</v>
      </c>
      <c r="W299" s="6">
        <v>0.0</v>
      </c>
      <c r="X299" s="6">
        <v>0.0</v>
      </c>
      <c r="Y299" s="6">
        <v>0.0</v>
      </c>
      <c r="Z299" s="6">
        <v>0.0</v>
      </c>
      <c r="AA299" s="6">
        <v>0.0</v>
      </c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</row>
    <row r="300">
      <c r="A300" s="5">
        <v>45418.0</v>
      </c>
      <c r="B300" s="6">
        <v>10.0</v>
      </c>
      <c r="C300" s="6">
        <v>79.0</v>
      </c>
      <c r="D300" s="6">
        <v>8.0</v>
      </c>
      <c r="E300" s="6">
        <v>1265.0</v>
      </c>
      <c r="F300" s="6">
        <v>126.0</v>
      </c>
      <c r="G300" s="6">
        <v>0.0</v>
      </c>
      <c r="H300" s="4"/>
      <c r="I300" s="6">
        <v>10.0</v>
      </c>
      <c r="J300" s="6">
        <v>0.0</v>
      </c>
      <c r="K300" s="6">
        <v>0.0</v>
      </c>
      <c r="L300" s="6">
        <v>0.0</v>
      </c>
      <c r="M300" s="6">
        <v>10.0</v>
      </c>
      <c r="N300" s="6">
        <v>9.0</v>
      </c>
      <c r="O300" s="6">
        <v>0.0</v>
      </c>
      <c r="P300" s="6">
        <v>1.0</v>
      </c>
      <c r="Q300" s="6">
        <v>5.0</v>
      </c>
      <c r="R300" s="6">
        <v>0.0</v>
      </c>
      <c r="S300" s="6">
        <v>3.0</v>
      </c>
      <c r="T300" s="6">
        <v>2.0</v>
      </c>
      <c r="U300" s="6">
        <v>0.0</v>
      </c>
      <c r="V300" s="6">
        <v>5.0</v>
      </c>
      <c r="W300" s="6">
        <v>0.0</v>
      </c>
      <c r="X300" s="6">
        <v>14.0</v>
      </c>
      <c r="Y300" s="6">
        <v>6.0</v>
      </c>
      <c r="Z300" s="6">
        <v>2.0</v>
      </c>
      <c r="AA300" s="6">
        <v>0.0</v>
      </c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</row>
    <row r="301">
      <c r="A301" s="5">
        <v>45419.0</v>
      </c>
      <c r="B301" s="6">
        <v>21.0</v>
      </c>
      <c r="C301" s="6">
        <v>192.0</v>
      </c>
      <c r="D301" s="6">
        <v>9.0</v>
      </c>
      <c r="E301" s="6">
        <v>2777.0</v>
      </c>
      <c r="F301" s="6">
        <v>132.0</v>
      </c>
      <c r="G301" s="6">
        <v>0.0</v>
      </c>
      <c r="H301" s="4"/>
      <c r="I301" s="6">
        <v>11.0</v>
      </c>
      <c r="J301" s="6">
        <v>5.0</v>
      </c>
      <c r="K301" s="6">
        <v>0.0</v>
      </c>
      <c r="L301" s="6">
        <v>0.0</v>
      </c>
      <c r="M301" s="6">
        <v>16.0</v>
      </c>
      <c r="N301" s="6">
        <v>19.0</v>
      </c>
      <c r="O301" s="6">
        <v>0.0</v>
      </c>
      <c r="P301" s="6">
        <v>2.0</v>
      </c>
      <c r="Q301" s="6">
        <v>12.0</v>
      </c>
      <c r="R301" s="6">
        <v>2.0</v>
      </c>
      <c r="S301" s="6">
        <v>10.0</v>
      </c>
      <c r="T301" s="6">
        <v>0.0</v>
      </c>
      <c r="U301" s="6">
        <v>0.0</v>
      </c>
      <c r="V301" s="6">
        <v>14.0</v>
      </c>
      <c r="W301" s="6">
        <v>0.0</v>
      </c>
      <c r="X301" s="6">
        <v>13.0</v>
      </c>
      <c r="Y301" s="6">
        <v>16.0</v>
      </c>
      <c r="Z301" s="6">
        <v>0.0</v>
      </c>
      <c r="AA301" s="6">
        <v>0.0</v>
      </c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</row>
    <row r="302">
      <c r="A302" s="5">
        <v>45420.0</v>
      </c>
      <c r="B302" s="6">
        <v>0.0</v>
      </c>
      <c r="C302" s="6">
        <v>0.0</v>
      </c>
      <c r="D302" s="6">
        <v>0.0</v>
      </c>
      <c r="E302" s="6">
        <v>0.0</v>
      </c>
      <c r="F302" s="6">
        <v>0.0</v>
      </c>
      <c r="G302" s="6">
        <v>0.0</v>
      </c>
      <c r="H302" s="4"/>
      <c r="I302" s="6">
        <v>0.0</v>
      </c>
      <c r="J302" s="6">
        <v>0.0</v>
      </c>
      <c r="K302" s="6">
        <v>0.0</v>
      </c>
      <c r="L302" s="6">
        <v>0.0</v>
      </c>
      <c r="M302" s="6">
        <v>0.0</v>
      </c>
      <c r="N302" s="6">
        <v>0.0</v>
      </c>
      <c r="O302" s="6">
        <v>0.0</v>
      </c>
      <c r="P302" s="6">
        <v>0.0</v>
      </c>
      <c r="Q302" s="6">
        <v>0.0</v>
      </c>
      <c r="R302" s="6">
        <v>0.0</v>
      </c>
      <c r="S302" s="6">
        <v>0.0</v>
      </c>
      <c r="T302" s="6">
        <v>0.0</v>
      </c>
      <c r="U302" s="6">
        <v>0.0</v>
      </c>
      <c r="V302" s="6">
        <v>0.0</v>
      </c>
      <c r="W302" s="6">
        <v>0.0</v>
      </c>
      <c r="X302" s="6">
        <v>0.0</v>
      </c>
      <c r="Y302" s="6">
        <v>0.0</v>
      </c>
      <c r="Z302" s="6">
        <v>0.0</v>
      </c>
      <c r="AA302" s="6">
        <v>0.0</v>
      </c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</row>
    <row r="303">
      <c r="A303" s="5">
        <v>45421.0</v>
      </c>
      <c r="B303" s="6">
        <v>0.0</v>
      </c>
      <c r="C303" s="6">
        <v>0.0</v>
      </c>
      <c r="D303" s="6">
        <v>0.0</v>
      </c>
      <c r="E303" s="6">
        <v>0.0</v>
      </c>
      <c r="F303" s="6">
        <v>0.0</v>
      </c>
      <c r="G303" s="6">
        <v>0.0</v>
      </c>
      <c r="H303" s="4"/>
      <c r="I303" s="6">
        <v>0.0</v>
      </c>
      <c r="J303" s="6">
        <v>0.0</v>
      </c>
      <c r="K303" s="6">
        <v>0.0</v>
      </c>
      <c r="L303" s="6">
        <v>0.0</v>
      </c>
      <c r="M303" s="6">
        <v>0.0</v>
      </c>
      <c r="N303" s="6">
        <v>0.0</v>
      </c>
      <c r="O303" s="6">
        <v>0.0</v>
      </c>
      <c r="P303" s="6">
        <v>0.0</v>
      </c>
      <c r="Q303" s="6">
        <v>0.0</v>
      </c>
      <c r="R303" s="6">
        <v>0.0</v>
      </c>
      <c r="S303" s="6">
        <v>0.0</v>
      </c>
      <c r="T303" s="6">
        <v>0.0</v>
      </c>
      <c r="U303" s="6">
        <v>0.0</v>
      </c>
      <c r="V303" s="6">
        <v>0.0</v>
      </c>
      <c r="W303" s="6">
        <v>0.0</v>
      </c>
      <c r="X303" s="6">
        <v>0.0</v>
      </c>
      <c r="Y303" s="6">
        <v>0.0</v>
      </c>
      <c r="Z303" s="6">
        <v>0.0</v>
      </c>
      <c r="AA303" s="6">
        <v>0.0</v>
      </c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</row>
    <row r="304">
      <c r="A304" s="5">
        <v>45422.0</v>
      </c>
      <c r="B304" s="6">
        <v>9.0</v>
      </c>
      <c r="C304" s="6">
        <v>71.0</v>
      </c>
      <c r="D304" s="6">
        <v>8.0</v>
      </c>
      <c r="E304" s="6">
        <v>988.0</v>
      </c>
      <c r="F304" s="6">
        <v>110.0</v>
      </c>
      <c r="G304" s="6">
        <v>0.0</v>
      </c>
      <c r="H304" s="4"/>
      <c r="I304" s="6">
        <v>5.0</v>
      </c>
      <c r="J304" s="6">
        <v>2.0</v>
      </c>
      <c r="K304" s="6">
        <v>0.0</v>
      </c>
      <c r="L304" s="6">
        <v>0.0</v>
      </c>
      <c r="M304" s="6">
        <v>7.0</v>
      </c>
      <c r="N304" s="6">
        <v>8.0</v>
      </c>
      <c r="O304" s="6">
        <v>0.0</v>
      </c>
      <c r="P304" s="6">
        <v>1.0</v>
      </c>
      <c r="Q304" s="6">
        <v>6.0</v>
      </c>
      <c r="R304" s="6">
        <v>1.0</v>
      </c>
      <c r="S304" s="6">
        <v>1.0</v>
      </c>
      <c r="T304" s="6">
        <v>1.0</v>
      </c>
      <c r="U304" s="6">
        <v>0.0</v>
      </c>
      <c r="V304" s="6">
        <v>7.0</v>
      </c>
      <c r="W304" s="6">
        <v>0.0</v>
      </c>
      <c r="X304" s="6">
        <v>4.0</v>
      </c>
      <c r="Y304" s="6">
        <v>9.0</v>
      </c>
      <c r="Z304" s="6">
        <v>1.0</v>
      </c>
      <c r="AA304" s="6">
        <v>0.0</v>
      </c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</row>
    <row r="305">
      <c r="A305" s="5">
        <v>45423.0</v>
      </c>
      <c r="B305" s="6">
        <v>5.0</v>
      </c>
      <c r="C305" s="6">
        <v>50.0</v>
      </c>
      <c r="D305" s="6">
        <v>10.0</v>
      </c>
      <c r="E305" s="6">
        <v>693.0</v>
      </c>
      <c r="F305" s="6">
        <v>139.0</v>
      </c>
      <c r="G305" s="6">
        <v>0.0</v>
      </c>
      <c r="H305" s="4"/>
      <c r="I305" s="6">
        <v>3.0</v>
      </c>
      <c r="J305" s="6">
        <v>1.0</v>
      </c>
      <c r="K305" s="6">
        <v>0.0</v>
      </c>
      <c r="L305" s="6">
        <v>0.0</v>
      </c>
      <c r="M305" s="6">
        <v>4.0</v>
      </c>
      <c r="N305" s="6">
        <v>3.0</v>
      </c>
      <c r="O305" s="6">
        <v>0.0</v>
      </c>
      <c r="P305" s="6">
        <v>2.0</v>
      </c>
      <c r="Q305" s="6">
        <v>2.0</v>
      </c>
      <c r="R305" s="6">
        <v>2.0</v>
      </c>
      <c r="S305" s="6">
        <v>1.0</v>
      </c>
      <c r="T305" s="6">
        <v>0.0</v>
      </c>
      <c r="U305" s="6">
        <v>0.0</v>
      </c>
      <c r="V305" s="6">
        <v>4.0</v>
      </c>
      <c r="W305" s="6">
        <v>0.0</v>
      </c>
      <c r="X305" s="6">
        <v>3.0</v>
      </c>
      <c r="Y305" s="6">
        <v>4.0</v>
      </c>
      <c r="Z305" s="6">
        <v>0.0</v>
      </c>
      <c r="AA305" s="6">
        <v>0.0</v>
      </c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</row>
    <row r="306">
      <c r="A306" s="5">
        <v>45424.0</v>
      </c>
      <c r="B306" s="6">
        <v>0.0</v>
      </c>
      <c r="C306" s="6">
        <v>0.0</v>
      </c>
      <c r="D306" s="6">
        <v>0.0</v>
      </c>
      <c r="E306" s="6">
        <v>0.0</v>
      </c>
      <c r="F306" s="6">
        <v>0.0</v>
      </c>
      <c r="G306" s="6">
        <v>0.0</v>
      </c>
      <c r="H306" s="4"/>
      <c r="I306" s="6">
        <v>0.0</v>
      </c>
      <c r="J306" s="6">
        <v>0.0</v>
      </c>
      <c r="K306" s="6">
        <v>0.0</v>
      </c>
      <c r="L306" s="6">
        <v>0.0</v>
      </c>
      <c r="M306" s="6">
        <v>0.0</v>
      </c>
      <c r="N306" s="6">
        <v>0.0</v>
      </c>
      <c r="O306" s="6">
        <v>0.0</v>
      </c>
      <c r="P306" s="6">
        <v>0.0</v>
      </c>
      <c r="Q306" s="6">
        <v>0.0</v>
      </c>
      <c r="R306" s="6">
        <v>0.0</v>
      </c>
      <c r="S306" s="6">
        <v>0.0</v>
      </c>
      <c r="T306" s="6">
        <v>0.0</v>
      </c>
      <c r="U306" s="6">
        <v>0.0</v>
      </c>
      <c r="V306" s="6">
        <v>0.0</v>
      </c>
      <c r="W306" s="6">
        <v>0.0</v>
      </c>
      <c r="X306" s="6">
        <v>0.0</v>
      </c>
      <c r="Y306" s="6">
        <v>0.0</v>
      </c>
      <c r="Z306" s="6">
        <v>0.0</v>
      </c>
      <c r="AA306" s="6">
        <v>0.0</v>
      </c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</row>
    <row r="307">
      <c r="A307" s="5">
        <v>45425.0</v>
      </c>
      <c r="B307" s="6">
        <v>13.0</v>
      </c>
      <c r="C307" s="6">
        <v>99.0</v>
      </c>
      <c r="D307" s="6">
        <v>8.0</v>
      </c>
      <c r="E307" s="6">
        <v>2201.0</v>
      </c>
      <c r="F307" s="6">
        <v>169.0</v>
      </c>
      <c r="G307" s="6">
        <v>0.0</v>
      </c>
      <c r="H307" s="4"/>
      <c r="I307" s="6">
        <v>7.0</v>
      </c>
      <c r="J307" s="6">
        <v>3.0</v>
      </c>
      <c r="K307" s="6">
        <v>0.0</v>
      </c>
      <c r="L307" s="6">
        <v>0.0</v>
      </c>
      <c r="M307" s="6">
        <v>10.0</v>
      </c>
      <c r="N307" s="6">
        <v>7.0</v>
      </c>
      <c r="O307" s="6">
        <v>0.0</v>
      </c>
      <c r="P307" s="6">
        <v>4.0</v>
      </c>
      <c r="Q307" s="6">
        <v>3.0</v>
      </c>
      <c r="R307" s="6">
        <v>4.0</v>
      </c>
      <c r="S307" s="6">
        <v>2.0</v>
      </c>
      <c r="T307" s="6">
        <v>2.0</v>
      </c>
      <c r="U307" s="6">
        <v>0.0</v>
      </c>
      <c r="V307" s="6">
        <v>7.0</v>
      </c>
      <c r="W307" s="6">
        <v>1.0</v>
      </c>
      <c r="X307" s="6">
        <v>5.0</v>
      </c>
      <c r="Y307" s="6">
        <v>10.0</v>
      </c>
      <c r="Z307" s="6">
        <v>3.0</v>
      </c>
      <c r="AA307" s="6">
        <v>0.0</v>
      </c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</row>
    <row r="308">
      <c r="A308" s="5">
        <v>45426.0</v>
      </c>
      <c r="B308" s="6">
        <v>6.0</v>
      </c>
      <c r="C308" s="6">
        <v>37.0</v>
      </c>
      <c r="D308" s="6">
        <v>6.0</v>
      </c>
      <c r="E308" s="6">
        <v>525.0</v>
      </c>
      <c r="F308" s="6">
        <v>88.0</v>
      </c>
      <c r="G308" s="6">
        <v>0.0</v>
      </c>
      <c r="H308" s="4"/>
      <c r="I308" s="6">
        <v>4.0</v>
      </c>
      <c r="J308" s="6">
        <v>1.0</v>
      </c>
      <c r="K308" s="6">
        <v>0.0</v>
      </c>
      <c r="L308" s="6">
        <v>0.0</v>
      </c>
      <c r="M308" s="6">
        <v>5.0</v>
      </c>
      <c r="N308" s="6">
        <v>6.0</v>
      </c>
      <c r="O308" s="6">
        <v>0.0</v>
      </c>
      <c r="P308" s="6">
        <v>0.0</v>
      </c>
      <c r="Q308" s="6">
        <v>2.0</v>
      </c>
      <c r="R308" s="6">
        <v>0.0</v>
      </c>
      <c r="S308" s="6">
        <v>4.0</v>
      </c>
      <c r="T308" s="6">
        <v>1.0</v>
      </c>
      <c r="U308" s="6">
        <v>0.0</v>
      </c>
      <c r="V308" s="6">
        <v>2.0</v>
      </c>
      <c r="W308" s="6">
        <v>0.0</v>
      </c>
      <c r="X308" s="6">
        <v>3.0</v>
      </c>
      <c r="Y308" s="6">
        <v>3.0</v>
      </c>
      <c r="Z308" s="6">
        <v>1.0</v>
      </c>
      <c r="AA308" s="6">
        <v>0.0</v>
      </c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</row>
    <row r="309">
      <c r="A309" s="5">
        <v>45427.0</v>
      </c>
      <c r="B309" s="6">
        <v>10.0</v>
      </c>
      <c r="C309" s="6">
        <v>81.0</v>
      </c>
      <c r="D309" s="6">
        <v>8.0</v>
      </c>
      <c r="E309" s="6">
        <v>1470.0</v>
      </c>
      <c r="F309" s="6">
        <v>147.0</v>
      </c>
      <c r="G309" s="6">
        <v>0.0</v>
      </c>
      <c r="H309" s="4"/>
      <c r="I309" s="6">
        <v>6.0</v>
      </c>
      <c r="J309" s="6">
        <v>2.0</v>
      </c>
      <c r="K309" s="6">
        <v>0.0</v>
      </c>
      <c r="L309" s="6">
        <v>0.0</v>
      </c>
      <c r="M309" s="6">
        <v>8.0</v>
      </c>
      <c r="N309" s="6">
        <v>9.0</v>
      </c>
      <c r="O309" s="6">
        <v>0.0</v>
      </c>
      <c r="P309" s="6">
        <v>1.0</v>
      </c>
      <c r="Q309" s="6">
        <v>3.0</v>
      </c>
      <c r="R309" s="6">
        <v>1.0</v>
      </c>
      <c r="S309" s="6">
        <v>8.0</v>
      </c>
      <c r="T309" s="6">
        <v>1.0</v>
      </c>
      <c r="U309" s="6">
        <v>0.0</v>
      </c>
      <c r="V309" s="6">
        <v>4.0</v>
      </c>
      <c r="W309" s="6">
        <v>0.0</v>
      </c>
      <c r="X309" s="6">
        <v>9.0</v>
      </c>
      <c r="Y309" s="6">
        <v>4.0</v>
      </c>
      <c r="Z309" s="6">
        <v>1.0</v>
      </c>
      <c r="AA309" s="6">
        <v>0.0</v>
      </c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</row>
    <row r="310">
      <c r="A310" s="5">
        <v>45428.0</v>
      </c>
      <c r="B310" s="6">
        <v>15.0</v>
      </c>
      <c r="C310" s="6">
        <v>118.0</v>
      </c>
      <c r="D310" s="6">
        <v>8.0</v>
      </c>
      <c r="E310" s="6">
        <v>2061.0</v>
      </c>
      <c r="F310" s="6">
        <v>137.0</v>
      </c>
      <c r="G310" s="6">
        <v>0.0</v>
      </c>
      <c r="H310" s="4"/>
      <c r="I310" s="6">
        <v>10.0</v>
      </c>
      <c r="J310" s="6">
        <v>1.0</v>
      </c>
      <c r="K310" s="6">
        <v>1.0</v>
      </c>
      <c r="L310" s="6">
        <v>0.0</v>
      </c>
      <c r="M310" s="6">
        <v>12.0</v>
      </c>
      <c r="N310" s="6">
        <v>8.0</v>
      </c>
      <c r="O310" s="6">
        <v>0.0</v>
      </c>
      <c r="P310" s="6">
        <v>7.0</v>
      </c>
      <c r="Q310" s="6">
        <v>4.0</v>
      </c>
      <c r="R310" s="6">
        <v>5.0</v>
      </c>
      <c r="S310" s="6">
        <v>5.0</v>
      </c>
      <c r="T310" s="6">
        <v>0.0</v>
      </c>
      <c r="U310" s="6">
        <v>0.0</v>
      </c>
      <c r="V310" s="6">
        <v>9.0</v>
      </c>
      <c r="W310" s="6">
        <v>0.0</v>
      </c>
      <c r="X310" s="6">
        <v>8.0</v>
      </c>
      <c r="Y310" s="6">
        <v>13.0</v>
      </c>
      <c r="Z310" s="6">
        <v>0.0</v>
      </c>
      <c r="AA310" s="6">
        <v>0.0</v>
      </c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</row>
    <row r="311">
      <c r="A311" s="5">
        <v>45429.0</v>
      </c>
      <c r="B311" s="6">
        <v>14.0</v>
      </c>
      <c r="C311" s="6">
        <v>102.0</v>
      </c>
      <c r="D311" s="6">
        <v>7.0</v>
      </c>
      <c r="E311" s="6">
        <v>1312.0</v>
      </c>
      <c r="F311" s="6">
        <v>94.0</v>
      </c>
      <c r="G311" s="6">
        <v>0.0</v>
      </c>
      <c r="H311" s="4"/>
      <c r="I311" s="6">
        <v>5.0</v>
      </c>
      <c r="J311" s="6">
        <v>1.0</v>
      </c>
      <c r="K311" s="6">
        <v>1.0</v>
      </c>
      <c r="L311" s="6">
        <v>1.0</v>
      </c>
      <c r="M311" s="6">
        <v>8.0</v>
      </c>
      <c r="N311" s="6">
        <v>9.0</v>
      </c>
      <c r="O311" s="6">
        <v>0.0</v>
      </c>
      <c r="P311" s="6">
        <v>5.0</v>
      </c>
      <c r="Q311" s="6">
        <v>5.0</v>
      </c>
      <c r="R311" s="6">
        <v>1.0</v>
      </c>
      <c r="S311" s="6">
        <v>6.0</v>
      </c>
      <c r="T311" s="6">
        <v>1.0</v>
      </c>
      <c r="U311" s="6">
        <v>0.0</v>
      </c>
      <c r="V311" s="6">
        <v>6.0</v>
      </c>
      <c r="W311" s="6">
        <v>2.0</v>
      </c>
      <c r="X311" s="6">
        <v>8.0</v>
      </c>
      <c r="Y311" s="6">
        <v>8.0</v>
      </c>
      <c r="Z311" s="6">
        <v>2.0</v>
      </c>
      <c r="AA311" s="6">
        <v>0.0</v>
      </c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</row>
    <row r="312">
      <c r="A312" s="5">
        <v>45430.0</v>
      </c>
      <c r="B312" s="6">
        <v>6.0</v>
      </c>
      <c r="C312" s="6">
        <v>50.0</v>
      </c>
      <c r="D312" s="6">
        <v>8.0</v>
      </c>
      <c r="E312" s="6">
        <v>772.0</v>
      </c>
      <c r="F312" s="6">
        <v>129.0</v>
      </c>
      <c r="G312" s="6">
        <v>0.0</v>
      </c>
      <c r="H312" s="4"/>
      <c r="I312" s="6">
        <v>6.0</v>
      </c>
      <c r="J312" s="6">
        <v>0.0</v>
      </c>
      <c r="K312" s="6">
        <v>0.0</v>
      </c>
      <c r="L312" s="6">
        <v>0.0</v>
      </c>
      <c r="M312" s="6">
        <v>6.0</v>
      </c>
      <c r="N312" s="6">
        <v>6.0</v>
      </c>
      <c r="O312" s="6">
        <v>0.0</v>
      </c>
      <c r="P312" s="6">
        <v>0.0</v>
      </c>
      <c r="Q312" s="6">
        <v>4.0</v>
      </c>
      <c r="R312" s="6">
        <v>0.0</v>
      </c>
      <c r="S312" s="6">
        <v>1.0</v>
      </c>
      <c r="T312" s="6">
        <v>0.0</v>
      </c>
      <c r="U312" s="6">
        <v>0.0</v>
      </c>
      <c r="V312" s="6">
        <v>4.0</v>
      </c>
      <c r="W312" s="6">
        <v>0.0</v>
      </c>
      <c r="X312" s="6">
        <v>3.0</v>
      </c>
      <c r="Y312" s="6">
        <v>5.0</v>
      </c>
      <c r="Z312" s="6">
        <v>0.0</v>
      </c>
      <c r="AA312" s="6">
        <v>0.0</v>
      </c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</row>
    <row r="313">
      <c r="A313" s="5">
        <v>45431.0</v>
      </c>
      <c r="B313" s="6">
        <v>0.0</v>
      </c>
      <c r="C313" s="6">
        <v>0.0</v>
      </c>
      <c r="D313" s="6">
        <v>0.0</v>
      </c>
      <c r="E313" s="6">
        <v>0.0</v>
      </c>
      <c r="F313" s="6">
        <v>0.0</v>
      </c>
      <c r="G313" s="6">
        <v>0.0</v>
      </c>
      <c r="H313" s="4"/>
      <c r="I313" s="6">
        <v>0.0</v>
      </c>
      <c r="J313" s="6">
        <v>0.0</v>
      </c>
      <c r="K313" s="6">
        <v>0.0</v>
      </c>
      <c r="L313" s="6">
        <v>0.0</v>
      </c>
      <c r="M313" s="6">
        <v>0.0</v>
      </c>
      <c r="N313" s="6">
        <v>0.0</v>
      </c>
      <c r="O313" s="6">
        <v>0.0</v>
      </c>
      <c r="P313" s="6">
        <v>0.0</v>
      </c>
      <c r="Q313" s="6">
        <v>0.0</v>
      </c>
      <c r="R313" s="6">
        <v>0.0</v>
      </c>
      <c r="S313" s="6">
        <v>0.0</v>
      </c>
      <c r="T313" s="6">
        <v>0.0</v>
      </c>
      <c r="U313" s="6">
        <v>0.0</v>
      </c>
      <c r="V313" s="6">
        <v>0.0</v>
      </c>
      <c r="W313" s="6">
        <v>0.0</v>
      </c>
      <c r="X313" s="6">
        <v>0.0</v>
      </c>
      <c r="Y313" s="6">
        <v>0.0</v>
      </c>
      <c r="Z313" s="6">
        <v>0.0</v>
      </c>
      <c r="AA313" s="6">
        <v>0.0</v>
      </c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</row>
    <row r="314">
      <c r="A314" s="5">
        <v>45432.0</v>
      </c>
      <c r="B314" s="6">
        <v>3.0</v>
      </c>
      <c r="C314" s="6">
        <v>30.0</v>
      </c>
      <c r="D314" s="6">
        <v>10.0</v>
      </c>
      <c r="E314" s="6">
        <v>439.0</v>
      </c>
      <c r="F314" s="6">
        <v>146.0</v>
      </c>
      <c r="G314" s="6">
        <v>0.0</v>
      </c>
      <c r="H314" s="4"/>
      <c r="I314" s="6">
        <v>3.0</v>
      </c>
      <c r="J314" s="6">
        <v>0.0</v>
      </c>
      <c r="K314" s="6">
        <v>0.0</v>
      </c>
      <c r="L314" s="6">
        <v>0.0</v>
      </c>
      <c r="M314" s="6">
        <v>3.0</v>
      </c>
      <c r="N314" s="6">
        <v>3.0</v>
      </c>
      <c r="O314" s="6">
        <v>0.0</v>
      </c>
      <c r="P314" s="6">
        <v>0.0</v>
      </c>
      <c r="Q314" s="6">
        <v>2.0</v>
      </c>
      <c r="R314" s="6">
        <v>0.0</v>
      </c>
      <c r="S314" s="6">
        <v>3.0</v>
      </c>
      <c r="T314" s="6">
        <v>0.0</v>
      </c>
      <c r="U314" s="6">
        <v>0.0</v>
      </c>
      <c r="V314" s="6">
        <v>2.0</v>
      </c>
      <c r="W314" s="6">
        <v>0.0</v>
      </c>
      <c r="X314" s="6">
        <v>2.0</v>
      </c>
      <c r="Y314" s="6">
        <v>2.0</v>
      </c>
      <c r="Z314" s="6">
        <v>0.0</v>
      </c>
      <c r="AA314" s="6">
        <v>0.0</v>
      </c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</row>
    <row r="315">
      <c r="A315" s="5">
        <v>45433.0</v>
      </c>
      <c r="B315" s="6">
        <v>8.0</v>
      </c>
      <c r="C315" s="6">
        <v>58.0</v>
      </c>
      <c r="D315" s="6">
        <v>7.0</v>
      </c>
      <c r="E315" s="6">
        <v>1002.0</v>
      </c>
      <c r="F315" s="6">
        <v>125.0</v>
      </c>
      <c r="G315" s="6">
        <v>0.0</v>
      </c>
      <c r="H315" s="4"/>
      <c r="I315" s="6">
        <v>4.0</v>
      </c>
      <c r="J315" s="6">
        <v>2.0</v>
      </c>
      <c r="K315" s="6">
        <v>0.0</v>
      </c>
      <c r="L315" s="6">
        <v>0.0</v>
      </c>
      <c r="M315" s="6">
        <v>6.0</v>
      </c>
      <c r="N315" s="6">
        <v>7.0</v>
      </c>
      <c r="O315" s="6">
        <v>0.0</v>
      </c>
      <c r="P315" s="6">
        <v>1.0</v>
      </c>
      <c r="Q315" s="6">
        <v>3.0</v>
      </c>
      <c r="R315" s="6">
        <v>1.0</v>
      </c>
      <c r="S315" s="6">
        <v>3.0</v>
      </c>
      <c r="T315" s="6">
        <v>0.0</v>
      </c>
      <c r="U315" s="6">
        <v>0.0</v>
      </c>
      <c r="V315" s="6">
        <v>4.0</v>
      </c>
      <c r="W315" s="6">
        <v>0.0</v>
      </c>
      <c r="X315" s="6">
        <v>13.0</v>
      </c>
      <c r="Y315" s="6">
        <v>5.0</v>
      </c>
      <c r="Z315" s="6">
        <v>0.0</v>
      </c>
      <c r="AA315" s="6">
        <v>0.0</v>
      </c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</row>
    <row r="316">
      <c r="A316" s="5">
        <v>45434.0</v>
      </c>
      <c r="B316" s="6">
        <v>21.0</v>
      </c>
      <c r="C316" s="6">
        <v>226.0</v>
      </c>
      <c r="D316" s="6">
        <v>11.0</v>
      </c>
      <c r="E316" s="6">
        <v>4879.0</v>
      </c>
      <c r="F316" s="6">
        <v>232.0</v>
      </c>
      <c r="G316" s="6">
        <v>0.0</v>
      </c>
      <c r="H316" s="4"/>
      <c r="I316" s="6">
        <v>11.0</v>
      </c>
      <c r="J316" s="6">
        <v>5.0</v>
      </c>
      <c r="K316" s="6">
        <v>0.0</v>
      </c>
      <c r="L316" s="6">
        <v>0.0</v>
      </c>
      <c r="M316" s="6">
        <v>16.0</v>
      </c>
      <c r="N316" s="6">
        <v>19.0</v>
      </c>
      <c r="O316" s="6">
        <v>0.0</v>
      </c>
      <c r="P316" s="6">
        <v>1.0</v>
      </c>
      <c r="Q316" s="6">
        <v>11.0</v>
      </c>
      <c r="R316" s="6">
        <v>1.0</v>
      </c>
      <c r="S316" s="6">
        <v>14.0</v>
      </c>
      <c r="T316" s="6">
        <v>1.0</v>
      </c>
      <c r="U316" s="6">
        <v>0.0</v>
      </c>
      <c r="V316" s="6">
        <v>12.0</v>
      </c>
      <c r="W316" s="6">
        <v>0.0</v>
      </c>
      <c r="X316" s="6">
        <v>8.0</v>
      </c>
      <c r="Y316" s="6">
        <v>14.0</v>
      </c>
      <c r="Z316" s="6">
        <v>1.0</v>
      </c>
      <c r="AA316" s="6">
        <v>0.0</v>
      </c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</row>
    <row r="317">
      <c r="A317" s="5">
        <v>45435.0</v>
      </c>
      <c r="B317" s="6">
        <v>8.0</v>
      </c>
      <c r="C317" s="6">
        <v>79.0</v>
      </c>
      <c r="D317" s="6">
        <v>10.0</v>
      </c>
      <c r="E317" s="6">
        <v>1105.0</v>
      </c>
      <c r="F317" s="6">
        <v>138.0</v>
      </c>
      <c r="G317" s="6">
        <v>0.0</v>
      </c>
      <c r="H317" s="4"/>
      <c r="I317" s="6">
        <v>8.0</v>
      </c>
      <c r="J317" s="6">
        <v>0.0</v>
      </c>
      <c r="K317" s="6">
        <v>0.0</v>
      </c>
      <c r="L317" s="6">
        <v>0.0</v>
      </c>
      <c r="M317" s="6">
        <v>8.0</v>
      </c>
      <c r="N317" s="6">
        <v>5.0</v>
      </c>
      <c r="O317" s="6">
        <v>0.0</v>
      </c>
      <c r="P317" s="6">
        <v>3.0</v>
      </c>
      <c r="Q317" s="6">
        <v>5.0</v>
      </c>
      <c r="R317" s="6">
        <v>2.0</v>
      </c>
      <c r="S317" s="6">
        <v>0.0</v>
      </c>
      <c r="T317" s="6">
        <v>2.0</v>
      </c>
      <c r="U317" s="6">
        <v>0.0</v>
      </c>
      <c r="V317" s="6">
        <v>7.0</v>
      </c>
      <c r="W317" s="6">
        <v>1.0</v>
      </c>
      <c r="X317" s="6">
        <v>4.0</v>
      </c>
      <c r="Y317" s="6">
        <v>7.0</v>
      </c>
      <c r="Z317" s="6">
        <v>3.0</v>
      </c>
      <c r="AA317" s="6">
        <v>0.0</v>
      </c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</row>
    <row r="318">
      <c r="A318" s="5">
        <v>45436.0</v>
      </c>
      <c r="B318" s="6">
        <v>15.0</v>
      </c>
      <c r="C318" s="6">
        <v>129.0</v>
      </c>
      <c r="D318" s="6">
        <v>9.0</v>
      </c>
      <c r="E318" s="6">
        <v>2557.0</v>
      </c>
      <c r="F318" s="6">
        <v>170.0</v>
      </c>
      <c r="G318" s="6">
        <v>0.0</v>
      </c>
      <c r="H318" s="4"/>
      <c r="I318" s="6">
        <v>8.0</v>
      </c>
      <c r="J318" s="6">
        <v>2.0</v>
      </c>
      <c r="K318" s="6">
        <v>1.0</v>
      </c>
      <c r="L318" s="6">
        <v>0.0</v>
      </c>
      <c r="M318" s="6">
        <v>11.0</v>
      </c>
      <c r="N318" s="6">
        <v>14.0</v>
      </c>
      <c r="O318" s="6">
        <v>0.0</v>
      </c>
      <c r="P318" s="6">
        <v>1.0</v>
      </c>
      <c r="Q318" s="6">
        <v>7.0</v>
      </c>
      <c r="R318" s="6">
        <v>1.0</v>
      </c>
      <c r="S318" s="6">
        <v>5.0</v>
      </c>
      <c r="T318" s="6">
        <v>0.0</v>
      </c>
      <c r="U318" s="6">
        <v>0.0</v>
      </c>
      <c r="V318" s="6">
        <v>8.0</v>
      </c>
      <c r="W318" s="6">
        <v>0.0</v>
      </c>
      <c r="X318" s="6">
        <v>9.0</v>
      </c>
      <c r="Y318" s="6">
        <v>8.0</v>
      </c>
      <c r="Z318" s="6">
        <v>0.0</v>
      </c>
      <c r="AA318" s="6">
        <v>0.0</v>
      </c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</row>
    <row r="319">
      <c r="A319" s="5">
        <v>45437.0</v>
      </c>
      <c r="B319" s="6">
        <v>12.0</v>
      </c>
      <c r="C319" s="6">
        <v>133.0</v>
      </c>
      <c r="D319" s="6">
        <v>11.0</v>
      </c>
      <c r="E319" s="6">
        <v>1851.0</v>
      </c>
      <c r="F319" s="6">
        <v>154.0</v>
      </c>
      <c r="G319" s="6">
        <v>0.0</v>
      </c>
      <c r="H319" s="4"/>
      <c r="I319" s="6">
        <v>7.0</v>
      </c>
      <c r="J319" s="6">
        <v>1.0</v>
      </c>
      <c r="K319" s="6">
        <v>1.0</v>
      </c>
      <c r="L319" s="6">
        <v>0.0</v>
      </c>
      <c r="M319" s="6">
        <v>9.0</v>
      </c>
      <c r="N319" s="6">
        <v>8.0</v>
      </c>
      <c r="O319" s="6">
        <v>0.0</v>
      </c>
      <c r="P319" s="6">
        <v>3.0</v>
      </c>
      <c r="Q319" s="6">
        <v>4.0</v>
      </c>
      <c r="R319" s="6">
        <v>3.0</v>
      </c>
      <c r="S319" s="6">
        <v>0.0</v>
      </c>
      <c r="T319" s="6">
        <v>4.0</v>
      </c>
      <c r="U319" s="6">
        <v>0.0</v>
      </c>
      <c r="V319" s="6">
        <v>7.0</v>
      </c>
      <c r="W319" s="6">
        <v>1.0</v>
      </c>
      <c r="X319" s="6">
        <v>2.0</v>
      </c>
      <c r="Y319" s="6">
        <v>8.0</v>
      </c>
      <c r="Z319" s="6">
        <v>4.0</v>
      </c>
      <c r="AA319" s="6">
        <v>0.0</v>
      </c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</row>
    <row r="320">
      <c r="A320" s="5">
        <v>45438.0</v>
      </c>
      <c r="B320" s="6">
        <v>0.0</v>
      </c>
      <c r="C320" s="6">
        <v>0.0</v>
      </c>
      <c r="D320" s="6">
        <v>0.0</v>
      </c>
      <c r="E320" s="6">
        <v>0.0</v>
      </c>
      <c r="F320" s="6">
        <v>0.0</v>
      </c>
      <c r="G320" s="6">
        <v>0.0</v>
      </c>
      <c r="H320" s="4"/>
      <c r="I320" s="6">
        <v>0.0</v>
      </c>
      <c r="J320" s="6">
        <v>0.0</v>
      </c>
      <c r="K320" s="6">
        <v>0.0</v>
      </c>
      <c r="L320" s="6">
        <v>0.0</v>
      </c>
      <c r="M320" s="6">
        <v>0.0</v>
      </c>
      <c r="N320" s="6">
        <v>0.0</v>
      </c>
      <c r="O320" s="6">
        <v>0.0</v>
      </c>
      <c r="P320" s="6">
        <v>0.0</v>
      </c>
      <c r="Q320" s="6">
        <v>0.0</v>
      </c>
      <c r="R320" s="6">
        <v>0.0</v>
      </c>
      <c r="S320" s="6">
        <v>0.0</v>
      </c>
      <c r="T320" s="6">
        <v>0.0</v>
      </c>
      <c r="U320" s="6">
        <v>0.0</v>
      </c>
      <c r="V320" s="6">
        <v>0.0</v>
      </c>
      <c r="W320" s="6">
        <v>0.0</v>
      </c>
      <c r="X320" s="6">
        <v>0.0</v>
      </c>
      <c r="Y320" s="6">
        <v>0.0</v>
      </c>
      <c r="Z320" s="6">
        <v>0.0</v>
      </c>
      <c r="AA320" s="6">
        <v>0.0</v>
      </c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</row>
    <row r="321">
      <c r="A321" s="5">
        <v>45439.0</v>
      </c>
      <c r="B321" s="6">
        <v>12.0</v>
      </c>
      <c r="C321" s="6">
        <v>210.0</v>
      </c>
      <c r="D321" s="6">
        <v>18.0</v>
      </c>
      <c r="E321" s="6">
        <v>3865.0</v>
      </c>
      <c r="F321" s="6">
        <v>322.0</v>
      </c>
      <c r="G321" s="6">
        <v>0.0</v>
      </c>
      <c r="H321" s="4"/>
      <c r="I321" s="6">
        <v>3.0</v>
      </c>
      <c r="J321" s="6">
        <v>0.0</v>
      </c>
      <c r="K321" s="6">
        <v>0.0</v>
      </c>
      <c r="L321" s="6">
        <v>0.0</v>
      </c>
      <c r="M321" s="6">
        <v>3.0</v>
      </c>
      <c r="N321" s="6">
        <v>12.0</v>
      </c>
      <c r="O321" s="6">
        <v>0.0</v>
      </c>
      <c r="P321" s="6">
        <v>0.0</v>
      </c>
      <c r="Q321" s="6">
        <v>9.0</v>
      </c>
      <c r="R321" s="6">
        <v>0.0</v>
      </c>
      <c r="S321" s="6">
        <v>1.0</v>
      </c>
      <c r="T321" s="6">
        <v>1.0</v>
      </c>
      <c r="U321" s="6">
        <v>0.0</v>
      </c>
      <c r="V321" s="6">
        <v>9.0</v>
      </c>
      <c r="W321" s="6">
        <v>0.0</v>
      </c>
      <c r="X321" s="6">
        <v>2.0</v>
      </c>
      <c r="Y321" s="6">
        <v>9.0</v>
      </c>
      <c r="Z321" s="6">
        <v>1.0</v>
      </c>
      <c r="AA321" s="6">
        <v>0.0</v>
      </c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</row>
    <row r="322">
      <c r="A322" s="5">
        <v>45440.0</v>
      </c>
      <c r="B322" s="6">
        <v>8.0</v>
      </c>
      <c r="C322" s="6">
        <v>53.0</v>
      </c>
      <c r="D322" s="6">
        <v>7.0</v>
      </c>
      <c r="E322" s="6">
        <v>1170.0</v>
      </c>
      <c r="F322" s="6">
        <v>146.0</v>
      </c>
      <c r="G322" s="6">
        <v>0.0</v>
      </c>
      <c r="H322" s="4"/>
      <c r="I322" s="6">
        <v>7.0</v>
      </c>
      <c r="J322" s="6">
        <v>2.0</v>
      </c>
      <c r="K322" s="6">
        <v>2.0</v>
      </c>
      <c r="L322" s="6">
        <v>0.0</v>
      </c>
      <c r="M322" s="6">
        <v>11.0</v>
      </c>
      <c r="N322" s="6">
        <v>8.0</v>
      </c>
      <c r="O322" s="6">
        <v>0.0</v>
      </c>
      <c r="P322" s="6">
        <v>0.0</v>
      </c>
      <c r="Q322" s="6">
        <v>5.0</v>
      </c>
      <c r="R322" s="6">
        <v>0.0</v>
      </c>
      <c r="S322" s="6">
        <v>4.0</v>
      </c>
      <c r="T322" s="6">
        <v>2.0</v>
      </c>
      <c r="U322" s="6">
        <v>0.0</v>
      </c>
      <c r="V322" s="6">
        <v>5.0</v>
      </c>
      <c r="W322" s="6">
        <v>0.0</v>
      </c>
      <c r="X322" s="6">
        <v>4.0</v>
      </c>
      <c r="Y322" s="6">
        <v>6.0</v>
      </c>
      <c r="Z322" s="6">
        <v>2.0</v>
      </c>
      <c r="AA322" s="6">
        <v>0.0</v>
      </c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</row>
    <row r="323">
      <c r="A323" s="5">
        <v>45441.0</v>
      </c>
      <c r="B323" s="6">
        <v>10.0</v>
      </c>
      <c r="C323" s="6">
        <v>39.0</v>
      </c>
      <c r="D323" s="6">
        <v>4.0</v>
      </c>
      <c r="E323" s="6">
        <v>700.0</v>
      </c>
      <c r="F323" s="6">
        <v>70.0</v>
      </c>
      <c r="G323" s="6">
        <v>0.0</v>
      </c>
      <c r="H323" s="4"/>
      <c r="I323" s="6">
        <v>10.0</v>
      </c>
      <c r="J323" s="6">
        <v>0.0</v>
      </c>
      <c r="K323" s="6">
        <v>0.0</v>
      </c>
      <c r="L323" s="6">
        <v>0.0</v>
      </c>
      <c r="M323" s="6">
        <v>10.0</v>
      </c>
      <c r="N323" s="6">
        <v>9.0</v>
      </c>
      <c r="O323" s="6">
        <v>0.0</v>
      </c>
      <c r="P323" s="6">
        <v>1.0</v>
      </c>
      <c r="Q323" s="6">
        <v>3.0</v>
      </c>
      <c r="R323" s="6">
        <v>1.0</v>
      </c>
      <c r="S323" s="6">
        <v>2.0</v>
      </c>
      <c r="T323" s="6">
        <v>1.0</v>
      </c>
      <c r="U323" s="6">
        <v>0.0</v>
      </c>
      <c r="V323" s="6">
        <v>4.0</v>
      </c>
      <c r="W323" s="6">
        <v>0.0</v>
      </c>
      <c r="X323" s="6">
        <v>5.0</v>
      </c>
      <c r="Y323" s="6">
        <v>7.0</v>
      </c>
      <c r="Z323" s="6">
        <v>1.0</v>
      </c>
      <c r="AA323" s="6">
        <v>0.0</v>
      </c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</row>
    <row r="324">
      <c r="A324" s="5">
        <v>45442.0</v>
      </c>
      <c r="B324" s="6">
        <v>8.0</v>
      </c>
      <c r="C324" s="6">
        <v>31.0</v>
      </c>
      <c r="D324" s="6">
        <v>4.0</v>
      </c>
      <c r="E324" s="6">
        <v>604.0</v>
      </c>
      <c r="F324" s="6">
        <v>76.0</v>
      </c>
      <c r="G324" s="6">
        <v>0.0</v>
      </c>
      <c r="H324" s="4"/>
      <c r="I324" s="6">
        <v>4.0</v>
      </c>
      <c r="J324" s="6">
        <v>2.0</v>
      </c>
      <c r="K324" s="6">
        <v>0.0</v>
      </c>
      <c r="L324" s="6">
        <v>0.0</v>
      </c>
      <c r="M324" s="6">
        <v>6.0</v>
      </c>
      <c r="N324" s="6">
        <v>4.0</v>
      </c>
      <c r="O324" s="6">
        <v>2.0</v>
      </c>
      <c r="P324" s="6">
        <v>2.0</v>
      </c>
      <c r="Q324" s="6">
        <v>2.0</v>
      </c>
      <c r="R324" s="6">
        <v>2.0</v>
      </c>
      <c r="S324" s="6">
        <v>3.0</v>
      </c>
      <c r="T324" s="6">
        <v>1.0</v>
      </c>
      <c r="U324" s="6">
        <v>0.0</v>
      </c>
      <c r="V324" s="6">
        <v>6.0</v>
      </c>
      <c r="W324" s="6">
        <v>0.0</v>
      </c>
      <c r="X324" s="6">
        <v>4.0</v>
      </c>
      <c r="Y324" s="6">
        <v>7.0</v>
      </c>
      <c r="Z324" s="6">
        <v>1.0</v>
      </c>
      <c r="AA324" s="6">
        <v>2.0</v>
      </c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</row>
    <row r="325">
      <c r="A325" s="5">
        <v>45443.0</v>
      </c>
      <c r="B325" s="6">
        <v>9.0</v>
      </c>
      <c r="C325" s="6">
        <v>39.0</v>
      </c>
      <c r="D325" s="6">
        <v>4.0</v>
      </c>
      <c r="E325" s="6">
        <v>785.0</v>
      </c>
      <c r="F325" s="6">
        <v>87.0</v>
      </c>
      <c r="G325" s="6">
        <v>0.0</v>
      </c>
      <c r="H325" s="4"/>
      <c r="I325" s="6">
        <v>9.0</v>
      </c>
      <c r="J325" s="6">
        <v>0.0</v>
      </c>
      <c r="K325" s="6">
        <v>0.0</v>
      </c>
      <c r="L325" s="6">
        <v>0.0</v>
      </c>
      <c r="M325" s="6">
        <v>9.0</v>
      </c>
      <c r="N325" s="6">
        <v>8.0</v>
      </c>
      <c r="O325" s="6">
        <v>0.0</v>
      </c>
      <c r="P325" s="6">
        <v>1.0</v>
      </c>
      <c r="Q325" s="6">
        <v>6.0</v>
      </c>
      <c r="R325" s="6">
        <v>1.0</v>
      </c>
      <c r="S325" s="6">
        <v>5.0</v>
      </c>
      <c r="T325" s="6">
        <v>0.0</v>
      </c>
      <c r="U325" s="6">
        <v>0.0</v>
      </c>
      <c r="V325" s="6">
        <v>7.0</v>
      </c>
      <c r="W325" s="6">
        <v>0.0</v>
      </c>
      <c r="X325" s="6">
        <v>7.0</v>
      </c>
      <c r="Y325" s="6">
        <v>7.0</v>
      </c>
      <c r="Z325" s="6">
        <v>0.0</v>
      </c>
      <c r="AA325" s="6">
        <v>0.0</v>
      </c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</row>
    <row r="326">
      <c r="A326" s="5">
        <v>45444.0</v>
      </c>
      <c r="B326" s="6">
        <v>0.0</v>
      </c>
      <c r="C326" s="6">
        <v>0.0</v>
      </c>
      <c r="D326" s="6">
        <v>0.0</v>
      </c>
      <c r="E326" s="6">
        <v>0.0</v>
      </c>
      <c r="F326" s="6">
        <v>0.0</v>
      </c>
      <c r="G326" s="6">
        <v>0.0</v>
      </c>
      <c r="H326" s="4"/>
      <c r="I326" s="6">
        <v>0.0</v>
      </c>
      <c r="J326" s="6">
        <v>0.0</v>
      </c>
      <c r="K326" s="6">
        <v>0.0</v>
      </c>
      <c r="L326" s="6">
        <v>0.0</v>
      </c>
      <c r="M326" s="6">
        <v>0.0</v>
      </c>
      <c r="N326" s="6">
        <v>0.0</v>
      </c>
      <c r="O326" s="6">
        <v>0.0</v>
      </c>
      <c r="P326" s="6">
        <v>0.0</v>
      </c>
      <c r="Q326" s="6">
        <v>0.0</v>
      </c>
      <c r="R326" s="6">
        <v>0.0</v>
      </c>
      <c r="S326" s="6">
        <v>0.0</v>
      </c>
      <c r="T326" s="6">
        <v>0.0</v>
      </c>
      <c r="U326" s="6">
        <v>0.0</v>
      </c>
      <c r="V326" s="6">
        <v>0.0</v>
      </c>
      <c r="W326" s="6">
        <v>0.0</v>
      </c>
      <c r="X326" s="6">
        <v>0.0</v>
      </c>
      <c r="Y326" s="6">
        <v>0.0</v>
      </c>
      <c r="Z326" s="6">
        <v>0.0</v>
      </c>
      <c r="AA326" s="6">
        <v>0.0</v>
      </c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</row>
    <row r="327">
      <c r="A327" s="5">
        <v>45445.0</v>
      </c>
      <c r="B327" s="6">
        <v>0.0</v>
      </c>
      <c r="C327" s="6">
        <v>0.0</v>
      </c>
      <c r="D327" s="6">
        <v>0.0</v>
      </c>
      <c r="E327" s="6">
        <v>0.0</v>
      </c>
      <c r="F327" s="6">
        <v>0.0</v>
      </c>
      <c r="G327" s="6">
        <v>0.0</v>
      </c>
      <c r="H327" s="4"/>
      <c r="I327" s="6">
        <v>0.0</v>
      </c>
      <c r="J327" s="6">
        <v>0.0</v>
      </c>
      <c r="K327" s="6">
        <v>0.0</v>
      </c>
      <c r="L327" s="6">
        <v>0.0</v>
      </c>
      <c r="M327" s="6">
        <v>0.0</v>
      </c>
      <c r="N327" s="6">
        <v>0.0</v>
      </c>
      <c r="O327" s="6">
        <v>0.0</v>
      </c>
      <c r="P327" s="6">
        <v>0.0</v>
      </c>
      <c r="Q327" s="6">
        <v>0.0</v>
      </c>
      <c r="R327" s="6">
        <v>0.0</v>
      </c>
      <c r="S327" s="6">
        <v>0.0</v>
      </c>
      <c r="T327" s="6">
        <v>0.0</v>
      </c>
      <c r="U327" s="6">
        <v>0.0</v>
      </c>
      <c r="V327" s="6">
        <v>0.0</v>
      </c>
      <c r="W327" s="6">
        <v>0.0</v>
      </c>
      <c r="X327" s="6">
        <v>0.0</v>
      </c>
      <c r="Y327" s="6">
        <v>0.0</v>
      </c>
      <c r="Z327" s="6">
        <v>0.0</v>
      </c>
      <c r="AA327" s="6">
        <v>0.0</v>
      </c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</row>
    <row r="328">
      <c r="A328" s="5">
        <v>45446.0</v>
      </c>
      <c r="B328" s="6">
        <v>6.0</v>
      </c>
      <c r="C328" s="6">
        <v>22.0</v>
      </c>
      <c r="D328" s="6">
        <v>4.0</v>
      </c>
      <c r="E328" s="6">
        <v>334.0</v>
      </c>
      <c r="F328" s="6">
        <v>56.0</v>
      </c>
      <c r="G328" s="6">
        <v>0.0</v>
      </c>
      <c r="H328" s="4"/>
      <c r="I328" s="6">
        <v>4.0</v>
      </c>
      <c r="J328" s="6">
        <v>1.0</v>
      </c>
      <c r="K328" s="6">
        <v>0.0</v>
      </c>
      <c r="L328" s="6">
        <v>0.0</v>
      </c>
      <c r="M328" s="6">
        <v>5.0</v>
      </c>
      <c r="N328" s="6">
        <v>4.0</v>
      </c>
      <c r="O328" s="6">
        <v>0.0</v>
      </c>
      <c r="P328" s="6">
        <v>1.0</v>
      </c>
      <c r="Q328" s="6">
        <v>1.0</v>
      </c>
      <c r="R328" s="6">
        <v>1.0</v>
      </c>
      <c r="S328" s="6">
        <v>1.0</v>
      </c>
      <c r="T328" s="6">
        <v>1.0</v>
      </c>
      <c r="U328" s="6">
        <v>0.0</v>
      </c>
      <c r="V328" s="6">
        <v>2.0</v>
      </c>
      <c r="W328" s="6">
        <v>0.0</v>
      </c>
      <c r="X328" s="6">
        <v>2.0</v>
      </c>
      <c r="Y328" s="6">
        <v>4.0</v>
      </c>
      <c r="Z328" s="6">
        <v>1.0</v>
      </c>
      <c r="AA328" s="6">
        <v>0.0</v>
      </c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</row>
    <row r="329">
      <c r="A329" s="5">
        <v>45447.0</v>
      </c>
      <c r="B329" s="6">
        <v>14.0</v>
      </c>
      <c r="C329" s="6">
        <v>43.0</v>
      </c>
      <c r="D329" s="6">
        <v>3.0</v>
      </c>
      <c r="E329" s="6">
        <v>678.0</v>
      </c>
      <c r="F329" s="6">
        <v>48.0</v>
      </c>
      <c r="G329" s="6">
        <v>0.0</v>
      </c>
      <c r="H329" s="4"/>
      <c r="I329" s="6">
        <v>9.0</v>
      </c>
      <c r="J329" s="6">
        <v>1.0</v>
      </c>
      <c r="K329" s="6">
        <v>1.0</v>
      </c>
      <c r="L329" s="6">
        <v>0.0</v>
      </c>
      <c r="M329" s="6">
        <v>11.0</v>
      </c>
      <c r="N329" s="6">
        <v>7.0</v>
      </c>
      <c r="O329" s="6">
        <v>0.0</v>
      </c>
      <c r="P329" s="6">
        <v>7.0</v>
      </c>
      <c r="Q329" s="6">
        <v>3.0</v>
      </c>
      <c r="R329" s="6">
        <v>6.0</v>
      </c>
      <c r="S329" s="6">
        <v>5.0</v>
      </c>
      <c r="T329" s="6">
        <v>0.0</v>
      </c>
      <c r="U329" s="6">
        <v>0.0</v>
      </c>
      <c r="V329" s="6">
        <v>9.0</v>
      </c>
      <c r="W329" s="6">
        <v>0.0</v>
      </c>
      <c r="X329" s="6">
        <v>1.0</v>
      </c>
      <c r="Y329" s="6">
        <v>9.0</v>
      </c>
      <c r="Z329" s="6">
        <v>0.0</v>
      </c>
      <c r="AA329" s="6">
        <v>0.0</v>
      </c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</row>
    <row r="330">
      <c r="A330" s="5">
        <v>45448.0</v>
      </c>
      <c r="B330" s="6">
        <v>8.0</v>
      </c>
      <c r="C330" s="6">
        <v>27.0</v>
      </c>
      <c r="D330" s="6">
        <v>3.0</v>
      </c>
      <c r="E330" s="6">
        <v>491.0</v>
      </c>
      <c r="F330" s="6">
        <v>61.0</v>
      </c>
      <c r="G330" s="6">
        <v>0.0</v>
      </c>
      <c r="H330" s="4"/>
      <c r="I330" s="6">
        <v>8.0</v>
      </c>
      <c r="J330" s="6">
        <v>0.0</v>
      </c>
      <c r="K330" s="6">
        <v>0.0</v>
      </c>
      <c r="L330" s="6">
        <v>0.0</v>
      </c>
      <c r="M330" s="6">
        <v>8.0</v>
      </c>
      <c r="N330" s="6">
        <v>8.0</v>
      </c>
      <c r="O330" s="6">
        <v>0.0</v>
      </c>
      <c r="P330" s="6">
        <v>0.0</v>
      </c>
      <c r="Q330" s="6">
        <v>5.0</v>
      </c>
      <c r="R330" s="6">
        <v>0.0</v>
      </c>
      <c r="S330" s="6">
        <v>2.0</v>
      </c>
      <c r="T330" s="6">
        <v>0.0</v>
      </c>
      <c r="U330" s="6">
        <v>0.0</v>
      </c>
      <c r="V330" s="6">
        <v>5.0</v>
      </c>
      <c r="W330" s="6">
        <v>0.0</v>
      </c>
      <c r="X330" s="6">
        <v>4.0</v>
      </c>
      <c r="Y330" s="6">
        <v>5.0</v>
      </c>
      <c r="Z330" s="6">
        <v>0.0</v>
      </c>
      <c r="AA330" s="6">
        <v>0.0</v>
      </c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</row>
    <row r="331">
      <c r="A331" s="5">
        <v>45449.0</v>
      </c>
      <c r="B331" s="6">
        <v>6.0</v>
      </c>
      <c r="C331" s="6">
        <v>20.0</v>
      </c>
      <c r="D331" s="6">
        <v>3.0</v>
      </c>
      <c r="E331" s="6">
        <v>392.0</v>
      </c>
      <c r="F331" s="6">
        <v>65.0</v>
      </c>
      <c r="G331" s="6">
        <v>0.0</v>
      </c>
      <c r="H331" s="4"/>
      <c r="I331" s="6">
        <v>4.0</v>
      </c>
      <c r="J331" s="6">
        <v>1.0</v>
      </c>
      <c r="K331" s="6">
        <v>0.0</v>
      </c>
      <c r="L331" s="6">
        <v>0.0</v>
      </c>
      <c r="M331" s="6">
        <v>5.0</v>
      </c>
      <c r="N331" s="6">
        <v>5.0</v>
      </c>
      <c r="O331" s="6">
        <v>0.0</v>
      </c>
      <c r="P331" s="6">
        <v>1.0</v>
      </c>
      <c r="Q331" s="6">
        <v>5.0</v>
      </c>
      <c r="R331" s="6">
        <v>1.0</v>
      </c>
      <c r="S331" s="6">
        <v>1.0</v>
      </c>
      <c r="T331" s="6">
        <v>0.0</v>
      </c>
      <c r="U331" s="6">
        <v>0.0</v>
      </c>
      <c r="V331" s="6">
        <v>6.0</v>
      </c>
      <c r="W331" s="6">
        <v>0.0</v>
      </c>
      <c r="X331" s="6">
        <v>1.0</v>
      </c>
      <c r="Y331" s="6">
        <v>6.0</v>
      </c>
      <c r="Z331" s="6">
        <v>0.0</v>
      </c>
      <c r="AA331" s="6">
        <v>0.0</v>
      </c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</row>
    <row r="332">
      <c r="A332" s="5">
        <v>45450.0</v>
      </c>
      <c r="B332" s="6">
        <v>5.0</v>
      </c>
      <c r="C332" s="6">
        <v>23.0</v>
      </c>
      <c r="D332" s="6">
        <v>5.0</v>
      </c>
      <c r="E332" s="6">
        <v>468.0</v>
      </c>
      <c r="F332" s="6">
        <v>94.0</v>
      </c>
      <c r="G332" s="6">
        <v>0.0</v>
      </c>
      <c r="H332" s="4"/>
      <c r="I332" s="6">
        <v>5.0</v>
      </c>
      <c r="J332" s="6">
        <v>0.0</v>
      </c>
      <c r="K332" s="6">
        <v>0.0</v>
      </c>
      <c r="L332" s="6">
        <v>0.0</v>
      </c>
      <c r="M332" s="6">
        <v>5.0</v>
      </c>
      <c r="N332" s="6">
        <v>3.0</v>
      </c>
      <c r="O332" s="6">
        <v>0.0</v>
      </c>
      <c r="P332" s="6">
        <v>2.0</v>
      </c>
      <c r="Q332" s="6">
        <v>3.0</v>
      </c>
      <c r="R332" s="6">
        <v>1.0</v>
      </c>
      <c r="S332" s="6">
        <v>4.0</v>
      </c>
      <c r="T332" s="6">
        <v>0.0</v>
      </c>
      <c r="U332" s="6">
        <v>0.0</v>
      </c>
      <c r="V332" s="6">
        <v>4.0</v>
      </c>
      <c r="W332" s="6">
        <v>0.0</v>
      </c>
      <c r="X332" s="6">
        <v>3.0</v>
      </c>
      <c r="Y332" s="6">
        <v>4.0</v>
      </c>
      <c r="Z332" s="6">
        <v>0.0</v>
      </c>
      <c r="AA332" s="6">
        <v>0.0</v>
      </c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</row>
    <row r="333">
      <c r="A333" s="5">
        <v>45451.0</v>
      </c>
      <c r="B333" s="6">
        <v>4.0</v>
      </c>
      <c r="C333" s="6">
        <v>13.0</v>
      </c>
      <c r="D333" s="6">
        <v>3.0</v>
      </c>
      <c r="E333" s="6">
        <v>213.0</v>
      </c>
      <c r="F333" s="6">
        <v>53.0</v>
      </c>
      <c r="G333" s="6">
        <v>0.0</v>
      </c>
      <c r="H333" s="4"/>
      <c r="I333" s="6">
        <v>2.0</v>
      </c>
      <c r="J333" s="6">
        <v>1.0</v>
      </c>
      <c r="K333" s="6">
        <v>0.0</v>
      </c>
      <c r="L333" s="6">
        <v>0.0</v>
      </c>
      <c r="M333" s="6">
        <v>3.0</v>
      </c>
      <c r="N333" s="6">
        <v>2.0</v>
      </c>
      <c r="O333" s="6">
        <v>0.0</v>
      </c>
      <c r="P333" s="6">
        <v>1.0</v>
      </c>
      <c r="Q333" s="6">
        <v>2.0</v>
      </c>
      <c r="R333" s="6">
        <v>1.0</v>
      </c>
      <c r="S333" s="6">
        <v>0.0</v>
      </c>
      <c r="T333" s="6">
        <v>0.0</v>
      </c>
      <c r="U333" s="6">
        <v>0.0</v>
      </c>
      <c r="V333" s="6">
        <v>3.0</v>
      </c>
      <c r="W333" s="6">
        <v>0.0</v>
      </c>
      <c r="X333" s="6">
        <v>1.0</v>
      </c>
      <c r="Y333" s="6">
        <v>3.0</v>
      </c>
      <c r="Z333" s="6">
        <v>0.0</v>
      </c>
      <c r="AA333" s="6">
        <v>0.0</v>
      </c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</row>
    <row r="334">
      <c r="A334" s="5">
        <v>45452.0</v>
      </c>
      <c r="B334" s="6">
        <v>0.0</v>
      </c>
      <c r="C334" s="6">
        <v>0.0</v>
      </c>
      <c r="D334" s="6">
        <v>0.0</v>
      </c>
      <c r="E334" s="6">
        <v>0.0</v>
      </c>
      <c r="F334" s="6">
        <v>0.0</v>
      </c>
      <c r="G334" s="6">
        <v>0.0</v>
      </c>
      <c r="H334" s="4"/>
      <c r="I334" s="6">
        <v>0.0</v>
      </c>
      <c r="J334" s="6">
        <v>0.0</v>
      </c>
      <c r="K334" s="6">
        <v>0.0</v>
      </c>
      <c r="L334" s="6">
        <v>0.0</v>
      </c>
      <c r="M334" s="6">
        <v>0.0</v>
      </c>
      <c r="N334" s="6">
        <v>0.0</v>
      </c>
      <c r="O334" s="6">
        <v>0.0</v>
      </c>
      <c r="P334" s="6">
        <v>0.0</v>
      </c>
      <c r="Q334" s="6">
        <v>0.0</v>
      </c>
      <c r="R334" s="6">
        <v>0.0</v>
      </c>
      <c r="S334" s="6">
        <v>0.0</v>
      </c>
      <c r="T334" s="6">
        <v>0.0</v>
      </c>
      <c r="U334" s="6">
        <v>0.0</v>
      </c>
      <c r="V334" s="6">
        <v>0.0</v>
      </c>
      <c r="W334" s="6">
        <v>0.0</v>
      </c>
      <c r="X334" s="6">
        <v>0.0</v>
      </c>
      <c r="Y334" s="6">
        <v>0.0</v>
      </c>
      <c r="Z334" s="6">
        <v>0.0</v>
      </c>
      <c r="AA334" s="6">
        <v>0.0</v>
      </c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</row>
    <row r="335">
      <c r="A335" s="5">
        <v>45453.0</v>
      </c>
      <c r="B335" s="6">
        <v>14.0</v>
      </c>
      <c r="C335" s="6">
        <v>61.0</v>
      </c>
      <c r="D335" s="6">
        <v>4.0</v>
      </c>
      <c r="E335" s="6">
        <v>1101.0</v>
      </c>
      <c r="F335" s="6">
        <v>79.0</v>
      </c>
      <c r="G335" s="6">
        <v>0.0</v>
      </c>
      <c r="H335" s="4"/>
      <c r="I335" s="6">
        <v>8.0</v>
      </c>
      <c r="J335" s="6">
        <v>1.0</v>
      </c>
      <c r="K335" s="6">
        <v>0.0</v>
      </c>
      <c r="L335" s="6">
        <v>1.0</v>
      </c>
      <c r="M335" s="6">
        <v>10.0</v>
      </c>
      <c r="N335" s="6">
        <v>9.0</v>
      </c>
      <c r="O335" s="6">
        <v>0.0</v>
      </c>
      <c r="P335" s="6">
        <v>5.0</v>
      </c>
      <c r="Q335" s="6">
        <v>5.0</v>
      </c>
      <c r="R335" s="6">
        <v>5.0</v>
      </c>
      <c r="S335" s="6">
        <v>8.0</v>
      </c>
      <c r="T335" s="6">
        <v>0.0</v>
      </c>
      <c r="U335" s="6">
        <v>0.0</v>
      </c>
      <c r="V335" s="6">
        <v>10.0</v>
      </c>
      <c r="W335" s="6">
        <v>0.0</v>
      </c>
      <c r="X335" s="6">
        <v>10.0</v>
      </c>
      <c r="Y335" s="6">
        <v>10.0</v>
      </c>
      <c r="Z335" s="6">
        <v>0.0</v>
      </c>
      <c r="AA335" s="6">
        <v>0.0</v>
      </c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</row>
    <row r="336">
      <c r="A336" s="5">
        <v>45454.0</v>
      </c>
      <c r="B336" s="6">
        <v>10.0</v>
      </c>
      <c r="C336" s="6">
        <v>31.0</v>
      </c>
      <c r="D336" s="6">
        <v>3.0</v>
      </c>
      <c r="E336" s="6">
        <v>521.0</v>
      </c>
      <c r="F336" s="6">
        <v>52.0</v>
      </c>
      <c r="G336" s="6">
        <v>0.0</v>
      </c>
      <c r="H336" s="4"/>
      <c r="I336" s="6">
        <v>8.0</v>
      </c>
      <c r="J336" s="6">
        <v>1.0</v>
      </c>
      <c r="K336" s="6">
        <v>0.0</v>
      </c>
      <c r="L336" s="6">
        <v>0.0</v>
      </c>
      <c r="M336" s="6">
        <v>9.0</v>
      </c>
      <c r="N336" s="6">
        <v>9.0</v>
      </c>
      <c r="O336" s="6">
        <v>0.0</v>
      </c>
      <c r="P336" s="6">
        <v>1.0</v>
      </c>
      <c r="Q336" s="6">
        <v>4.0</v>
      </c>
      <c r="R336" s="6">
        <v>1.0</v>
      </c>
      <c r="S336" s="6">
        <v>2.0</v>
      </c>
      <c r="T336" s="6">
        <v>0.0</v>
      </c>
      <c r="U336" s="6">
        <v>0.0</v>
      </c>
      <c r="V336" s="6">
        <v>5.0</v>
      </c>
      <c r="W336" s="6">
        <v>0.0</v>
      </c>
      <c r="X336" s="6">
        <v>5.0</v>
      </c>
      <c r="Y336" s="6">
        <v>5.0</v>
      </c>
      <c r="Z336" s="6">
        <v>0.0</v>
      </c>
      <c r="AA336" s="6">
        <v>0.0</v>
      </c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</row>
    <row r="337">
      <c r="A337" s="5">
        <v>45455.0</v>
      </c>
      <c r="B337" s="6">
        <v>14.0</v>
      </c>
      <c r="C337" s="6">
        <v>59.0</v>
      </c>
      <c r="D337" s="6">
        <v>4.0</v>
      </c>
      <c r="E337" s="6">
        <v>1024.0</v>
      </c>
      <c r="F337" s="6">
        <v>73.0</v>
      </c>
      <c r="G337" s="6">
        <v>0.0</v>
      </c>
      <c r="H337" s="4"/>
      <c r="I337" s="6">
        <v>18.0</v>
      </c>
      <c r="J337" s="6">
        <v>2.0</v>
      </c>
      <c r="K337" s="6">
        <v>1.0</v>
      </c>
      <c r="L337" s="6">
        <v>0.0</v>
      </c>
      <c r="M337" s="6">
        <v>21.0</v>
      </c>
      <c r="N337" s="6">
        <v>12.0</v>
      </c>
      <c r="O337" s="6">
        <v>0.0</v>
      </c>
      <c r="P337" s="6">
        <v>1.0</v>
      </c>
      <c r="Q337" s="6">
        <v>7.0</v>
      </c>
      <c r="R337" s="6">
        <v>1.0</v>
      </c>
      <c r="S337" s="6">
        <v>6.0</v>
      </c>
      <c r="T337" s="6">
        <v>0.0</v>
      </c>
      <c r="U337" s="6">
        <v>0.0</v>
      </c>
      <c r="V337" s="6">
        <v>8.0</v>
      </c>
      <c r="W337" s="6">
        <v>0.0</v>
      </c>
      <c r="X337" s="6">
        <v>11.0</v>
      </c>
      <c r="Y337" s="6">
        <v>9.0</v>
      </c>
      <c r="Z337" s="6">
        <v>0.0</v>
      </c>
      <c r="AA337" s="6">
        <v>0.0</v>
      </c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</row>
    <row r="338">
      <c r="A338" s="5">
        <v>45456.0</v>
      </c>
      <c r="B338" s="6">
        <v>9.0</v>
      </c>
      <c r="C338" s="6">
        <v>43.0</v>
      </c>
      <c r="D338" s="6">
        <v>5.0</v>
      </c>
      <c r="E338" s="6">
        <v>807.0</v>
      </c>
      <c r="F338" s="6">
        <v>90.0</v>
      </c>
      <c r="G338" s="6">
        <v>0.0</v>
      </c>
      <c r="H338" s="4"/>
      <c r="I338" s="6">
        <v>9.0</v>
      </c>
      <c r="J338" s="6">
        <v>0.0</v>
      </c>
      <c r="K338" s="6">
        <v>0.0</v>
      </c>
      <c r="L338" s="6">
        <v>0.0</v>
      </c>
      <c r="M338" s="6">
        <v>9.0</v>
      </c>
      <c r="N338" s="6">
        <v>5.0</v>
      </c>
      <c r="O338" s="6">
        <v>0.0</v>
      </c>
      <c r="P338" s="6">
        <v>4.0</v>
      </c>
      <c r="Q338" s="6">
        <v>3.0</v>
      </c>
      <c r="R338" s="6">
        <v>2.0</v>
      </c>
      <c r="S338" s="6">
        <v>13.0</v>
      </c>
      <c r="T338" s="6">
        <v>0.0</v>
      </c>
      <c r="U338" s="6">
        <v>0.0</v>
      </c>
      <c r="V338" s="6">
        <v>5.0</v>
      </c>
      <c r="W338" s="6">
        <v>0.0</v>
      </c>
      <c r="X338" s="6">
        <v>6.0</v>
      </c>
      <c r="Y338" s="6">
        <v>5.0</v>
      </c>
      <c r="Z338" s="6">
        <v>0.0</v>
      </c>
      <c r="AA338" s="6">
        <v>0.0</v>
      </c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</row>
    <row r="339">
      <c r="A339" s="5">
        <v>45457.0</v>
      </c>
      <c r="B339" s="6">
        <v>25.0</v>
      </c>
      <c r="C339" s="6">
        <v>100.0</v>
      </c>
      <c r="D339" s="6">
        <v>4.0</v>
      </c>
      <c r="E339" s="6">
        <v>1569.0</v>
      </c>
      <c r="F339" s="6">
        <v>63.0</v>
      </c>
      <c r="G339" s="6">
        <v>0.0</v>
      </c>
      <c r="H339" s="4"/>
      <c r="I339" s="6">
        <v>12.0</v>
      </c>
      <c r="J339" s="6">
        <v>5.0</v>
      </c>
      <c r="K339" s="6">
        <v>1.0</v>
      </c>
      <c r="L339" s="6">
        <v>0.0</v>
      </c>
      <c r="M339" s="6">
        <v>18.0</v>
      </c>
      <c r="N339" s="6">
        <v>18.0</v>
      </c>
      <c r="O339" s="6">
        <v>0.0</v>
      </c>
      <c r="P339" s="6">
        <v>6.0</v>
      </c>
      <c r="Q339" s="6">
        <v>8.0</v>
      </c>
      <c r="R339" s="6">
        <v>4.0</v>
      </c>
      <c r="S339" s="6">
        <v>7.0</v>
      </c>
      <c r="T339" s="6">
        <v>0.0</v>
      </c>
      <c r="U339" s="6">
        <v>0.0</v>
      </c>
      <c r="V339" s="6">
        <v>12.0</v>
      </c>
      <c r="W339" s="6">
        <v>0.0</v>
      </c>
      <c r="X339" s="6">
        <v>15.0</v>
      </c>
      <c r="Y339" s="6">
        <v>16.0</v>
      </c>
      <c r="Z339" s="6">
        <v>0.0</v>
      </c>
      <c r="AA339" s="6">
        <v>0.0</v>
      </c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</row>
    <row r="340">
      <c r="A340" s="5">
        <v>45458.0</v>
      </c>
      <c r="B340" s="6">
        <v>5.0</v>
      </c>
      <c r="C340" s="6">
        <v>16.0</v>
      </c>
      <c r="D340" s="6">
        <v>3.0</v>
      </c>
      <c r="E340" s="6">
        <v>246.0</v>
      </c>
      <c r="F340" s="6">
        <v>49.0</v>
      </c>
      <c r="G340" s="6">
        <v>0.0</v>
      </c>
      <c r="H340" s="4"/>
      <c r="I340" s="6">
        <v>5.0</v>
      </c>
      <c r="J340" s="6">
        <v>0.0</v>
      </c>
      <c r="K340" s="6">
        <v>0.0</v>
      </c>
      <c r="L340" s="6">
        <v>0.0</v>
      </c>
      <c r="M340" s="6">
        <v>5.0</v>
      </c>
      <c r="N340" s="6">
        <v>2.0</v>
      </c>
      <c r="O340" s="6">
        <v>0.0</v>
      </c>
      <c r="P340" s="6">
        <v>3.0</v>
      </c>
      <c r="Q340" s="6">
        <v>1.0</v>
      </c>
      <c r="R340" s="6">
        <v>2.0</v>
      </c>
      <c r="S340" s="6">
        <v>1.0</v>
      </c>
      <c r="T340" s="6">
        <v>0.0</v>
      </c>
      <c r="U340" s="6">
        <v>0.0</v>
      </c>
      <c r="V340" s="6">
        <v>3.0</v>
      </c>
      <c r="W340" s="6">
        <v>0.0</v>
      </c>
      <c r="X340" s="6">
        <v>1.0</v>
      </c>
      <c r="Y340" s="6">
        <v>4.0</v>
      </c>
      <c r="Z340" s="6">
        <v>0.0</v>
      </c>
      <c r="AA340" s="6">
        <v>0.0</v>
      </c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</row>
    <row r="341">
      <c r="A341" s="5">
        <v>45459.0</v>
      </c>
      <c r="B341" s="6">
        <v>0.0</v>
      </c>
      <c r="C341" s="6">
        <v>0.0</v>
      </c>
      <c r="D341" s="6">
        <v>0.0</v>
      </c>
      <c r="E341" s="6">
        <v>0.0</v>
      </c>
      <c r="F341" s="6">
        <v>0.0</v>
      </c>
      <c r="G341" s="6">
        <v>0.0</v>
      </c>
      <c r="H341" s="4"/>
      <c r="I341" s="6">
        <v>0.0</v>
      </c>
      <c r="J341" s="6">
        <v>0.0</v>
      </c>
      <c r="K341" s="6">
        <v>0.0</v>
      </c>
      <c r="L341" s="6">
        <v>0.0</v>
      </c>
      <c r="M341" s="6">
        <v>0.0</v>
      </c>
      <c r="N341" s="6">
        <v>0.0</v>
      </c>
      <c r="O341" s="6">
        <v>0.0</v>
      </c>
      <c r="P341" s="6">
        <v>0.0</v>
      </c>
      <c r="Q341" s="6">
        <v>0.0</v>
      </c>
      <c r="R341" s="6">
        <v>0.0</v>
      </c>
      <c r="S341" s="6">
        <v>0.0</v>
      </c>
      <c r="T341" s="6">
        <v>0.0</v>
      </c>
      <c r="U341" s="6">
        <v>0.0</v>
      </c>
      <c r="V341" s="6">
        <v>0.0</v>
      </c>
      <c r="W341" s="6">
        <v>0.0</v>
      </c>
      <c r="X341" s="6">
        <v>0.0</v>
      </c>
      <c r="Y341" s="6">
        <v>0.0</v>
      </c>
      <c r="Z341" s="6">
        <v>0.0</v>
      </c>
      <c r="AA341" s="6">
        <v>0.0</v>
      </c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</row>
    <row r="342">
      <c r="A342" s="5">
        <v>45460.0</v>
      </c>
      <c r="B342" s="6">
        <v>5.0</v>
      </c>
      <c r="C342" s="6">
        <v>31.0</v>
      </c>
      <c r="D342" s="6">
        <v>6.0</v>
      </c>
      <c r="E342" s="6">
        <v>783.0</v>
      </c>
      <c r="F342" s="6">
        <v>157.0</v>
      </c>
      <c r="G342" s="6">
        <v>0.0</v>
      </c>
      <c r="H342" s="4"/>
      <c r="I342" s="6">
        <v>5.0</v>
      </c>
      <c r="J342" s="6">
        <v>0.0</v>
      </c>
      <c r="K342" s="6">
        <v>0.0</v>
      </c>
      <c r="L342" s="6">
        <v>0.0</v>
      </c>
      <c r="M342" s="6">
        <v>5.0</v>
      </c>
      <c r="N342" s="6">
        <v>4.0</v>
      </c>
      <c r="O342" s="6">
        <v>0.0</v>
      </c>
      <c r="P342" s="6">
        <v>1.0</v>
      </c>
      <c r="Q342" s="6">
        <v>2.0</v>
      </c>
      <c r="R342" s="6">
        <v>0.0</v>
      </c>
      <c r="S342" s="6">
        <v>4.0</v>
      </c>
      <c r="T342" s="6">
        <v>0.0</v>
      </c>
      <c r="U342" s="6">
        <v>0.0</v>
      </c>
      <c r="V342" s="6">
        <v>2.0</v>
      </c>
      <c r="W342" s="6">
        <v>0.0</v>
      </c>
      <c r="X342" s="6">
        <v>15.0</v>
      </c>
      <c r="Y342" s="6">
        <v>2.0</v>
      </c>
      <c r="Z342" s="6">
        <v>0.0</v>
      </c>
      <c r="AA342" s="6">
        <v>0.0</v>
      </c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</row>
    <row r="343">
      <c r="A343" s="5">
        <v>45461.0</v>
      </c>
      <c r="B343" s="6">
        <v>16.0</v>
      </c>
      <c r="C343" s="6">
        <v>52.0</v>
      </c>
      <c r="D343" s="6">
        <v>3.0</v>
      </c>
      <c r="E343" s="6">
        <v>900.0</v>
      </c>
      <c r="F343" s="6">
        <v>56.0</v>
      </c>
      <c r="G343" s="6">
        <v>0.0</v>
      </c>
      <c r="H343" s="4"/>
      <c r="I343" s="6">
        <v>12.0</v>
      </c>
      <c r="J343" s="6">
        <v>2.0</v>
      </c>
      <c r="K343" s="6">
        <v>0.0</v>
      </c>
      <c r="L343" s="6">
        <v>0.0</v>
      </c>
      <c r="M343" s="6">
        <v>14.0</v>
      </c>
      <c r="N343" s="6">
        <v>12.0</v>
      </c>
      <c r="O343" s="6">
        <v>0.0</v>
      </c>
      <c r="P343" s="6">
        <v>4.0</v>
      </c>
      <c r="Q343" s="6">
        <v>8.0</v>
      </c>
      <c r="R343" s="6">
        <v>2.0</v>
      </c>
      <c r="S343" s="6">
        <v>2.0</v>
      </c>
      <c r="T343" s="6">
        <v>0.0</v>
      </c>
      <c r="U343" s="6">
        <v>0.0</v>
      </c>
      <c r="V343" s="6">
        <v>10.0</v>
      </c>
      <c r="W343" s="6">
        <v>0.0</v>
      </c>
      <c r="X343" s="6">
        <v>7.0</v>
      </c>
      <c r="Y343" s="6">
        <v>11.0</v>
      </c>
      <c r="Z343" s="6">
        <v>0.0</v>
      </c>
      <c r="AA343" s="6">
        <v>0.0</v>
      </c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</row>
    <row r="344">
      <c r="A344" s="5">
        <v>45462.0</v>
      </c>
      <c r="B344" s="6">
        <v>16.0</v>
      </c>
      <c r="C344" s="6">
        <v>59.0</v>
      </c>
      <c r="D344" s="6">
        <v>4.0</v>
      </c>
      <c r="E344" s="6">
        <v>1110.0</v>
      </c>
      <c r="F344" s="6">
        <v>69.0</v>
      </c>
      <c r="G344" s="6">
        <v>0.0</v>
      </c>
      <c r="H344" s="4"/>
      <c r="I344" s="6">
        <v>14.0</v>
      </c>
      <c r="J344" s="6">
        <v>1.0</v>
      </c>
      <c r="K344" s="6">
        <v>0.0</v>
      </c>
      <c r="L344" s="6">
        <v>0.0</v>
      </c>
      <c r="M344" s="6">
        <v>15.0</v>
      </c>
      <c r="N344" s="6">
        <v>12.0</v>
      </c>
      <c r="O344" s="6">
        <v>0.0</v>
      </c>
      <c r="P344" s="6">
        <v>3.0</v>
      </c>
      <c r="Q344" s="6">
        <v>5.0</v>
      </c>
      <c r="R344" s="6">
        <v>3.0</v>
      </c>
      <c r="S344" s="6">
        <v>5.0</v>
      </c>
      <c r="T344" s="6">
        <v>2.0</v>
      </c>
      <c r="U344" s="6">
        <v>0.0</v>
      </c>
      <c r="V344" s="6">
        <v>8.0</v>
      </c>
      <c r="W344" s="6">
        <v>0.0</v>
      </c>
      <c r="X344" s="6">
        <v>8.0</v>
      </c>
      <c r="Y344" s="6">
        <v>12.0</v>
      </c>
      <c r="Z344" s="6">
        <v>2.0</v>
      </c>
      <c r="AA344" s="6">
        <v>0.0</v>
      </c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</row>
    <row r="345">
      <c r="A345" s="5">
        <v>45463.0</v>
      </c>
      <c r="B345" s="6">
        <v>16.0</v>
      </c>
      <c r="C345" s="6">
        <v>67.0</v>
      </c>
      <c r="D345" s="6">
        <v>4.0</v>
      </c>
      <c r="E345" s="6">
        <v>1294.0</v>
      </c>
      <c r="F345" s="6">
        <v>81.0</v>
      </c>
      <c r="G345" s="6">
        <v>0.0</v>
      </c>
      <c r="H345" s="4"/>
      <c r="I345" s="6">
        <v>16.0</v>
      </c>
      <c r="J345" s="6">
        <v>0.0</v>
      </c>
      <c r="K345" s="6">
        <v>0.0</v>
      </c>
      <c r="L345" s="6">
        <v>0.0</v>
      </c>
      <c r="M345" s="6">
        <v>16.0</v>
      </c>
      <c r="N345" s="6">
        <v>12.0</v>
      </c>
      <c r="O345" s="6">
        <v>0.0</v>
      </c>
      <c r="P345" s="6">
        <v>3.0</v>
      </c>
      <c r="Q345" s="6">
        <v>8.0</v>
      </c>
      <c r="R345" s="6">
        <v>2.0</v>
      </c>
      <c r="S345" s="6">
        <v>5.0</v>
      </c>
      <c r="T345" s="6">
        <v>1.0</v>
      </c>
      <c r="U345" s="6">
        <v>0.0</v>
      </c>
      <c r="V345" s="6">
        <v>10.0</v>
      </c>
      <c r="W345" s="6">
        <v>0.0</v>
      </c>
      <c r="X345" s="6">
        <v>13.0</v>
      </c>
      <c r="Y345" s="6">
        <v>13.0</v>
      </c>
      <c r="Z345" s="6">
        <v>1.0</v>
      </c>
      <c r="AA345" s="6">
        <v>0.0</v>
      </c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</row>
    <row r="346">
      <c r="A346" s="5">
        <v>45464.0</v>
      </c>
      <c r="B346" s="6">
        <v>15.0</v>
      </c>
      <c r="C346" s="6">
        <v>61.0</v>
      </c>
      <c r="D346" s="6">
        <v>4.0</v>
      </c>
      <c r="E346" s="6">
        <v>1175.0</v>
      </c>
      <c r="F346" s="6">
        <v>78.0</v>
      </c>
      <c r="G346" s="6">
        <v>0.0</v>
      </c>
      <c r="H346" s="4"/>
      <c r="I346" s="6">
        <v>11.0</v>
      </c>
      <c r="J346" s="6">
        <v>2.0</v>
      </c>
      <c r="K346" s="6">
        <v>0.0</v>
      </c>
      <c r="L346" s="6">
        <v>0.0</v>
      </c>
      <c r="M346" s="6">
        <v>13.0</v>
      </c>
      <c r="N346" s="6">
        <v>15.0</v>
      </c>
      <c r="O346" s="6">
        <v>0.0</v>
      </c>
      <c r="P346" s="6">
        <v>0.0</v>
      </c>
      <c r="Q346" s="6">
        <v>8.0</v>
      </c>
      <c r="R346" s="6">
        <v>0.0</v>
      </c>
      <c r="S346" s="6">
        <v>5.0</v>
      </c>
      <c r="T346" s="6">
        <v>2.0</v>
      </c>
      <c r="U346" s="6">
        <v>0.0</v>
      </c>
      <c r="V346" s="6">
        <v>8.0</v>
      </c>
      <c r="W346" s="6">
        <v>0.0</v>
      </c>
      <c r="X346" s="6">
        <v>10.0</v>
      </c>
      <c r="Y346" s="6">
        <v>11.0</v>
      </c>
      <c r="Z346" s="6">
        <v>2.0</v>
      </c>
      <c r="AA346" s="6">
        <v>0.0</v>
      </c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</row>
    <row r="347">
      <c r="A347" s="5">
        <v>45465.0</v>
      </c>
      <c r="B347" s="6">
        <v>10.0</v>
      </c>
      <c r="C347" s="6">
        <v>44.0</v>
      </c>
      <c r="D347" s="6">
        <v>4.0</v>
      </c>
      <c r="E347" s="6">
        <v>856.0</v>
      </c>
      <c r="F347" s="6">
        <v>86.0</v>
      </c>
      <c r="G347" s="6">
        <v>0.0</v>
      </c>
      <c r="H347" s="4"/>
      <c r="I347" s="6">
        <v>5.0</v>
      </c>
      <c r="J347" s="6">
        <v>0.0</v>
      </c>
      <c r="K347" s="6">
        <v>0.0</v>
      </c>
      <c r="L347" s="6">
        <v>1.0</v>
      </c>
      <c r="M347" s="6">
        <v>6.0</v>
      </c>
      <c r="N347" s="6">
        <v>4.0</v>
      </c>
      <c r="O347" s="6">
        <v>0.0</v>
      </c>
      <c r="P347" s="6">
        <v>5.0</v>
      </c>
      <c r="Q347" s="6">
        <v>2.0</v>
      </c>
      <c r="R347" s="6">
        <v>1.0</v>
      </c>
      <c r="S347" s="6">
        <v>2.0</v>
      </c>
      <c r="T347" s="6">
        <v>0.0</v>
      </c>
      <c r="U347" s="6">
        <v>0.0</v>
      </c>
      <c r="V347" s="6">
        <v>3.0</v>
      </c>
      <c r="W347" s="6">
        <v>0.0</v>
      </c>
      <c r="X347" s="6">
        <v>18.0</v>
      </c>
      <c r="Y347" s="6">
        <v>3.0</v>
      </c>
      <c r="Z347" s="6">
        <v>0.0</v>
      </c>
      <c r="AA347" s="6">
        <v>0.0</v>
      </c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</row>
    <row r="348">
      <c r="A348" s="5">
        <v>45466.0</v>
      </c>
      <c r="B348" s="6">
        <v>0.0</v>
      </c>
      <c r="C348" s="6">
        <v>0.0</v>
      </c>
      <c r="D348" s="6">
        <v>0.0</v>
      </c>
      <c r="E348" s="6">
        <v>0.0</v>
      </c>
      <c r="F348" s="6">
        <v>0.0</v>
      </c>
      <c r="G348" s="6">
        <v>0.0</v>
      </c>
      <c r="H348" s="4"/>
      <c r="I348" s="6">
        <v>0.0</v>
      </c>
      <c r="J348" s="6">
        <v>0.0</v>
      </c>
      <c r="K348" s="6">
        <v>0.0</v>
      </c>
      <c r="L348" s="6">
        <v>0.0</v>
      </c>
      <c r="M348" s="6">
        <v>0.0</v>
      </c>
      <c r="N348" s="6">
        <v>0.0</v>
      </c>
      <c r="O348" s="6">
        <v>0.0</v>
      </c>
      <c r="P348" s="6">
        <v>0.0</v>
      </c>
      <c r="Q348" s="6">
        <v>0.0</v>
      </c>
      <c r="R348" s="6">
        <v>0.0</v>
      </c>
      <c r="S348" s="6">
        <v>0.0</v>
      </c>
      <c r="T348" s="6">
        <v>0.0</v>
      </c>
      <c r="U348" s="6">
        <v>0.0</v>
      </c>
      <c r="V348" s="6">
        <v>0.0</v>
      </c>
      <c r="W348" s="6">
        <v>0.0</v>
      </c>
      <c r="X348" s="6">
        <v>0.0</v>
      </c>
      <c r="Y348" s="6">
        <v>0.0</v>
      </c>
      <c r="Z348" s="6">
        <v>0.0</v>
      </c>
      <c r="AA348" s="6">
        <v>0.0</v>
      </c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</row>
    <row r="349">
      <c r="A349" s="5">
        <v>45467.0</v>
      </c>
      <c r="B349" s="6">
        <v>15.0</v>
      </c>
      <c r="C349" s="6">
        <v>60.0</v>
      </c>
      <c r="D349" s="6">
        <v>4.0</v>
      </c>
      <c r="E349" s="6">
        <v>1022.0</v>
      </c>
      <c r="F349" s="6">
        <v>68.0</v>
      </c>
      <c r="G349" s="6">
        <v>0.0</v>
      </c>
      <c r="H349" s="4"/>
      <c r="I349" s="6">
        <v>13.0</v>
      </c>
      <c r="J349" s="6">
        <v>1.0</v>
      </c>
      <c r="K349" s="6">
        <v>0.0</v>
      </c>
      <c r="L349" s="6">
        <v>0.0</v>
      </c>
      <c r="M349" s="6">
        <v>14.0</v>
      </c>
      <c r="N349" s="6">
        <v>13.0</v>
      </c>
      <c r="O349" s="6">
        <v>0.0</v>
      </c>
      <c r="P349" s="6">
        <v>2.0</v>
      </c>
      <c r="Q349" s="6">
        <v>8.0</v>
      </c>
      <c r="R349" s="6">
        <v>2.0</v>
      </c>
      <c r="S349" s="6">
        <v>9.0</v>
      </c>
      <c r="T349" s="6">
        <v>0.0</v>
      </c>
      <c r="U349" s="6">
        <v>0.0</v>
      </c>
      <c r="V349" s="6">
        <v>10.0</v>
      </c>
      <c r="W349" s="6">
        <v>0.0</v>
      </c>
      <c r="X349" s="6">
        <v>6.0</v>
      </c>
      <c r="Y349" s="6">
        <v>11.0</v>
      </c>
      <c r="Z349" s="6">
        <v>0.0</v>
      </c>
      <c r="AA349" s="6">
        <v>0.0</v>
      </c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</row>
    <row r="350">
      <c r="A350" s="5"/>
      <c r="B350" s="6"/>
      <c r="C350" s="6"/>
      <c r="D350" s="6"/>
      <c r="E350" s="6"/>
      <c r="F350" s="6"/>
      <c r="G350" s="6"/>
      <c r="H350" s="4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</row>
    <row r="351">
      <c r="A351" s="5"/>
      <c r="B351" s="6"/>
      <c r="C351" s="6"/>
      <c r="D351" s="6"/>
      <c r="E351" s="6"/>
      <c r="F351" s="6"/>
      <c r="G351" s="6"/>
      <c r="H351" s="4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</row>
    <row r="352">
      <c r="A352" s="5"/>
      <c r="B352" s="6"/>
      <c r="C352" s="6"/>
      <c r="D352" s="6"/>
      <c r="E352" s="6"/>
      <c r="F352" s="6"/>
      <c r="G352" s="6"/>
      <c r="H352" s="4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</row>
    <row r="353">
      <c r="A353" s="5"/>
      <c r="B353" s="6"/>
      <c r="C353" s="6"/>
      <c r="D353" s="6"/>
      <c r="E353" s="6"/>
      <c r="F353" s="6"/>
      <c r="G353" s="6"/>
      <c r="H353" s="4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</row>
    <row r="354">
      <c r="A354" s="5"/>
      <c r="B354" s="6"/>
      <c r="C354" s="6"/>
      <c r="D354" s="6"/>
      <c r="E354" s="6"/>
      <c r="F354" s="6"/>
      <c r="G354" s="6"/>
      <c r="H354" s="4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</row>
    <row r="355">
      <c r="A355" s="5"/>
      <c r="B355" s="6"/>
      <c r="C355" s="6"/>
      <c r="D355" s="6"/>
      <c r="E355" s="6"/>
      <c r="F355" s="6"/>
      <c r="G355" s="6"/>
      <c r="H355" s="4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</row>
    <row r="356">
      <c r="A356" s="5"/>
      <c r="B356" s="6"/>
      <c r="C356" s="6"/>
      <c r="D356" s="6"/>
      <c r="E356" s="6"/>
      <c r="F356" s="6"/>
      <c r="G356" s="6"/>
      <c r="H356" s="4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</row>
    <row r="357">
      <c r="A357" s="5"/>
      <c r="B357" s="6"/>
      <c r="C357" s="6"/>
      <c r="D357" s="6"/>
      <c r="E357" s="6"/>
      <c r="F357" s="6"/>
      <c r="G357" s="6"/>
      <c r="H357" s="4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</row>
    <row r="358">
      <c r="A358" s="5"/>
      <c r="B358" s="6"/>
      <c r="C358" s="6"/>
      <c r="D358" s="6"/>
      <c r="E358" s="6"/>
      <c r="F358" s="6"/>
      <c r="G358" s="6"/>
      <c r="H358" s="4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</row>
    <row r="359">
      <c r="A359" s="5"/>
      <c r="B359" s="6"/>
      <c r="C359" s="6"/>
      <c r="D359" s="6"/>
      <c r="E359" s="6"/>
      <c r="F359" s="6"/>
      <c r="G359" s="6"/>
      <c r="H359" s="4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</row>
    <row r="360">
      <c r="A360" s="5"/>
      <c r="B360" s="6"/>
      <c r="C360" s="6"/>
      <c r="D360" s="6"/>
      <c r="E360" s="6"/>
      <c r="F360" s="6"/>
      <c r="G360" s="6"/>
      <c r="H360" s="4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</row>
    <row r="361">
      <c r="A361" s="5"/>
      <c r="B361" s="6"/>
      <c r="C361" s="6"/>
      <c r="D361" s="6"/>
      <c r="E361" s="6"/>
      <c r="F361" s="6"/>
      <c r="G361" s="6"/>
      <c r="H361" s="4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</row>
    <row r="362">
      <c r="A362" s="5"/>
      <c r="B362" s="6"/>
      <c r="C362" s="6"/>
      <c r="D362" s="6"/>
      <c r="E362" s="6"/>
      <c r="F362" s="6"/>
      <c r="G362" s="6"/>
      <c r="H362" s="4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</row>
    <row r="363">
      <c r="A363" s="5"/>
      <c r="B363" s="6"/>
      <c r="C363" s="6"/>
      <c r="D363" s="6"/>
      <c r="E363" s="6"/>
      <c r="F363" s="6"/>
      <c r="G363" s="6"/>
      <c r="H363" s="4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</row>
    <row r="364">
      <c r="A364" s="5"/>
      <c r="B364" s="6"/>
      <c r="C364" s="6"/>
      <c r="D364" s="6"/>
      <c r="E364" s="6"/>
      <c r="F364" s="6"/>
      <c r="G364" s="6"/>
      <c r="H364" s="4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</row>
    <row r="365">
      <c r="A365" s="5"/>
      <c r="B365" s="6"/>
      <c r="C365" s="6"/>
      <c r="D365" s="6"/>
      <c r="E365" s="6"/>
      <c r="F365" s="6"/>
      <c r="G365" s="6"/>
      <c r="H365" s="4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</row>
    <row r="366">
      <c r="A366" s="5"/>
      <c r="B366" s="6"/>
      <c r="C366" s="6"/>
      <c r="D366" s="6"/>
      <c r="E366" s="6"/>
      <c r="F366" s="6"/>
      <c r="G366" s="6"/>
      <c r="H366" s="4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</row>
    <row r="367">
      <c r="A367" s="5"/>
      <c r="B367" s="6"/>
      <c r="C367" s="6"/>
      <c r="D367" s="6"/>
      <c r="E367" s="6"/>
      <c r="F367" s="6"/>
      <c r="G367" s="6"/>
      <c r="H367" s="4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</row>
    <row r="368">
      <c r="A368" s="5"/>
      <c r="B368" s="6"/>
      <c r="C368" s="6"/>
      <c r="D368" s="6"/>
      <c r="E368" s="6"/>
      <c r="F368" s="6"/>
      <c r="G368" s="6"/>
      <c r="H368" s="4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</row>
    <row r="369">
      <c r="A369" s="5"/>
      <c r="B369" s="6"/>
      <c r="C369" s="6"/>
      <c r="D369" s="6"/>
      <c r="E369" s="6"/>
      <c r="F369" s="6"/>
      <c r="G369" s="6"/>
      <c r="H369" s="4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</row>
    <row r="370">
      <c r="A370" s="5"/>
      <c r="B370" s="6"/>
      <c r="C370" s="6"/>
      <c r="D370" s="6"/>
      <c r="E370" s="6"/>
      <c r="F370" s="6"/>
      <c r="G370" s="6"/>
      <c r="H370" s="4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</row>
    <row r="371">
      <c r="A371" s="5"/>
      <c r="B371" s="6"/>
      <c r="C371" s="6"/>
      <c r="D371" s="6"/>
      <c r="E371" s="6"/>
      <c r="F371" s="6"/>
      <c r="G371" s="6"/>
      <c r="H371" s="4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</row>
    <row r="372">
      <c r="A372" s="5"/>
      <c r="B372" s="6"/>
      <c r="C372" s="6"/>
      <c r="D372" s="6"/>
      <c r="E372" s="6"/>
      <c r="F372" s="6"/>
      <c r="G372" s="6"/>
      <c r="H372" s="4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</row>
    <row r="373">
      <c r="A373" s="5"/>
      <c r="B373" s="6"/>
      <c r="C373" s="6"/>
      <c r="D373" s="6"/>
      <c r="E373" s="6"/>
      <c r="F373" s="6"/>
      <c r="G373" s="6"/>
      <c r="H373" s="4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</row>
    <row r="374">
      <c r="A374" s="5"/>
      <c r="B374" s="6"/>
      <c r="C374" s="6"/>
      <c r="D374" s="6"/>
      <c r="E374" s="6"/>
      <c r="F374" s="6"/>
      <c r="G374" s="6"/>
      <c r="H374" s="4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</row>
    <row r="375">
      <c r="A375" s="5"/>
      <c r="B375" s="6"/>
      <c r="C375" s="6"/>
      <c r="D375" s="6"/>
      <c r="E375" s="6"/>
      <c r="F375" s="6"/>
      <c r="G375" s="6"/>
      <c r="H375" s="4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</row>
    <row r="376">
      <c r="A376" s="5"/>
      <c r="B376" s="6"/>
      <c r="C376" s="6"/>
      <c r="D376" s="6"/>
      <c r="E376" s="6"/>
      <c r="F376" s="6"/>
      <c r="G376" s="6"/>
      <c r="H376" s="4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</row>
    <row r="377">
      <c r="A377" s="5"/>
      <c r="B377" s="6"/>
      <c r="C377" s="6"/>
      <c r="D377" s="6"/>
      <c r="E377" s="6"/>
      <c r="F377" s="6"/>
      <c r="G377" s="6"/>
      <c r="H377" s="4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</row>
    <row r="378">
      <c r="A378" s="5"/>
      <c r="B378" s="6"/>
      <c r="C378" s="6"/>
      <c r="D378" s="6"/>
      <c r="E378" s="6"/>
      <c r="F378" s="6"/>
      <c r="G378" s="6"/>
      <c r="H378" s="4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</row>
    <row r="379">
      <c r="A379" s="5"/>
      <c r="B379" s="6"/>
      <c r="C379" s="6"/>
      <c r="D379" s="6"/>
      <c r="E379" s="6"/>
      <c r="F379" s="6"/>
      <c r="G379" s="6"/>
      <c r="H379" s="4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</row>
    <row r="380">
      <c r="A380" s="5"/>
      <c r="B380" s="6"/>
      <c r="C380" s="6"/>
      <c r="D380" s="6"/>
      <c r="E380" s="6"/>
      <c r="F380" s="6"/>
      <c r="G380" s="6"/>
      <c r="H380" s="4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</row>
    <row r="381">
      <c r="A381" s="5"/>
      <c r="B381" s="6"/>
      <c r="C381" s="6"/>
      <c r="D381" s="6"/>
      <c r="E381" s="6"/>
      <c r="F381" s="6"/>
      <c r="G381" s="6"/>
      <c r="H381" s="4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</row>
    <row r="382">
      <c r="A382" s="5"/>
      <c r="B382" s="6"/>
      <c r="C382" s="6"/>
      <c r="D382" s="6"/>
      <c r="E382" s="6"/>
      <c r="F382" s="6"/>
      <c r="G382" s="6"/>
      <c r="H382" s="4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</row>
    <row r="383">
      <c r="A383" s="5"/>
      <c r="B383" s="6"/>
      <c r="C383" s="6"/>
      <c r="D383" s="6"/>
      <c r="E383" s="6"/>
      <c r="F383" s="6"/>
      <c r="G383" s="6"/>
      <c r="H383" s="4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</row>
    <row r="384">
      <c r="A384" s="5"/>
      <c r="B384" s="6"/>
      <c r="C384" s="6"/>
      <c r="D384" s="6"/>
      <c r="E384" s="6"/>
      <c r="F384" s="6"/>
      <c r="G384" s="6"/>
      <c r="H384" s="4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</row>
    <row r="385">
      <c r="A385" s="5"/>
      <c r="B385" s="6"/>
      <c r="C385" s="6"/>
      <c r="D385" s="6"/>
      <c r="E385" s="6"/>
      <c r="F385" s="6"/>
      <c r="G385" s="6"/>
      <c r="H385" s="4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</row>
    <row r="386">
      <c r="A386" s="5"/>
      <c r="B386" s="6"/>
      <c r="C386" s="6"/>
      <c r="D386" s="6"/>
      <c r="E386" s="6"/>
      <c r="F386" s="6"/>
      <c r="G386" s="6"/>
      <c r="H386" s="4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</row>
    <row r="387">
      <c r="A387" s="5"/>
      <c r="B387" s="6"/>
      <c r="C387" s="6"/>
      <c r="D387" s="6"/>
      <c r="E387" s="6"/>
      <c r="F387" s="6"/>
      <c r="G387" s="6"/>
      <c r="H387" s="4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</row>
    <row r="388">
      <c r="A388" s="5"/>
      <c r="B388" s="6"/>
      <c r="C388" s="6"/>
      <c r="D388" s="6"/>
      <c r="E388" s="6"/>
      <c r="F388" s="6"/>
      <c r="G388" s="6"/>
      <c r="H388" s="4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</row>
    <row r="389">
      <c r="A389" s="5"/>
      <c r="B389" s="6"/>
      <c r="C389" s="6"/>
      <c r="D389" s="6"/>
      <c r="E389" s="6"/>
      <c r="F389" s="6"/>
      <c r="G389" s="6"/>
      <c r="H389" s="4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</row>
    <row r="390">
      <c r="A390" s="5"/>
      <c r="B390" s="6"/>
      <c r="C390" s="6"/>
      <c r="D390" s="6"/>
      <c r="E390" s="6"/>
      <c r="F390" s="6"/>
      <c r="G390" s="6"/>
      <c r="H390" s="4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</row>
    <row r="391">
      <c r="A391" s="5"/>
      <c r="B391" s="6"/>
      <c r="C391" s="6"/>
      <c r="D391" s="6"/>
      <c r="E391" s="6"/>
      <c r="F391" s="6"/>
      <c r="G391" s="6"/>
      <c r="H391" s="4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</row>
    <row r="392">
      <c r="A392" s="5"/>
      <c r="B392" s="6"/>
      <c r="C392" s="6"/>
      <c r="D392" s="6"/>
      <c r="E392" s="6"/>
      <c r="F392" s="6"/>
      <c r="G392" s="6"/>
      <c r="H392" s="4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</row>
    <row r="393">
      <c r="A393" s="5"/>
      <c r="B393" s="6"/>
      <c r="C393" s="6"/>
      <c r="D393" s="6"/>
      <c r="E393" s="6"/>
      <c r="F393" s="6"/>
      <c r="G393" s="6"/>
      <c r="H393" s="4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</row>
    <row r="394">
      <c r="A394" s="5"/>
      <c r="B394" s="6"/>
      <c r="C394" s="6"/>
      <c r="D394" s="6"/>
      <c r="E394" s="6"/>
      <c r="F394" s="6"/>
      <c r="G394" s="6"/>
      <c r="H394" s="4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</row>
    <row r="395">
      <c r="A395" s="5"/>
      <c r="B395" s="6"/>
      <c r="C395" s="6"/>
      <c r="D395" s="6"/>
      <c r="E395" s="6"/>
      <c r="F395" s="6"/>
      <c r="G395" s="6"/>
      <c r="H395" s="4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</row>
    <row r="396">
      <c r="A396" s="5"/>
      <c r="B396" s="6"/>
      <c r="C396" s="6"/>
      <c r="D396" s="6"/>
      <c r="E396" s="6"/>
      <c r="F396" s="6"/>
      <c r="G396" s="6"/>
      <c r="H396" s="4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</row>
    <row r="397">
      <c r="A397" s="5"/>
      <c r="B397" s="6"/>
      <c r="C397" s="6"/>
      <c r="D397" s="6"/>
      <c r="E397" s="6"/>
      <c r="F397" s="6"/>
      <c r="G397" s="6"/>
      <c r="H397" s="4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</row>
    <row r="398">
      <c r="A398" s="5"/>
      <c r="B398" s="6"/>
      <c r="C398" s="6"/>
      <c r="D398" s="6"/>
      <c r="E398" s="6"/>
      <c r="F398" s="6"/>
      <c r="G398" s="6"/>
      <c r="H398" s="4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</row>
    <row r="399">
      <c r="A399" s="5"/>
      <c r="B399" s="6"/>
      <c r="C399" s="6"/>
      <c r="D399" s="6"/>
      <c r="E399" s="6"/>
      <c r="F399" s="6"/>
      <c r="G399" s="6"/>
      <c r="H399" s="4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</row>
    <row r="400">
      <c r="A400" s="5"/>
      <c r="B400" s="6"/>
      <c r="C400" s="6"/>
      <c r="D400" s="6"/>
      <c r="E400" s="6"/>
      <c r="F400" s="6"/>
      <c r="G400" s="6"/>
      <c r="H400" s="4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</row>
    <row r="401">
      <c r="A401" s="5"/>
      <c r="B401" s="6"/>
      <c r="C401" s="6"/>
      <c r="D401" s="6"/>
      <c r="E401" s="6"/>
      <c r="F401" s="6"/>
      <c r="G401" s="6"/>
      <c r="H401" s="4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</row>
    <row r="402">
      <c r="A402" s="5"/>
      <c r="B402" s="6"/>
      <c r="C402" s="6"/>
      <c r="D402" s="6"/>
      <c r="E402" s="6"/>
      <c r="F402" s="6"/>
      <c r="G402" s="6"/>
      <c r="H402" s="4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</row>
    <row r="403">
      <c r="A403" s="5"/>
      <c r="B403" s="6"/>
      <c r="C403" s="6"/>
      <c r="D403" s="6"/>
      <c r="E403" s="6"/>
      <c r="F403" s="6"/>
      <c r="G403" s="6"/>
      <c r="H403" s="4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</row>
    <row r="404">
      <c r="A404" s="5"/>
      <c r="B404" s="6"/>
      <c r="C404" s="6"/>
      <c r="D404" s="6"/>
      <c r="E404" s="6"/>
      <c r="F404" s="6"/>
      <c r="G404" s="6"/>
      <c r="H404" s="4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</row>
    <row r="405">
      <c r="A405" s="5"/>
      <c r="B405" s="6"/>
      <c r="C405" s="6"/>
      <c r="D405" s="6"/>
      <c r="E405" s="6"/>
      <c r="F405" s="6"/>
      <c r="G405" s="6"/>
      <c r="H405" s="4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</row>
    <row r="406">
      <c r="A406" s="5"/>
      <c r="B406" s="6"/>
      <c r="C406" s="6"/>
      <c r="D406" s="6"/>
      <c r="E406" s="6"/>
      <c r="F406" s="6"/>
      <c r="G406" s="6"/>
      <c r="H406" s="4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</row>
    <row r="407">
      <c r="A407" s="5"/>
      <c r="B407" s="6"/>
      <c r="C407" s="6"/>
      <c r="D407" s="6"/>
      <c r="E407" s="6"/>
      <c r="F407" s="6"/>
      <c r="G407" s="6"/>
      <c r="H407" s="4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</row>
    <row r="408">
      <c r="A408" s="5"/>
      <c r="B408" s="6"/>
      <c r="C408" s="6"/>
      <c r="D408" s="6"/>
      <c r="E408" s="6"/>
      <c r="F408" s="6"/>
      <c r="G408" s="6"/>
      <c r="H408" s="4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</row>
    <row r="409">
      <c r="A409" s="5"/>
      <c r="B409" s="6"/>
      <c r="C409" s="6"/>
      <c r="D409" s="6"/>
      <c r="E409" s="6"/>
      <c r="F409" s="6"/>
      <c r="G409" s="6"/>
      <c r="H409" s="4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</row>
    <row r="410">
      <c r="A410" s="5"/>
      <c r="B410" s="6"/>
      <c r="C410" s="6"/>
      <c r="D410" s="6"/>
      <c r="E410" s="6"/>
      <c r="F410" s="6"/>
      <c r="G410" s="6"/>
      <c r="H410" s="4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</row>
    <row r="411">
      <c r="A411" s="5"/>
      <c r="B411" s="6"/>
      <c r="C411" s="6"/>
      <c r="D411" s="6"/>
      <c r="E411" s="6"/>
      <c r="F411" s="6"/>
      <c r="G411" s="6"/>
      <c r="H411" s="4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</row>
    <row r="412">
      <c r="A412" s="5"/>
      <c r="B412" s="6"/>
      <c r="C412" s="6"/>
      <c r="D412" s="6"/>
      <c r="E412" s="6"/>
      <c r="F412" s="6"/>
      <c r="G412" s="6"/>
      <c r="H412" s="4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</row>
    <row r="413">
      <c r="A413" s="5"/>
      <c r="B413" s="6"/>
      <c r="C413" s="6"/>
      <c r="D413" s="6"/>
      <c r="E413" s="6"/>
      <c r="F413" s="6"/>
      <c r="G413" s="6"/>
      <c r="H413" s="4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</row>
    <row r="414">
      <c r="A414" s="5"/>
      <c r="B414" s="6"/>
      <c r="C414" s="6"/>
      <c r="D414" s="6"/>
      <c r="E414" s="6"/>
      <c r="F414" s="6"/>
      <c r="G414" s="6"/>
      <c r="H414" s="4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</row>
    <row r="415">
      <c r="A415" s="5"/>
      <c r="B415" s="6"/>
      <c r="C415" s="6"/>
      <c r="D415" s="6"/>
      <c r="E415" s="6"/>
      <c r="F415" s="6"/>
      <c r="G415" s="6"/>
      <c r="H415" s="4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</row>
    <row r="416">
      <c r="A416" s="5"/>
      <c r="B416" s="6"/>
      <c r="C416" s="6"/>
      <c r="D416" s="6"/>
      <c r="E416" s="6"/>
      <c r="F416" s="6"/>
      <c r="G416" s="6"/>
      <c r="H416" s="4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</row>
    <row r="417">
      <c r="A417" s="5"/>
      <c r="B417" s="6"/>
      <c r="C417" s="6"/>
      <c r="D417" s="6"/>
      <c r="E417" s="6"/>
      <c r="F417" s="6"/>
      <c r="G417" s="6"/>
      <c r="H417" s="4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</row>
    <row r="418">
      <c r="A418" s="5"/>
      <c r="B418" s="6"/>
      <c r="C418" s="6"/>
      <c r="D418" s="6"/>
      <c r="E418" s="6"/>
      <c r="F418" s="6"/>
      <c r="G418" s="6"/>
      <c r="H418" s="4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</row>
    <row r="419">
      <c r="A419" s="5"/>
      <c r="B419" s="6"/>
      <c r="C419" s="6"/>
      <c r="D419" s="6"/>
      <c r="E419" s="6"/>
      <c r="F419" s="6"/>
      <c r="G419" s="6"/>
      <c r="H419" s="4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</row>
    <row r="420">
      <c r="A420" s="5"/>
      <c r="B420" s="6"/>
      <c r="C420" s="6"/>
      <c r="D420" s="6"/>
      <c r="E420" s="6"/>
      <c r="F420" s="6"/>
      <c r="G420" s="6"/>
      <c r="H420" s="4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</row>
    <row r="421">
      <c r="A421" s="5"/>
      <c r="B421" s="6"/>
      <c r="C421" s="6"/>
      <c r="D421" s="6"/>
      <c r="E421" s="6"/>
      <c r="F421" s="6"/>
      <c r="G421" s="6"/>
      <c r="H421" s="4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</row>
    <row r="422">
      <c r="A422" s="5"/>
      <c r="B422" s="6"/>
      <c r="C422" s="6"/>
      <c r="D422" s="6"/>
      <c r="E422" s="6"/>
      <c r="F422" s="6"/>
      <c r="G422" s="6"/>
      <c r="H422" s="4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</row>
    <row r="423">
      <c r="A423" s="5"/>
      <c r="B423" s="6"/>
      <c r="C423" s="6"/>
      <c r="D423" s="6"/>
      <c r="E423" s="6"/>
      <c r="F423" s="6"/>
      <c r="G423" s="6"/>
      <c r="H423" s="4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</row>
    <row r="424">
      <c r="A424" s="5"/>
      <c r="B424" s="6"/>
      <c r="C424" s="6"/>
      <c r="D424" s="6"/>
      <c r="E424" s="6"/>
      <c r="F424" s="6"/>
      <c r="G424" s="6"/>
      <c r="H424" s="4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</row>
    <row r="425">
      <c r="A425" s="5"/>
      <c r="B425" s="6"/>
      <c r="C425" s="6"/>
      <c r="D425" s="6"/>
      <c r="E425" s="6"/>
      <c r="F425" s="6"/>
      <c r="G425" s="6"/>
      <c r="H425" s="4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</row>
    <row r="426">
      <c r="A426" s="5"/>
      <c r="B426" s="6"/>
      <c r="C426" s="6"/>
      <c r="D426" s="6"/>
      <c r="E426" s="6"/>
      <c r="F426" s="6"/>
      <c r="G426" s="6"/>
      <c r="H426" s="4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</row>
    <row r="427">
      <c r="A427" s="5"/>
      <c r="B427" s="6"/>
      <c r="C427" s="6"/>
      <c r="D427" s="6"/>
      <c r="E427" s="6"/>
      <c r="F427" s="6"/>
      <c r="G427" s="6"/>
      <c r="H427" s="4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</row>
    <row r="428">
      <c r="A428" s="5"/>
      <c r="B428" s="6"/>
      <c r="C428" s="6"/>
      <c r="D428" s="6"/>
      <c r="E428" s="6"/>
      <c r="F428" s="6"/>
      <c r="G428" s="6"/>
      <c r="H428" s="4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</row>
    <row r="429">
      <c r="A429" s="5"/>
      <c r="B429" s="6"/>
      <c r="C429" s="6"/>
      <c r="D429" s="6"/>
      <c r="E429" s="6"/>
      <c r="F429" s="6"/>
      <c r="G429" s="6"/>
      <c r="H429" s="4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</row>
    <row r="430">
      <c r="A430" s="5"/>
      <c r="B430" s="6"/>
      <c r="C430" s="6"/>
      <c r="D430" s="6"/>
      <c r="E430" s="6"/>
      <c r="F430" s="6"/>
      <c r="G430" s="6"/>
      <c r="H430" s="4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</row>
    <row r="431">
      <c r="A431" s="5"/>
      <c r="B431" s="6"/>
      <c r="C431" s="6"/>
      <c r="D431" s="6"/>
      <c r="E431" s="6"/>
      <c r="F431" s="6"/>
      <c r="G431" s="6"/>
      <c r="H431" s="4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</row>
    <row r="432">
      <c r="A432" s="5"/>
      <c r="B432" s="6"/>
      <c r="C432" s="6"/>
      <c r="D432" s="6"/>
      <c r="E432" s="6"/>
      <c r="F432" s="6"/>
      <c r="G432" s="6"/>
      <c r="H432" s="4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</row>
    <row r="433">
      <c r="A433" s="5"/>
      <c r="B433" s="6"/>
      <c r="C433" s="6"/>
      <c r="D433" s="6"/>
      <c r="E433" s="6"/>
      <c r="F433" s="6"/>
      <c r="G433" s="6"/>
      <c r="H433" s="4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</row>
    <row r="434">
      <c r="A434" s="5"/>
      <c r="B434" s="6"/>
      <c r="C434" s="6"/>
      <c r="D434" s="6"/>
      <c r="E434" s="6"/>
      <c r="F434" s="6"/>
      <c r="G434" s="6"/>
      <c r="H434" s="4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</row>
    <row r="435">
      <c r="A435" s="5"/>
      <c r="B435" s="6"/>
      <c r="C435" s="6"/>
      <c r="D435" s="6"/>
      <c r="E435" s="6"/>
      <c r="F435" s="6"/>
      <c r="G435" s="6"/>
      <c r="H435" s="4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</row>
    <row r="436">
      <c r="A436" s="5"/>
      <c r="B436" s="6"/>
      <c r="C436" s="6"/>
      <c r="D436" s="6"/>
      <c r="E436" s="6"/>
      <c r="F436" s="6"/>
      <c r="G436" s="6"/>
      <c r="H436" s="4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</row>
    <row r="437">
      <c r="A437" s="5"/>
      <c r="B437" s="6"/>
      <c r="C437" s="6"/>
      <c r="D437" s="6"/>
      <c r="E437" s="6"/>
      <c r="F437" s="6"/>
      <c r="G437" s="6"/>
      <c r="H437" s="4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</row>
    <row r="438">
      <c r="A438" s="5"/>
      <c r="B438" s="6"/>
      <c r="C438" s="6"/>
      <c r="D438" s="6"/>
      <c r="E438" s="6"/>
      <c r="F438" s="6"/>
      <c r="G438" s="6"/>
      <c r="H438" s="4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</row>
    <row r="439">
      <c r="A439" s="5"/>
      <c r="B439" s="6"/>
      <c r="C439" s="6"/>
      <c r="D439" s="6"/>
      <c r="E439" s="6"/>
      <c r="F439" s="6"/>
      <c r="G439" s="6"/>
      <c r="H439" s="4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</row>
    <row r="440">
      <c r="A440" s="5"/>
      <c r="B440" s="6"/>
      <c r="C440" s="6"/>
      <c r="D440" s="6"/>
      <c r="E440" s="6"/>
      <c r="F440" s="6"/>
      <c r="G440" s="6"/>
      <c r="H440" s="4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</row>
    <row r="441">
      <c r="A441" s="5"/>
      <c r="B441" s="6"/>
      <c r="C441" s="6"/>
      <c r="D441" s="6"/>
      <c r="E441" s="6"/>
      <c r="F441" s="6"/>
      <c r="G441" s="6"/>
      <c r="H441" s="4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</row>
    <row r="442">
      <c r="A442" s="5"/>
      <c r="B442" s="6"/>
      <c r="C442" s="6"/>
      <c r="D442" s="6"/>
      <c r="E442" s="6"/>
      <c r="F442" s="6"/>
      <c r="G442" s="6"/>
      <c r="H442" s="4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</row>
    <row r="443">
      <c r="A443" s="5"/>
      <c r="B443" s="6"/>
      <c r="C443" s="6"/>
      <c r="D443" s="6"/>
      <c r="E443" s="6"/>
      <c r="F443" s="6"/>
      <c r="G443" s="6"/>
      <c r="H443" s="4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</row>
    <row r="444">
      <c r="A444" s="5"/>
      <c r="B444" s="6"/>
      <c r="C444" s="6"/>
      <c r="D444" s="6"/>
      <c r="E444" s="6"/>
      <c r="F444" s="6"/>
      <c r="G444" s="6"/>
      <c r="H444" s="4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</row>
    <row r="445">
      <c r="A445" s="5"/>
      <c r="B445" s="6"/>
      <c r="C445" s="6"/>
      <c r="D445" s="6"/>
      <c r="E445" s="6"/>
      <c r="F445" s="6"/>
      <c r="G445" s="6"/>
      <c r="H445" s="4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</row>
    <row r="446">
      <c r="A446" s="5"/>
      <c r="B446" s="6"/>
      <c r="C446" s="6"/>
      <c r="D446" s="6"/>
      <c r="E446" s="6"/>
      <c r="F446" s="6"/>
      <c r="G446" s="6"/>
      <c r="H446" s="4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</row>
    <row r="447">
      <c r="A447" s="5"/>
      <c r="B447" s="6"/>
      <c r="C447" s="6"/>
      <c r="D447" s="6"/>
      <c r="E447" s="6"/>
      <c r="F447" s="6"/>
      <c r="G447" s="6"/>
      <c r="H447" s="4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</row>
    <row r="448">
      <c r="A448" s="5"/>
      <c r="B448" s="6"/>
      <c r="C448" s="6"/>
      <c r="D448" s="6"/>
      <c r="E448" s="6"/>
      <c r="F448" s="6"/>
      <c r="G448" s="6"/>
      <c r="H448" s="4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</row>
    <row r="449">
      <c r="A449" s="5"/>
      <c r="B449" s="6"/>
      <c r="C449" s="6"/>
      <c r="D449" s="6"/>
      <c r="E449" s="6"/>
      <c r="F449" s="6"/>
      <c r="G449" s="6"/>
      <c r="H449" s="4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</row>
    <row r="450">
      <c r="A450" s="5"/>
      <c r="B450" s="6"/>
      <c r="C450" s="6"/>
      <c r="D450" s="6"/>
      <c r="E450" s="6"/>
      <c r="F450" s="6"/>
      <c r="G450" s="6"/>
      <c r="H450" s="4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</row>
    <row r="451">
      <c r="A451" s="5"/>
      <c r="B451" s="6"/>
      <c r="C451" s="6"/>
      <c r="D451" s="6"/>
      <c r="E451" s="6"/>
      <c r="F451" s="6"/>
      <c r="G451" s="6"/>
      <c r="H451" s="4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</row>
    <row r="452">
      <c r="A452" s="5"/>
      <c r="B452" s="6"/>
      <c r="C452" s="6"/>
      <c r="D452" s="6"/>
      <c r="E452" s="6"/>
      <c r="F452" s="6"/>
      <c r="G452" s="6"/>
      <c r="H452" s="4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</row>
    <row r="453">
      <c r="A453" s="5"/>
      <c r="B453" s="6"/>
      <c r="C453" s="6"/>
      <c r="D453" s="6"/>
      <c r="E453" s="6"/>
      <c r="F453" s="6"/>
      <c r="G453" s="6"/>
      <c r="H453" s="4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</row>
    <row r="454">
      <c r="A454" s="5"/>
      <c r="B454" s="6"/>
      <c r="C454" s="6"/>
      <c r="D454" s="6"/>
      <c r="E454" s="6"/>
      <c r="F454" s="6"/>
      <c r="G454" s="6"/>
      <c r="H454" s="4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</row>
    <row r="455">
      <c r="A455" s="5"/>
      <c r="B455" s="6"/>
      <c r="C455" s="6"/>
      <c r="D455" s="6"/>
      <c r="E455" s="6"/>
      <c r="F455" s="6"/>
      <c r="G455" s="6"/>
      <c r="H455" s="4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</row>
    <row r="456">
      <c r="A456" s="5"/>
      <c r="B456" s="6"/>
      <c r="C456" s="6"/>
      <c r="D456" s="6"/>
      <c r="E456" s="6"/>
      <c r="F456" s="6"/>
      <c r="G456" s="6"/>
      <c r="H456" s="4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</row>
    <row r="457">
      <c r="A457" s="5"/>
      <c r="B457" s="6"/>
      <c r="C457" s="6"/>
      <c r="D457" s="6"/>
      <c r="E457" s="6"/>
      <c r="F457" s="6"/>
      <c r="G457" s="6"/>
      <c r="H457" s="4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</row>
    <row r="458">
      <c r="A458" s="5"/>
      <c r="B458" s="6"/>
      <c r="C458" s="6"/>
      <c r="D458" s="6"/>
      <c r="E458" s="6"/>
      <c r="F458" s="6"/>
      <c r="G458" s="6"/>
      <c r="H458" s="4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</row>
    <row r="459">
      <c r="A459" s="5"/>
      <c r="B459" s="6"/>
      <c r="C459" s="6"/>
      <c r="D459" s="6"/>
      <c r="E459" s="6"/>
      <c r="F459" s="6"/>
      <c r="G459" s="6"/>
      <c r="H459" s="4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</row>
    <row r="460">
      <c r="A460" s="5"/>
      <c r="B460" s="6"/>
      <c r="C460" s="6"/>
      <c r="D460" s="6"/>
      <c r="E460" s="6"/>
      <c r="F460" s="6"/>
      <c r="G460" s="6"/>
      <c r="H460" s="4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</row>
    <row r="461">
      <c r="A461" s="5"/>
      <c r="B461" s="6"/>
      <c r="C461" s="6"/>
      <c r="D461" s="6"/>
      <c r="E461" s="6"/>
      <c r="F461" s="6"/>
      <c r="G461" s="6"/>
      <c r="H461" s="4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</row>
    <row r="462">
      <c r="A462" s="5"/>
      <c r="B462" s="6"/>
      <c r="C462" s="6"/>
      <c r="D462" s="6"/>
      <c r="E462" s="6"/>
      <c r="F462" s="6"/>
      <c r="G462" s="6"/>
      <c r="H462" s="4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</row>
    <row r="463">
      <c r="A463" s="5"/>
      <c r="B463" s="6"/>
      <c r="C463" s="6"/>
      <c r="D463" s="6"/>
      <c r="E463" s="6"/>
      <c r="F463" s="6"/>
      <c r="G463" s="6"/>
      <c r="H463" s="4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</row>
    <row r="464">
      <c r="A464" s="5"/>
      <c r="B464" s="6"/>
      <c r="C464" s="6"/>
      <c r="D464" s="6"/>
      <c r="E464" s="6"/>
      <c r="F464" s="6"/>
      <c r="G464" s="6"/>
      <c r="H464" s="4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</row>
    <row r="465">
      <c r="A465" s="5"/>
      <c r="B465" s="6"/>
      <c r="C465" s="6"/>
      <c r="D465" s="6"/>
      <c r="E465" s="6"/>
      <c r="F465" s="6"/>
      <c r="G465" s="6"/>
      <c r="H465" s="4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</row>
    <row r="466">
      <c r="A466" s="5"/>
      <c r="B466" s="6"/>
      <c r="C466" s="6"/>
      <c r="D466" s="6"/>
      <c r="E466" s="6"/>
      <c r="F466" s="6"/>
      <c r="G466" s="6"/>
      <c r="H466" s="4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</row>
    <row r="467">
      <c r="A467" s="5"/>
      <c r="B467" s="6"/>
      <c r="C467" s="6"/>
      <c r="D467" s="6"/>
      <c r="E467" s="6"/>
      <c r="F467" s="6"/>
      <c r="G467" s="6"/>
      <c r="H467" s="4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</row>
    <row r="468">
      <c r="A468" s="5"/>
      <c r="B468" s="6"/>
      <c r="C468" s="6"/>
      <c r="D468" s="6"/>
      <c r="E468" s="6"/>
      <c r="F468" s="6"/>
      <c r="G468" s="6"/>
      <c r="H468" s="4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</row>
    <row r="469">
      <c r="A469" s="5"/>
      <c r="B469" s="6"/>
      <c r="C469" s="6"/>
      <c r="D469" s="6"/>
      <c r="E469" s="6"/>
      <c r="F469" s="6"/>
      <c r="G469" s="6"/>
      <c r="H469" s="4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</row>
    <row r="470">
      <c r="A470" s="5"/>
      <c r="B470" s="6"/>
      <c r="C470" s="6"/>
      <c r="D470" s="6"/>
      <c r="E470" s="6"/>
      <c r="F470" s="6"/>
      <c r="G470" s="6"/>
      <c r="H470" s="4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</row>
    <row r="471">
      <c r="A471" s="5"/>
      <c r="B471" s="6"/>
      <c r="C471" s="6"/>
      <c r="D471" s="6"/>
      <c r="E471" s="6"/>
      <c r="F471" s="6"/>
      <c r="G471" s="6"/>
      <c r="H471" s="4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</row>
    <row r="472">
      <c r="A472" s="5"/>
      <c r="B472" s="6"/>
      <c r="C472" s="6"/>
      <c r="D472" s="6"/>
      <c r="E472" s="6"/>
      <c r="F472" s="6"/>
      <c r="G472" s="6"/>
      <c r="H472" s="4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</row>
    <row r="473">
      <c r="A473" s="5"/>
      <c r="B473" s="6"/>
      <c r="C473" s="6"/>
      <c r="D473" s="6"/>
      <c r="E473" s="6"/>
      <c r="F473" s="6"/>
      <c r="G473" s="6"/>
      <c r="H473" s="4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</row>
    <row r="474">
      <c r="A474" s="5"/>
      <c r="B474" s="6"/>
      <c r="C474" s="6"/>
      <c r="D474" s="6"/>
      <c r="E474" s="6"/>
      <c r="F474" s="6"/>
      <c r="G474" s="6"/>
      <c r="H474" s="4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</row>
    <row r="475">
      <c r="A475" s="5"/>
      <c r="B475" s="6"/>
      <c r="C475" s="6"/>
      <c r="D475" s="6"/>
      <c r="E475" s="6"/>
      <c r="F475" s="6"/>
      <c r="G475" s="6"/>
      <c r="H475" s="4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</row>
    <row r="476">
      <c r="A476" s="5"/>
      <c r="B476" s="6"/>
      <c r="C476" s="6"/>
      <c r="D476" s="6"/>
      <c r="E476" s="6"/>
      <c r="F476" s="6"/>
      <c r="G476" s="6"/>
      <c r="H476" s="4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</row>
    <row r="477">
      <c r="A477" s="5"/>
      <c r="B477" s="6"/>
      <c r="C477" s="6"/>
      <c r="D477" s="6"/>
      <c r="E477" s="6"/>
      <c r="F477" s="6"/>
      <c r="G477" s="6"/>
      <c r="H477" s="4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</row>
    <row r="478">
      <c r="A478" s="5"/>
      <c r="B478" s="6"/>
      <c r="C478" s="6"/>
      <c r="D478" s="6"/>
      <c r="E478" s="6"/>
      <c r="F478" s="6"/>
      <c r="G478" s="6"/>
      <c r="H478" s="4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</row>
    <row r="479">
      <c r="A479" s="5"/>
      <c r="B479" s="6"/>
      <c r="C479" s="6"/>
      <c r="D479" s="6"/>
      <c r="E479" s="6"/>
      <c r="F479" s="6"/>
      <c r="G479" s="6"/>
      <c r="H479" s="4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</row>
    <row r="480">
      <c r="A480" s="5"/>
      <c r="B480" s="6"/>
      <c r="C480" s="6"/>
      <c r="D480" s="6"/>
      <c r="E480" s="6"/>
      <c r="F480" s="6"/>
      <c r="G480" s="6"/>
      <c r="H480" s="4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</row>
    <row r="481">
      <c r="A481" s="5"/>
      <c r="B481" s="6"/>
      <c r="C481" s="6"/>
      <c r="D481" s="6"/>
      <c r="E481" s="6"/>
      <c r="F481" s="6"/>
      <c r="G481" s="6"/>
      <c r="H481" s="4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</row>
    <row r="482">
      <c r="A482" s="5"/>
      <c r="B482" s="6"/>
      <c r="C482" s="6"/>
      <c r="D482" s="6"/>
      <c r="E482" s="6"/>
      <c r="F482" s="6"/>
      <c r="G482" s="6"/>
      <c r="H482" s="4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</row>
    <row r="483">
      <c r="A483" s="5"/>
      <c r="B483" s="6"/>
      <c r="C483" s="6"/>
      <c r="D483" s="6"/>
      <c r="E483" s="6"/>
      <c r="F483" s="6"/>
      <c r="G483" s="6"/>
      <c r="H483" s="4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</row>
    <row r="484">
      <c r="A484" s="5"/>
      <c r="B484" s="6"/>
      <c r="C484" s="6"/>
      <c r="D484" s="6"/>
      <c r="E484" s="6"/>
      <c r="F484" s="6"/>
      <c r="G484" s="6"/>
      <c r="H484" s="4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</row>
    <row r="485">
      <c r="A485" s="5"/>
      <c r="B485" s="6"/>
      <c r="C485" s="6"/>
      <c r="D485" s="6"/>
      <c r="E485" s="6"/>
      <c r="F485" s="6"/>
      <c r="G485" s="6"/>
      <c r="H485" s="4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</row>
    <row r="486">
      <c r="A486" s="5"/>
      <c r="B486" s="6"/>
      <c r="C486" s="6"/>
      <c r="D486" s="6"/>
      <c r="E486" s="6"/>
      <c r="F486" s="6"/>
      <c r="G486" s="6"/>
      <c r="H486" s="4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</row>
    <row r="487">
      <c r="A487" s="5"/>
      <c r="B487" s="6"/>
      <c r="C487" s="6"/>
      <c r="D487" s="6"/>
      <c r="E487" s="6"/>
      <c r="F487" s="6"/>
      <c r="G487" s="6"/>
      <c r="H487" s="4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</row>
    <row r="488">
      <c r="A488" s="5"/>
      <c r="B488" s="6"/>
      <c r="C488" s="6"/>
      <c r="D488" s="6"/>
      <c r="E488" s="6"/>
      <c r="F488" s="6"/>
      <c r="G488" s="6"/>
      <c r="H488" s="4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</row>
    <row r="489">
      <c r="A489" s="5"/>
      <c r="B489" s="6"/>
      <c r="C489" s="6"/>
      <c r="D489" s="6"/>
      <c r="E489" s="6"/>
      <c r="F489" s="6"/>
      <c r="G489" s="6"/>
      <c r="H489" s="4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</row>
    <row r="490">
      <c r="A490" s="5"/>
      <c r="B490" s="6"/>
      <c r="C490" s="6"/>
      <c r="D490" s="6"/>
      <c r="E490" s="6"/>
      <c r="F490" s="6"/>
      <c r="G490" s="6"/>
      <c r="H490" s="4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</row>
    <row r="491">
      <c r="A491" s="5"/>
      <c r="B491" s="6"/>
      <c r="C491" s="6"/>
      <c r="D491" s="6"/>
      <c r="E491" s="6"/>
      <c r="F491" s="6"/>
      <c r="G491" s="6"/>
      <c r="H491" s="4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</row>
    <row r="492">
      <c r="A492" s="5"/>
      <c r="B492" s="6"/>
      <c r="C492" s="6"/>
      <c r="D492" s="6"/>
      <c r="E492" s="6"/>
      <c r="F492" s="6"/>
      <c r="G492" s="6"/>
      <c r="H492" s="4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</row>
    <row r="493">
      <c r="A493" s="5"/>
      <c r="B493" s="6"/>
      <c r="C493" s="6"/>
      <c r="D493" s="6"/>
      <c r="E493" s="6"/>
      <c r="F493" s="6"/>
      <c r="G493" s="6"/>
      <c r="H493" s="4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</row>
    <row r="494">
      <c r="A494" s="5"/>
      <c r="B494" s="6"/>
      <c r="C494" s="6"/>
      <c r="D494" s="6"/>
      <c r="E494" s="6"/>
      <c r="F494" s="6"/>
      <c r="G494" s="6"/>
      <c r="H494" s="4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</row>
    <row r="495">
      <c r="A495" s="5"/>
      <c r="B495" s="6"/>
      <c r="C495" s="6"/>
      <c r="D495" s="6"/>
      <c r="E495" s="6"/>
      <c r="F495" s="6"/>
      <c r="G495" s="6"/>
      <c r="H495" s="4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</row>
    <row r="496">
      <c r="A496" s="5"/>
      <c r="B496" s="6"/>
      <c r="C496" s="6"/>
      <c r="D496" s="6"/>
      <c r="E496" s="6"/>
      <c r="F496" s="6"/>
      <c r="G496" s="6"/>
      <c r="H496" s="4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</row>
    <row r="497">
      <c r="A497" s="5"/>
      <c r="B497" s="6"/>
      <c r="C497" s="6"/>
      <c r="D497" s="6"/>
      <c r="E497" s="6"/>
      <c r="F497" s="6"/>
      <c r="G497" s="6"/>
      <c r="H497" s="4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</row>
    <row r="498">
      <c r="A498" s="5"/>
      <c r="B498" s="6"/>
      <c r="C498" s="6"/>
      <c r="D498" s="6"/>
      <c r="E498" s="6"/>
      <c r="F498" s="6"/>
      <c r="G498" s="6"/>
      <c r="H498" s="4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</row>
    <row r="499">
      <c r="A499" s="5"/>
      <c r="B499" s="6"/>
      <c r="C499" s="6"/>
      <c r="D499" s="6"/>
      <c r="E499" s="6"/>
      <c r="F499" s="6"/>
      <c r="G499" s="6"/>
      <c r="H499" s="4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</row>
    <row r="500">
      <c r="A500" s="5"/>
      <c r="B500" s="6"/>
      <c r="C500" s="6"/>
      <c r="D500" s="6"/>
      <c r="E500" s="6"/>
      <c r="F500" s="6"/>
      <c r="G500" s="6"/>
      <c r="H500" s="4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</row>
    <row r="501">
      <c r="A501" s="5"/>
      <c r="B501" s="6"/>
      <c r="C501" s="6"/>
      <c r="D501" s="6"/>
      <c r="E501" s="6"/>
      <c r="F501" s="6"/>
      <c r="G501" s="6"/>
      <c r="H501" s="4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</row>
    <row r="502">
      <c r="A502" s="5"/>
      <c r="B502" s="6"/>
      <c r="C502" s="6"/>
      <c r="D502" s="6"/>
      <c r="E502" s="6"/>
      <c r="F502" s="6"/>
      <c r="G502" s="6"/>
      <c r="H502" s="4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</row>
    <row r="503">
      <c r="A503" s="5"/>
      <c r="B503" s="6"/>
      <c r="C503" s="6"/>
      <c r="D503" s="6"/>
      <c r="E503" s="6"/>
      <c r="F503" s="6"/>
      <c r="G503" s="6"/>
      <c r="H503" s="4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</row>
    <row r="504">
      <c r="A504" s="5"/>
      <c r="B504" s="6"/>
      <c r="C504" s="6"/>
      <c r="D504" s="6"/>
      <c r="E504" s="6"/>
      <c r="F504" s="6"/>
      <c r="G504" s="6"/>
      <c r="H504" s="4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</row>
    <row r="505">
      <c r="A505" s="5"/>
      <c r="B505" s="6"/>
      <c r="C505" s="6"/>
      <c r="D505" s="6"/>
      <c r="E505" s="6"/>
      <c r="F505" s="6"/>
      <c r="G505" s="6"/>
      <c r="H505" s="4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</row>
    <row r="506">
      <c r="A506" s="5"/>
      <c r="B506" s="6"/>
      <c r="C506" s="6"/>
      <c r="D506" s="6"/>
      <c r="E506" s="6"/>
      <c r="F506" s="6"/>
      <c r="G506" s="6"/>
      <c r="H506" s="4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</row>
    <row r="507">
      <c r="A507" s="5"/>
      <c r="B507" s="6"/>
      <c r="C507" s="6"/>
      <c r="D507" s="6"/>
      <c r="E507" s="6"/>
      <c r="F507" s="6"/>
      <c r="G507" s="6"/>
      <c r="H507" s="4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</row>
    <row r="508">
      <c r="A508" s="5"/>
      <c r="B508" s="6"/>
      <c r="C508" s="6"/>
      <c r="D508" s="6"/>
      <c r="E508" s="6"/>
      <c r="F508" s="6"/>
      <c r="G508" s="6"/>
      <c r="H508" s="4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</row>
    <row r="509">
      <c r="A509" s="5"/>
      <c r="B509" s="6"/>
      <c r="C509" s="6"/>
      <c r="D509" s="6"/>
      <c r="E509" s="6"/>
      <c r="F509" s="6"/>
      <c r="G509" s="6"/>
      <c r="H509" s="4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</row>
    <row r="510">
      <c r="A510" s="5"/>
      <c r="B510" s="6"/>
      <c r="C510" s="6"/>
      <c r="D510" s="6"/>
      <c r="E510" s="6"/>
      <c r="F510" s="6"/>
      <c r="G510" s="6"/>
      <c r="H510" s="4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</row>
    <row r="511">
      <c r="A511" s="5"/>
      <c r="B511" s="6"/>
      <c r="C511" s="6"/>
      <c r="D511" s="6"/>
      <c r="E511" s="6"/>
      <c r="F511" s="6"/>
      <c r="G511" s="6"/>
      <c r="H511" s="4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</row>
    <row r="512">
      <c r="A512" s="5"/>
      <c r="B512" s="6"/>
      <c r="C512" s="6"/>
      <c r="D512" s="6"/>
      <c r="E512" s="6"/>
      <c r="F512" s="6"/>
      <c r="G512" s="6"/>
      <c r="H512" s="4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</row>
    <row r="513">
      <c r="A513" s="5"/>
      <c r="B513" s="6"/>
      <c r="C513" s="6"/>
      <c r="D513" s="6"/>
      <c r="E513" s="6"/>
      <c r="F513" s="6"/>
      <c r="G513" s="6"/>
      <c r="H513" s="4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</row>
    <row r="514">
      <c r="A514" s="5"/>
      <c r="B514" s="6"/>
      <c r="C514" s="6"/>
      <c r="D514" s="6"/>
      <c r="E514" s="6"/>
      <c r="F514" s="6"/>
      <c r="G514" s="6"/>
      <c r="H514" s="4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</row>
    <row r="515">
      <c r="A515" s="5"/>
      <c r="B515" s="6"/>
      <c r="C515" s="6"/>
      <c r="D515" s="6"/>
      <c r="E515" s="6"/>
      <c r="F515" s="6"/>
      <c r="G515" s="6"/>
      <c r="H515" s="4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</row>
    <row r="516">
      <c r="A516" s="5"/>
      <c r="B516" s="6"/>
      <c r="C516" s="6"/>
      <c r="D516" s="6"/>
      <c r="E516" s="6"/>
      <c r="F516" s="6"/>
      <c r="G516" s="6"/>
      <c r="H516" s="4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</row>
    <row r="517">
      <c r="A517" s="5"/>
      <c r="B517" s="6"/>
      <c r="C517" s="6"/>
      <c r="D517" s="6"/>
      <c r="E517" s="6"/>
      <c r="F517" s="6"/>
      <c r="G517" s="6"/>
      <c r="H517" s="4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</row>
    <row r="518">
      <c r="A518" s="5"/>
      <c r="B518" s="6"/>
      <c r="C518" s="6"/>
      <c r="D518" s="6"/>
      <c r="E518" s="6"/>
      <c r="F518" s="6"/>
      <c r="G518" s="6"/>
      <c r="H518" s="4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</row>
    <row r="519">
      <c r="A519" s="5"/>
      <c r="B519" s="6"/>
      <c r="C519" s="6"/>
      <c r="D519" s="6"/>
      <c r="E519" s="6"/>
      <c r="F519" s="6"/>
      <c r="G519" s="6"/>
      <c r="H519" s="4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</row>
    <row r="520">
      <c r="A520" s="5"/>
      <c r="B520" s="6"/>
      <c r="C520" s="6"/>
      <c r="D520" s="6"/>
      <c r="E520" s="6"/>
      <c r="F520" s="6"/>
      <c r="G520" s="6"/>
      <c r="H520" s="4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</row>
    <row r="521">
      <c r="A521" s="5"/>
      <c r="B521" s="6"/>
      <c r="C521" s="6"/>
      <c r="D521" s="6"/>
      <c r="E521" s="6"/>
      <c r="F521" s="6"/>
      <c r="G521" s="6"/>
      <c r="H521" s="4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</row>
    <row r="522">
      <c r="A522" s="5"/>
      <c r="B522" s="6"/>
      <c r="C522" s="6"/>
      <c r="D522" s="6"/>
      <c r="E522" s="6"/>
      <c r="F522" s="6"/>
      <c r="G522" s="6"/>
      <c r="H522" s="4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</row>
    <row r="523">
      <c r="A523" s="5"/>
      <c r="B523" s="6"/>
      <c r="C523" s="6"/>
      <c r="D523" s="6"/>
      <c r="E523" s="6"/>
      <c r="F523" s="6"/>
      <c r="G523" s="6"/>
      <c r="H523" s="4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</row>
    <row r="524">
      <c r="A524" s="5"/>
      <c r="B524" s="6"/>
      <c r="C524" s="6"/>
      <c r="D524" s="6"/>
      <c r="E524" s="6"/>
      <c r="F524" s="6"/>
      <c r="G524" s="6"/>
      <c r="H524" s="4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</row>
    <row r="525">
      <c r="A525" s="5"/>
      <c r="B525" s="6"/>
      <c r="C525" s="6"/>
      <c r="D525" s="6"/>
      <c r="E525" s="6"/>
      <c r="F525" s="6"/>
      <c r="G525" s="6"/>
      <c r="H525" s="4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</row>
    <row r="526">
      <c r="A526" s="5"/>
      <c r="B526" s="6"/>
      <c r="C526" s="6"/>
      <c r="D526" s="6"/>
      <c r="E526" s="6"/>
      <c r="F526" s="6"/>
      <c r="G526" s="6"/>
      <c r="H526" s="4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</row>
    <row r="527">
      <c r="A527" s="5"/>
      <c r="B527" s="6"/>
      <c r="C527" s="6"/>
      <c r="D527" s="6"/>
      <c r="E527" s="6"/>
      <c r="F527" s="6"/>
      <c r="G527" s="6"/>
      <c r="H527" s="4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</row>
    <row r="528">
      <c r="A528" s="5"/>
      <c r="B528" s="6"/>
      <c r="C528" s="6"/>
      <c r="D528" s="6"/>
      <c r="E528" s="6"/>
      <c r="F528" s="6"/>
      <c r="G528" s="6"/>
      <c r="H528" s="4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</row>
    <row r="529">
      <c r="A529" s="5"/>
      <c r="B529" s="6"/>
      <c r="C529" s="6"/>
      <c r="D529" s="6"/>
      <c r="E529" s="6"/>
      <c r="F529" s="6"/>
      <c r="G529" s="6"/>
      <c r="H529" s="4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</row>
    <row r="530">
      <c r="A530" s="5"/>
      <c r="B530" s="6"/>
      <c r="C530" s="6"/>
      <c r="D530" s="6"/>
      <c r="E530" s="6"/>
      <c r="F530" s="6"/>
      <c r="G530" s="6"/>
      <c r="H530" s="4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</row>
    <row r="531">
      <c r="A531" s="5"/>
      <c r="B531" s="6"/>
      <c r="C531" s="6"/>
      <c r="D531" s="6"/>
      <c r="E531" s="6"/>
      <c r="F531" s="6"/>
      <c r="G531" s="6"/>
      <c r="H531" s="4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</row>
    <row r="532">
      <c r="A532" s="5"/>
      <c r="B532" s="6"/>
      <c r="C532" s="6"/>
      <c r="D532" s="6"/>
      <c r="E532" s="6"/>
      <c r="F532" s="6"/>
      <c r="G532" s="6"/>
      <c r="H532" s="4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</row>
    <row r="533">
      <c r="A533" s="5"/>
      <c r="B533" s="6"/>
      <c r="C533" s="6"/>
      <c r="D533" s="6"/>
      <c r="E533" s="6"/>
      <c r="F533" s="6"/>
      <c r="G533" s="6"/>
      <c r="H533" s="4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</row>
    <row r="534">
      <c r="A534" s="5"/>
      <c r="B534" s="6"/>
      <c r="C534" s="6"/>
      <c r="D534" s="6"/>
      <c r="E534" s="6"/>
      <c r="F534" s="6"/>
      <c r="G534" s="6"/>
      <c r="H534" s="4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</row>
    <row r="535">
      <c r="A535" s="5"/>
      <c r="B535" s="6"/>
      <c r="C535" s="6"/>
      <c r="D535" s="6"/>
      <c r="E535" s="6"/>
      <c r="F535" s="6"/>
      <c r="G535" s="6"/>
      <c r="H535" s="4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</row>
    <row r="536">
      <c r="A536" s="5"/>
      <c r="B536" s="6"/>
      <c r="C536" s="6"/>
      <c r="D536" s="6"/>
      <c r="E536" s="6"/>
      <c r="F536" s="6"/>
      <c r="G536" s="6"/>
      <c r="H536" s="4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</row>
    <row r="537">
      <c r="A537" s="5"/>
      <c r="B537" s="6"/>
      <c r="C537" s="6"/>
      <c r="D537" s="6"/>
      <c r="E537" s="6"/>
      <c r="F537" s="6"/>
      <c r="G537" s="6"/>
      <c r="H537" s="4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</row>
    <row r="538">
      <c r="A538" s="5"/>
      <c r="B538" s="6"/>
      <c r="C538" s="6"/>
      <c r="D538" s="6"/>
      <c r="E538" s="6"/>
      <c r="F538" s="6"/>
      <c r="G538" s="6"/>
      <c r="H538" s="4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</row>
    <row r="539">
      <c r="A539" s="5"/>
      <c r="B539" s="6"/>
      <c r="C539" s="6"/>
      <c r="D539" s="6"/>
      <c r="E539" s="6"/>
      <c r="F539" s="6"/>
      <c r="G539" s="6"/>
      <c r="H539" s="4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</row>
    <row r="540">
      <c r="A540" s="5"/>
      <c r="B540" s="6"/>
      <c r="C540" s="6"/>
      <c r="D540" s="6"/>
      <c r="E540" s="6"/>
      <c r="F540" s="6"/>
      <c r="G540" s="6"/>
      <c r="H540" s="4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</row>
    <row r="541">
      <c r="A541" s="5"/>
      <c r="B541" s="6"/>
      <c r="C541" s="6"/>
      <c r="D541" s="6"/>
      <c r="E541" s="6"/>
      <c r="F541" s="6"/>
      <c r="G541" s="6"/>
      <c r="H541" s="4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</row>
    <row r="542">
      <c r="A542" s="5"/>
      <c r="B542" s="6"/>
      <c r="C542" s="6"/>
      <c r="D542" s="6"/>
      <c r="E542" s="6"/>
      <c r="F542" s="6"/>
      <c r="G542" s="6"/>
      <c r="H542" s="4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</row>
    <row r="543">
      <c r="A543" s="5"/>
      <c r="B543" s="6"/>
      <c r="C543" s="6"/>
      <c r="D543" s="6"/>
      <c r="E543" s="6"/>
      <c r="F543" s="6"/>
      <c r="G543" s="6"/>
      <c r="H543" s="4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</row>
    <row r="544">
      <c r="A544" s="5"/>
      <c r="B544" s="6"/>
      <c r="C544" s="6"/>
      <c r="D544" s="6"/>
      <c r="E544" s="6"/>
      <c r="F544" s="6"/>
      <c r="G544" s="6"/>
      <c r="H544" s="4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</row>
    <row r="545">
      <c r="A545" s="5"/>
      <c r="B545" s="6"/>
      <c r="C545" s="6"/>
      <c r="D545" s="6"/>
      <c r="E545" s="6"/>
      <c r="F545" s="6"/>
      <c r="G545" s="6"/>
      <c r="H545" s="4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</row>
    <row r="546">
      <c r="A546" s="5"/>
      <c r="B546" s="6"/>
      <c r="C546" s="6"/>
      <c r="D546" s="6"/>
      <c r="E546" s="6"/>
      <c r="F546" s="6"/>
      <c r="G546" s="6"/>
      <c r="H546" s="4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</row>
    <row r="547">
      <c r="A547" s="5"/>
      <c r="B547" s="6"/>
      <c r="C547" s="6"/>
      <c r="D547" s="6"/>
      <c r="E547" s="6"/>
      <c r="F547" s="6"/>
      <c r="G547" s="6"/>
      <c r="H547" s="4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</row>
    <row r="548">
      <c r="A548" s="5"/>
      <c r="B548" s="6"/>
      <c r="C548" s="6"/>
      <c r="D548" s="6"/>
      <c r="E548" s="6"/>
      <c r="F548" s="6"/>
      <c r="G548" s="6"/>
      <c r="H548" s="4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</row>
    <row r="549">
      <c r="A549" s="5"/>
      <c r="B549" s="6"/>
      <c r="C549" s="6"/>
      <c r="D549" s="6"/>
      <c r="E549" s="6"/>
      <c r="F549" s="6"/>
      <c r="G549" s="6"/>
      <c r="H549" s="4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</row>
    <row r="550">
      <c r="A550" s="5"/>
      <c r="B550" s="6"/>
      <c r="C550" s="6"/>
      <c r="D550" s="6"/>
      <c r="E550" s="6"/>
      <c r="F550" s="6"/>
      <c r="G550" s="6"/>
      <c r="H550" s="4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</row>
    <row r="551">
      <c r="A551" s="5"/>
      <c r="B551" s="6"/>
      <c r="C551" s="6"/>
      <c r="D551" s="6"/>
      <c r="E551" s="6"/>
      <c r="F551" s="6"/>
      <c r="G551" s="6"/>
      <c r="H551" s="4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</row>
    <row r="552">
      <c r="A552" s="5"/>
      <c r="B552" s="6"/>
      <c r="C552" s="6"/>
      <c r="D552" s="6"/>
      <c r="E552" s="6"/>
      <c r="F552" s="6"/>
      <c r="G552" s="6"/>
      <c r="H552" s="4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</row>
    <row r="553">
      <c r="A553" s="5"/>
      <c r="B553" s="6"/>
      <c r="C553" s="6"/>
      <c r="D553" s="6"/>
      <c r="E553" s="6"/>
      <c r="F553" s="6"/>
      <c r="G553" s="6"/>
      <c r="H553" s="4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</row>
    <row r="554">
      <c r="A554" s="5"/>
      <c r="B554" s="6"/>
      <c r="C554" s="6"/>
      <c r="D554" s="6"/>
      <c r="E554" s="6"/>
      <c r="F554" s="6"/>
      <c r="G554" s="6"/>
      <c r="H554" s="4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</row>
    <row r="555">
      <c r="A555" s="5"/>
      <c r="B555" s="6"/>
      <c r="C555" s="6"/>
      <c r="D555" s="6"/>
      <c r="E555" s="6"/>
      <c r="F555" s="6"/>
      <c r="G555" s="6"/>
      <c r="H555" s="4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</row>
    <row r="556">
      <c r="A556" s="5"/>
      <c r="B556" s="6"/>
      <c r="C556" s="6"/>
      <c r="D556" s="6"/>
      <c r="E556" s="6"/>
      <c r="F556" s="6"/>
      <c r="G556" s="6"/>
      <c r="H556" s="4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</row>
    <row r="557">
      <c r="A557" s="5"/>
      <c r="B557" s="6"/>
      <c r="C557" s="6"/>
      <c r="D557" s="6"/>
      <c r="E557" s="6"/>
      <c r="F557" s="6"/>
      <c r="G557" s="6"/>
      <c r="H557" s="4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</row>
    <row r="558">
      <c r="A558" s="5"/>
      <c r="B558" s="6"/>
      <c r="C558" s="6"/>
      <c r="D558" s="6"/>
      <c r="E558" s="6"/>
      <c r="F558" s="6"/>
      <c r="G558" s="6"/>
      <c r="H558" s="4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</row>
    <row r="559">
      <c r="A559" s="5"/>
      <c r="B559" s="6"/>
      <c r="C559" s="6"/>
      <c r="D559" s="6"/>
      <c r="E559" s="6"/>
      <c r="F559" s="6"/>
      <c r="G559" s="6"/>
      <c r="H559" s="4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</row>
    <row r="560">
      <c r="A560" s="5"/>
      <c r="B560" s="6"/>
      <c r="C560" s="6"/>
      <c r="D560" s="6"/>
      <c r="E560" s="6"/>
      <c r="F560" s="6"/>
      <c r="G560" s="6"/>
      <c r="H560" s="4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</row>
    <row r="561">
      <c r="A561" s="5"/>
      <c r="B561" s="6"/>
      <c r="C561" s="6"/>
      <c r="D561" s="6"/>
      <c r="E561" s="6"/>
      <c r="F561" s="6"/>
      <c r="G561" s="6"/>
      <c r="H561" s="4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</row>
    <row r="562">
      <c r="A562" s="5"/>
      <c r="B562" s="6"/>
      <c r="C562" s="6"/>
      <c r="D562" s="6"/>
      <c r="E562" s="6"/>
      <c r="F562" s="6"/>
      <c r="G562" s="6"/>
      <c r="H562" s="4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</row>
    <row r="563">
      <c r="A563" s="5"/>
      <c r="B563" s="6"/>
      <c r="C563" s="6"/>
      <c r="D563" s="6"/>
      <c r="E563" s="6"/>
      <c r="F563" s="6"/>
      <c r="G563" s="6"/>
      <c r="H563" s="4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</row>
    <row r="564">
      <c r="A564" s="5"/>
      <c r="B564" s="6"/>
      <c r="C564" s="6"/>
      <c r="D564" s="6"/>
      <c r="E564" s="6"/>
      <c r="F564" s="6"/>
      <c r="G564" s="6"/>
      <c r="H564" s="4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</row>
    <row r="565">
      <c r="A565" s="5"/>
      <c r="B565" s="6"/>
      <c r="C565" s="6"/>
      <c r="D565" s="6"/>
      <c r="E565" s="6"/>
      <c r="F565" s="6"/>
      <c r="G565" s="6"/>
      <c r="H565" s="4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</row>
    <row r="566">
      <c r="A566" s="5"/>
      <c r="B566" s="6"/>
      <c r="C566" s="6"/>
      <c r="D566" s="6"/>
      <c r="E566" s="6"/>
      <c r="F566" s="6"/>
      <c r="G566" s="6"/>
      <c r="H566" s="4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</row>
    <row r="567">
      <c r="A567" s="5"/>
      <c r="B567" s="6"/>
      <c r="C567" s="6"/>
      <c r="D567" s="6"/>
      <c r="E567" s="6"/>
      <c r="F567" s="6"/>
      <c r="G567" s="6"/>
      <c r="H567" s="4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</row>
    <row r="568">
      <c r="A568" s="5"/>
      <c r="B568" s="6"/>
      <c r="C568" s="6"/>
      <c r="D568" s="6"/>
      <c r="E568" s="6"/>
      <c r="F568" s="6"/>
      <c r="G568" s="6"/>
      <c r="H568" s="4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</row>
    <row r="569">
      <c r="A569" s="5"/>
      <c r="B569" s="6"/>
      <c r="C569" s="6"/>
      <c r="D569" s="6"/>
      <c r="E569" s="6"/>
      <c r="F569" s="6"/>
      <c r="G569" s="6"/>
      <c r="H569" s="4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</row>
    <row r="570">
      <c r="A570" s="5"/>
      <c r="B570" s="6"/>
      <c r="C570" s="6"/>
      <c r="D570" s="6"/>
      <c r="E570" s="6"/>
      <c r="F570" s="6"/>
      <c r="G570" s="6"/>
      <c r="H570" s="4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</row>
    <row r="571">
      <c r="A571" s="5"/>
      <c r="B571" s="6"/>
      <c r="C571" s="6"/>
      <c r="D571" s="6"/>
      <c r="E571" s="6"/>
      <c r="F571" s="6"/>
      <c r="G571" s="6"/>
      <c r="H571" s="4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</row>
    <row r="572">
      <c r="A572" s="5"/>
      <c r="B572" s="6"/>
      <c r="C572" s="6"/>
      <c r="D572" s="6"/>
      <c r="E572" s="6"/>
      <c r="F572" s="6"/>
      <c r="G572" s="6"/>
      <c r="H572" s="4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</row>
    <row r="573">
      <c r="A573" s="5"/>
      <c r="B573" s="6"/>
      <c r="C573" s="6"/>
      <c r="D573" s="6"/>
      <c r="E573" s="6"/>
      <c r="F573" s="6"/>
      <c r="G573" s="6"/>
      <c r="H573" s="4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</row>
    <row r="574">
      <c r="A574" s="5"/>
      <c r="B574" s="6"/>
      <c r="C574" s="6"/>
      <c r="D574" s="6"/>
      <c r="E574" s="6"/>
      <c r="F574" s="6"/>
      <c r="G574" s="6"/>
      <c r="H574" s="4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</row>
    <row r="575">
      <c r="A575" s="5"/>
      <c r="B575" s="6"/>
      <c r="C575" s="6"/>
      <c r="D575" s="6"/>
      <c r="E575" s="6"/>
      <c r="F575" s="6"/>
      <c r="G575" s="6"/>
      <c r="H575" s="4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</row>
    <row r="576">
      <c r="A576" s="5"/>
      <c r="B576" s="6"/>
      <c r="C576" s="6"/>
      <c r="D576" s="6"/>
      <c r="E576" s="6"/>
      <c r="F576" s="6"/>
      <c r="G576" s="6"/>
      <c r="H576" s="4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</row>
    <row r="577">
      <c r="A577" s="5"/>
      <c r="B577" s="6"/>
      <c r="C577" s="6"/>
      <c r="D577" s="6"/>
      <c r="E577" s="6"/>
      <c r="F577" s="6"/>
      <c r="G577" s="6"/>
      <c r="H577" s="4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</row>
    <row r="578">
      <c r="A578" s="5"/>
      <c r="B578" s="6"/>
      <c r="C578" s="6"/>
      <c r="D578" s="6"/>
      <c r="E578" s="6"/>
      <c r="F578" s="6"/>
      <c r="G578" s="6"/>
      <c r="H578" s="4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</row>
    <row r="579">
      <c r="A579" s="5"/>
      <c r="B579" s="6"/>
      <c r="C579" s="6"/>
      <c r="D579" s="6"/>
      <c r="E579" s="6"/>
      <c r="F579" s="6"/>
      <c r="G579" s="6"/>
      <c r="H579" s="4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</row>
    <row r="580">
      <c r="A580" s="5"/>
      <c r="B580" s="6"/>
      <c r="C580" s="6"/>
      <c r="D580" s="6"/>
      <c r="E580" s="6"/>
      <c r="F580" s="6"/>
      <c r="G580" s="6"/>
      <c r="H580" s="4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</row>
    <row r="581">
      <c r="A581" s="5"/>
      <c r="B581" s="6"/>
      <c r="C581" s="6"/>
      <c r="D581" s="6"/>
      <c r="E581" s="6"/>
      <c r="F581" s="6"/>
      <c r="G581" s="6"/>
      <c r="H581" s="4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</row>
    <row r="582">
      <c r="A582" s="5"/>
      <c r="B582" s="6"/>
      <c r="C582" s="6"/>
      <c r="D582" s="6"/>
      <c r="E582" s="6"/>
      <c r="F582" s="6"/>
      <c r="G582" s="6"/>
      <c r="H582" s="4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</row>
    <row r="583">
      <c r="A583" s="5"/>
      <c r="B583" s="6"/>
      <c r="C583" s="6"/>
      <c r="D583" s="6"/>
      <c r="E583" s="6"/>
      <c r="F583" s="6"/>
      <c r="G583" s="6"/>
      <c r="H583" s="4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</row>
    <row r="584">
      <c r="A584" s="5"/>
      <c r="B584" s="6"/>
      <c r="C584" s="6"/>
      <c r="D584" s="6"/>
      <c r="E584" s="6"/>
      <c r="F584" s="6"/>
      <c r="G584" s="6"/>
      <c r="H584" s="4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</row>
    <row r="585">
      <c r="A585" s="5"/>
      <c r="B585" s="6"/>
      <c r="C585" s="6"/>
      <c r="D585" s="6"/>
      <c r="E585" s="6"/>
      <c r="F585" s="6"/>
      <c r="G585" s="6"/>
      <c r="H585" s="4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</row>
    <row r="586">
      <c r="A586" s="5"/>
      <c r="B586" s="6"/>
      <c r="C586" s="6"/>
      <c r="D586" s="6"/>
      <c r="E586" s="6"/>
      <c r="F586" s="6"/>
      <c r="G586" s="6"/>
      <c r="H586" s="4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</row>
    <row r="587">
      <c r="A587" s="5"/>
      <c r="B587" s="6"/>
      <c r="C587" s="6"/>
      <c r="D587" s="6"/>
      <c r="E587" s="6"/>
      <c r="F587" s="6"/>
      <c r="G587" s="6"/>
      <c r="H587" s="4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</row>
    <row r="588">
      <c r="A588" s="5"/>
      <c r="B588" s="6"/>
      <c r="C588" s="6"/>
      <c r="D588" s="6"/>
      <c r="E588" s="6"/>
      <c r="F588" s="6"/>
      <c r="G588" s="6"/>
      <c r="H588" s="4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</row>
    <row r="589">
      <c r="A589" s="5"/>
      <c r="B589" s="6"/>
      <c r="C589" s="6"/>
      <c r="D589" s="6"/>
      <c r="E589" s="6"/>
      <c r="F589" s="6"/>
      <c r="G589" s="6"/>
      <c r="H589" s="4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</row>
    <row r="590">
      <c r="A590" s="5"/>
      <c r="B590" s="6"/>
      <c r="C590" s="6"/>
      <c r="D590" s="6"/>
      <c r="E590" s="6"/>
      <c r="F590" s="6"/>
      <c r="G590" s="6"/>
      <c r="H590" s="4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</row>
    <row r="591">
      <c r="A591" s="5"/>
      <c r="B591" s="6"/>
      <c r="C591" s="6"/>
      <c r="D591" s="6"/>
      <c r="E591" s="6"/>
      <c r="F591" s="6"/>
      <c r="G591" s="6"/>
      <c r="H591" s="4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</row>
    <row r="592">
      <c r="A592" s="5"/>
      <c r="B592" s="6"/>
      <c r="C592" s="6"/>
      <c r="D592" s="6"/>
      <c r="E592" s="6"/>
      <c r="F592" s="6"/>
      <c r="G592" s="6"/>
      <c r="H592" s="4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</row>
    <row r="593">
      <c r="A593" s="5"/>
      <c r="B593" s="6"/>
      <c r="C593" s="6"/>
      <c r="D593" s="6"/>
      <c r="E593" s="6"/>
      <c r="F593" s="6"/>
      <c r="G593" s="6"/>
      <c r="H593" s="4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</row>
    <row r="594">
      <c r="A594" s="5"/>
      <c r="B594" s="6"/>
      <c r="C594" s="6"/>
      <c r="D594" s="6"/>
      <c r="E594" s="6"/>
      <c r="F594" s="6"/>
      <c r="G594" s="6"/>
      <c r="H594" s="4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</row>
    <row r="595">
      <c r="A595" s="5"/>
      <c r="B595" s="6"/>
      <c r="C595" s="6"/>
      <c r="D595" s="6"/>
      <c r="E595" s="6"/>
      <c r="F595" s="6"/>
      <c r="G595" s="6"/>
      <c r="H595" s="4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</row>
    <row r="596">
      <c r="A596" s="5"/>
      <c r="B596" s="6"/>
      <c r="C596" s="6"/>
      <c r="D596" s="6"/>
      <c r="E596" s="6"/>
      <c r="F596" s="6"/>
      <c r="G596" s="6"/>
      <c r="H596" s="4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</row>
    <row r="597">
      <c r="A597" s="5"/>
      <c r="B597" s="6"/>
      <c r="C597" s="6"/>
      <c r="D597" s="6"/>
      <c r="E597" s="6"/>
      <c r="F597" s="6"/>
      <c r="G597" s="6"/>
      <c r="H597" s="4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</row>
    <row r="598">
      <c r="A598" s="5"/>
      <c r="B598" s="6"/>
      <c r="C598" s="6"/>
      <c r="D598" s="6"/>
      <c r="E598" s="6"/>
      <c r="F598" s="6"/>
      <c r="G598" s="6"/>
      <c r="H598" s="4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</row>
    <row r="599">
      <c r="A599" s="5"/>
      <c r="B599" s="6"/>
      <c r="C599" s="6"/>
      <c r="D599" s="6"/>
      <c r="E599" s="6"/>
      <c r="F599" s="6"/>
      <c r="G599" s="6"/>
      <c r="H599" s="4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</row>
    <row r="600">
      <c r="A600" s="5"/>
      <c r="B600" s="6"/>
      <c r="C600" s="6"/>
      <c r="D600" s="6"/>
      <c r="E600" s="6"/>
      <c r="F600" s="6"/>
      <c r="G600" s="6"/>
      <c r="H600" s="4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</row>
    <row r="601">
      <c r="A601" s="5"/>
      <c r="B601" s="6"/>
      <c r="C601" s="6"/>
      <c r="D601" s="6"/>
      <c r="E601" s="6"/>
      <c r="F601" s="6"/>
      <c r="G601" s="6"/>
      <c r="H601" s="4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</row>
    <row r="602">
      <c r="A602" s="5"/>
      <c r="B602" s="6"/>
      <c r="C602" s="6"/>
      <c r="D602" s="6"/>
      <c r="E602" s="6"/>
      <c r="F602" s="6"/>
      <c r="G602" s="6"/>
      <c r="H602" s="4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</row>
    <row r="603">
      <c r="A603" s="5"/>
      <c r="B603" s="6"/>
      <c r="C603" s="6"/>
      <c r="D603" s="6"/>
      <c r="E603" s="6"/>
      <c r="F603" s="6"/>
      <c r="G603" s="6"/>
      <c r="H603" s="4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</row>
    <row r="604">
      <c r="A604" s="5"/>
      <c r="B604" s="6"/>
      <c r="C604" s="6"/>
      <c r="D604" s="6"/>
      <c r="E604" s="6"/>
      <c r="F604" s="6"/>
      <c r="G604" s="6"/>
      <c r="H604" s="4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</row>
    <row r="605">
      <c r="A605" s="5"/>
      <c r="B605" s="6"/>
      <c r="C605" s="6"/>
      <c r="D605" s="6"/>
      <c r="E605" s="6"/>
      <c r="F605" s="6"/>
      <c r="G605" s="6"/>
      <c r="H605" s="4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</row>
    <row r="606">
      <c r="A606" s="5"/>
      <c r="B606" s="6"/>
      <c r="C606" s="6"/>
      <c r="D606" s="6"/>
      <c r="E606" s="6"/>
      <c r="F606" s="6"/>
      <c r="G606" s="6"/>
      <c r="H606" s="4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</row>
    <row r="607">
      <c r="A607" s="5"/>
      <c r="B607" s="6"/>
      <c r="C607" s="6"/>
      <c r="D607" s="6"/>
      <c r="E607" s="6"/>
      <c r="F607" s="6"/>
      <c r="G607" s="6"/>
      <c r="H607" s="4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</row>
    <row r="608">
      <c r="A608" s="5"/>
      <c r="B608" s="6"/>
      <c r="C608" s="6"/>
      <c r="D608" s="6"/>
      <c r="E608" s="6"/>
      <c r="F608" s="6"/>
      <c r="G608" s="6"/>
      <c r="H608" s="4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</row>
    <row r="609">
      <c r="A609" s="5"/>
      <c r="B609" s="6"/>
      <c r="C609" s="6"/>
      <c r="D609" s="6"/>
      <c r="E609" s="6"/>
      <c r="F609" s="6"/>
      <c r="G609" s="6"/>
      <c r="H609" s="4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</row>
    <row r="610">
      <c r="A610" s="5"/>
      <c r="B610" s="6"/>
      <c r="C610" s="6"/>
      <c r="D610" s="6"/>
      <c r="E610" s="6"/>
      <c r="F610" s="6"/>
      <c r="G610" s="6"/>
      <c r="H610" s="4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</row>
    <row r="611">
      <c r="A611" s="5"/>
      <c r="B611" s="6"/>
      <c r="C611" s="6"/>
      <c r="D611" s="6"/>
      <c r="E611" s="6"/>
      <c r="F611" s="6"/>
      <c r="G611" s="6"/>
      <c r="H611" s="4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</row>
    <row r="612">
      <c r="A612" s="5"/>
      <c r="B612" s="6"/>
      <c r="C612" s="6"/>
      <c r="D612" s="6"/>
      <c r="E612" s="6"/>
      <c r="F612" s="6"/>
      <c r="G612" s="6"/>
      <c r="H612" s="4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</row>
    <row r="613">
      <c r="A613" s="5"/>
      <c r="B613" s="6"/>
      <c r="C613" s="6"/>
      <c r="D613" s="6"/>
      <c r="E613" s="6"/>
      <c r="F613" s="6"/>
      <c r="G613" s="6"/>
      <c r="H613" s="4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</row>
    <row r="614">
      <c r="A614" s="5"/>
      <c r="B614" s="6"/>
      <c r="C614" s="6"/>
      <c r="D614" s="6"/>
      <c r="E614" s="6"/>
      <c r="F614" s="6"/>
      <c r="G614" s="6"/>
      <c r="H614" s="4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</row>
    <row r="615">
      <c r="A615" s="5"/>
      <c r="B615" s="6"/>
      <c r="C615" s="6"/>
      <c r="D615" s="6"/>
      <c r="E615" s="6"/>
      <c r="F615" s="6"/>
      <c r="G615" s="6"/>
      <c r="H615" s="4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</row>
    <row r="616">
      <c r="A616" s="5"/>
      <c r="B616" s="6"/>
      <c r="C616" s="6"/>
      <c r="D616" s="6"/>
      <c r="E616" s="6"/>
      <c r="F616" s="6"/>
      <c r="G616" s="6"/>
      <c r="H616" s="4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</row>
    <row r="617">
      <c r="A617" s="5"/>
      <c r="B617" s="6"/>
      <c r="C617" s="6"/>
      <c r="D617" s="6"/>
      <c r="E617" s="6"/>
      <c r="F617" s="6"/>
      <c r="G617" s="6"/>
      <c r="H617" s="4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</row>
    <row r="618">
      <c r="A618" s="5"/>
      <c r="B618" s="6"/>
      <c r="C618" s="6"/>
      <c r="D618" s="6"/>
      <c r="E618" s="6"/>
      <c r="F618" s="6"/>
      <c r="G618" s="6"/>
      <c r="H618" s="4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</row>
    <row r="619">
      <c r="A619" s="5"/>
      <c r="B619" s="6"/>
      <c r="C619" s="6"/>
      <c r="D619" s="6"/>
      <c r="E619" s="6"/>
      <c r="F619" s="6"/>
      <c r="G619" s="6"/>
      <c r="H619" s="4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</row>
    <row r="620">
      <c r="A620" s="5"/>
      <c r="B620" s="6"/>
      <c r="C620" s="6"/>
      <c r="D620" s="6"/>
      <c r="E620" s="6"/>
      <c r="F620" s="6"/>
      <c r="G620" s="6"/>
      <c r="H620" s="4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</row>
    <row r="621">
      <c r="A621" s="5"/>
      <c r="B621" s="6"/>
      <c r="C621" s="6"/>
      <c r="D621" s="6"/>
      <c r="E621" s="6"/>
      <c r="F621" s="6"/>
      <c r="G621" s="6"/>
      <c r="H621" s="4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</row>
    <row r="622">
      <c r="A622" s="5"/>
      <c r="B622" s="6"/>
      <c r="C622" s="6"/>
      <c r="D622" s="6"/>
      <c r="E622" s="6"/>
      <c r="F622" s="6"/>
      <c r="G622" s="6"/>
      <c r="H622" s="4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</row>
    <row r="623">
      <c r="A623" s="5"/>
      <c r="B623" s="6"/>
      <c r="C623" s="6"/>
      <c r="D623" s="6"/>
      <c r="E623" s="6"/>
      <c r="F623" s="6"/>
      <c r="G623" s="6"/>
      <c r="H623" s="4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</row>
    <row r="624">
      <c r="A624" s="5"/>
      <c r="B624" s="6"/>
      <c r="C624" s="6"/>
      <c r="D624" s="6"/>
      <c r="E624" s="6"/>
      <c r="F624" s="6"/>
      <c r="G624" s="6"/>
      <c r="H624" s="4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</row>
    <row r="625">
      <c r="A625" s="5"/>
      <c r="B625" s="6"/>
      <c r="C625" s="6"/>
      <c r="D625" s="6"/>
      <c r="E625" s="6"/>
      <c r="F625" s="6"/>
      <c r="G625" s="6"/>
      <c r="H625" s="4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</row>
    <row r="626">
      <c r="A626" s="5"/>
      <c r="B626" s="6"/>
      <c r="C626" s="6"/>
      <c r="D626" s="6"/>
      <c r="E626" s="6"/>
      <c r="F626" s="6"/>
      <c r="G626" s="6"/>
      <c r="H626" s="4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</row>
    <row r="627">
      <c r="A627" s="5"/>
      <c r="B627" s="6"/>
      <c r="C627" s="6"/>
      <c r="D627" s="6"/>
      <c r="E627" s="6"/>
      <c r="F627" s="6"/>
      <c r="G627" s="6"/>
      <c r="H627" s="4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</row>
    <row r="628">
      <c r="A628" s="5"/>
      <c r="B628" s="6"/>
      <c r="C628" s="6"/>
      <c r="D628" s="6"/>
      <c r="E628" s="6"/>
      <c r="F628" s="6"/>
      <c r="G628" s="6"/>
      <c r="H628" s="4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</row>
    <row r="629">
      <c r="A629" s="5"/>
      <c r="B629" s="6"/>
      <c r="C629" s="6"/>
      <c r="D629" s="6"/>
      <c r="E629" s="6"/>
      <c r="F629" s="6"/>
      <c r="G629" s="6"/>
      <c r="H629" s="4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</row>
    <row r="630">
      <c r="A630" s="5"/>
      <c r="B630" s="6"/>
      <c r="C630" s="6"/>
      <c r="D630" s="6"/>
      <c r="E630" s="6"/>
      <c r="F630" s="6"/>
      <c r="G630" s="6"/>
      <c r="H630" s="4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</row>
    <row r="631">
      <c r="A631" s="5"/>
      <c r="B631" s="6"/>
      <c r="C631" s="6"/>
      <c r="D631" s="6"/>
      <c r="E631" s="6"/>
      <c r="F631" s="6"/>
      <c r="G631" s="6"/>
      <c r="H631" s="4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</row>
    <row r="632">
      <c r="A632" s="5"/>
      <c r="B632" s="6"/>
      <c r="C632" s="6"/>
      <c r="D632" s="6"/>
      <c r="E632" s="6"/>
      <c r="F632" s="6"/>
      <c r="G632" s="6"/>
      <c r="H632" s="4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</row>
    <row r="633">
      <c r="A633" s="5"/>
      <c r="B633" s="6"/>
      <c r="C633" s="6"/>
      <c r="D633" s="6"/>
      <c r="E633" s="6"/>
      <c r="F633" s="6"/>
      <c r="G633" s="6"/>
      <c r="H633" s="4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</row>
    <row r="634">
      <c r="A634" s="5"/>
      <c r="B634" s="6"/>
      <c r="C634" s="6"/>
      <c r="D634" s="6"/>
      <c r="E634" s="6"/>
      <c r="F634" s="6"/>
      <c r="G634" s="6"/>
      <c r="H634" s="4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</row>
    <row r="635">
      <c r="A635" s="5"/>
      <c r="B635" s="6"/>
      <c r="C635" s="6"/>
      <c r="D635" s="6"/>
      <c r="E635" s="6"/>
      <c r="F635" s="6"/>
      <c r="G635" s="6"/>
      <c r="H635" s="4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</row>
    <row r="636">
      <c r="A636" s="5"/>
      <c r="B636" s="6"/>
      <c r="C636" s="6"/>
      <c r="D636" s="6"/>
      <c r="E636" s="6"/>
      <c r="F636" s="6"/>
      <c r="G636" s="6"/>
      <c r="H636" s="4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</row>
    <row r="637">
      <c r="A637" s="5"/>
      <c r="B637" s="6"/>
      <c r="C637" s="6"/>
      <c r="D637" s="6"/>
      <c r="E637" s="6"/>
      <c r="F637" s="6"/>
      <c r="G637" s="6"/>
      <c r="H637" s="4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</row>
    <row r="638">
      <c r="A638" s="5"/>
      <c r="B638" s="6"/>
      <c r="C638" s="6"/>
      <c r="D638" s="6"/>
      <c r="E638" s="6"/>
      <c r="F638" s="6"/>
      <c r="G638" s="6"/>
      <c r="H638" s="4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</row>
    <row r="639">
      <c r="A639" s="5"/>
      <c r="B639" s="6"/>
      <c r="C639" s="6"/>
      <c r="D639" s="6"/>
      <c r="E639" s="6"/>
      <c r="F639" s="6"/>
      <c r="G639" s="6"/>
      <c r="H639" s="4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</row>
    <row r="640">
      <c r="A640" s="5"/>
      <c r="B640" s="6"/>
      <c r="C640" s="6"/>
      <c r="D640" s="6"/>
      <c r="E640" s="6"/>
      <c r="F640" s="6"/>
      <c r="G640" s="6"/>
      <c r="H640" s="4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</row>
    <row r="641">
      <c r="A641" s="5"/>
      <c r="B641" s="6"/>
      <c r="C641" s="6"/>
      <c r="D641" s="6"/>
      <c r="E641" s="6"/>
      <c r="F641" s="6"/>
      <c r="G641" s="6"/>
      <c r="H641" s="4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</row>
    <row r="642">
      <c r="A642" s="5"/>
      <c r="B642" s="6"/>
      <c r="C642" s="6"/>
      <c r="D642" s="6"/>
      <c r="E642" s="6"/>
      <c r="F642" s="6"/>
      <c r="G642" s="6"/>
      <c r="H642" s="4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</row>
    <row r="643">
      <c r="A643" s="5"/>
      <c r="B643" s="6"/>
      <c r="C643" s="6"/>
      <c r="D643" s="6"/>
      <c r="E643" s="6"/>
      <c r="F643" s="6"/>
      <c r="G643" s="6"/>
      <c r="H643" s="4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</row>
    <row r="644">
      <c r="A644" s="5"/>
      <c r="B644" s="6"/>
      <c r="C644" s="6"/>
      <c r="D644" s="6"/>
      <c r="E644" s="6"/>
      <c r="F644" s="6"/>
      <c r="G644" s="6"/>
      <c r="H644" s="4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</row>
    <row r="645">
      <c r="A645" s="5"/>
      <c r="B645" s="6"/>
      <c r="C645" s="6"/>
      <c r="D645" s="6"/>
      <c r="E645" s="6"/>
      <c r="F645" s="6"/>
      <c r="G645" s="6"/>
      <c r="H645" s="4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</row>
    <row r="646">
      <c r="A646" s="5"/>
      <c r="B646" s="6"/>
      <c r="C646" s="6"/>
      <c r="D646" s="6"/>
      <c r="E646" s="6"/>
      <c r="F646" s="6"/>
      <c r="G646" s="6"/>
      <c r="H646" s="4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</row>
    <row r="647">
      <c r="A647" s="5"/>
      <c r="B647" s="6"/>
      <c r="C647" s="6"/>
      <c r="D647" s="6"/>
      <c r="E647" s="6"/>
      <c r="F647" s="6"/>
      <c r="G647" s="6"/>
      <c r="H647" s="4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</row>
    <row r="648">
      <c r="A648" s="5"/>
      <c r="B648" s="6"/>
      <c r="C648" s="6"/>
      <c r="D648" s="6"/>
      <c r="E648" s="6"/>
      <c r="F648" s="6"/>
      <c r="G648" s="6"/>
      <c r="H648" s="4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</row>
    <row r="649">
      <c r="A649" s="5"/>
      <c r="B649" s="6"/>
      <c r="C649" s="6"/>
      <c r="D649" s="6"/>
      <c r="E649" s="6"/>
      <c r="F649" s="6"/>
      <c r="G649" s="6"/>
      <c r="H649" s="4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5.75"/>
    <col customWidth="1" min="3" max="3" width="13.88"/>
    <col customWidth="1" min="4" max="5" width="17.63"/>
    <col customWidth="1" min="6" max="6" width="24.0"/>
    <col customWidth="1" min="8" max="8" width="15.13"/>
    <col customWidth="1" min="9" max="9" width="21.88"/>
    <col customWidth="1" min="10" max="10" width="22.63"/>
    <col customWidth="1" min="11" max="11" width="23.88"/>
    <col customWidth="1" min="12" max="12" width="26.75"/>
    <col customWidth="1" min="13" max="13" width="16.63"/>
    <col customWidth="1" min="14" max="14" width="19.63"/>
    <col customWidth="1" min="21" max="21" width="19.25"/>
    <col customWidth="1" min="24" max="24" width="26.25"/>
    <col customWidth="1" min="25" max="25" width="22.63"/>
    <col customWidth="1" min="26" max="26" width="26.63"/>
    <col customWidth="1" min="27" max="27" width="22.25"/>
  </cols>
  <sheetData>
    <row r="1">
      <c r="A1" s="7" t="str">
        <f>IFERROR(__xludf.DUMMYFUNCTION("QUERY('Raw Aggregations'!A1:$QQ1000, ""SELECT *"",1)"),"Date")</f>
        <v>Date</v>
      </c>
      <c r="B1" s="7" t="str">
        <f>IFERROR(__xludf.DUMMYFUNCTION("""COMPUTED_VALUE"""),"conversationsCount")</f>
        <v>conversationsCount</v>
      </c>
      <c r="C1" s="7" t="str">
        <f>IFERROR(__xludf.DUMMYFUNCTION("""COMPUTED_VALUE"""),"messagesCount")</f>
        <v>messagesCount</v>
      </c>
      <c r="D1" s="7" t="str">
        <f>IFERROR(__xludf.DUMMYFUNCTION("""COMPUTED_VALUE"""),"averageMessages")</f>
        <v>averageMessages</v>
      </c>
      <c r="E1" s="7" t="str">
        <f>IFERROR(__xludf.DUMMYFUNCTION("""COMPUTED_VALUE"""),"conversationsDuration")</f>
        <v>conversationsDuration</v>
      </c>
      <c r="F1" s="7" t="str">
        <f>IFERROR(__xludf.DUMMYFUNCTION("""COMPUTED_VALUE"""),"averageConversationsDuration")</f>
        <v>averageConversationsDuration</v>
      </c>
      <c r="G1" s="7" t="str">
        <f>IFERROR(__xludf.DUMMYFUNCTION("""COMPUTED_VALUE"""),"nluFallbacks")</f>
        <v>nluFallbacks</v>
      </c>
      <c r="H1" s="7" t="str">
        <f>IFERROR(__xludf.DUMMYFUNCTION("""COMPUTED_VALUE"""),"functionalFallbacks")</f>
        <v>functionalFallbacks</v>
      </c>
      <c r="I1" s="7" t="str">
        <f>IFERROR(__xludf.DUMMYFUNCTION("""COMPUTED_VALUE"""),"nbUniqueUsersWithOneCall")</f>
        <v>nbUniqueUsersWithOneCall</v>
      </c>
      <c r="J1" s="7" t="str">
        <f>IFERROR(__xludf.DUMMYFUNCTION("""COMPUTED_VALUE"""),"nbUniqueUsersWithTwoCalls")</f>
        <v>nbUniqueUsersWithTwoCalls</v>
      </c>
      <c r="K1" s="7" t="str">
        <f>IFERROR(__xludf.DUMMYFUNCTION("""COMPUTED_VALUE"""),"nbUniqueUsersWithThreeCalls")</f>
        <v>nbUniqueUsersWithThreeCalls</v>
      </c>
      <c r="L1" s="7" t="str">
        <f>IFERROR(__xludf.DUMMYFUNCTION("""COMPUTED_VALUE"""),"nbUniqueUsersWithMoreFourCalls")</f>
        <v>nbUniqueUsersWithMoreFourCalls</v>
      </c>
      <c r="M1" s="7" t="str">
        <f>IFERROR(__xludf.DUMMYFUNCTION("""COMPUTED_VALUE"""),"nbUniqueUsers")</f>
        <v>nbUniqueUsers</v>
      </c>
      <c r="N1" s="7" t="str">
        <f>IFERROR(__xludf.DUMMYFUNCTION("""COMPUTED_VALUE"""),"welcome_printemps_fr")</f>
        <v>welcome_printemps_fr</v>
      </c>
      <c r="O1" s="7" t="str">
        <f>IFERROR(__xludf.DUMMYFUNCTION("""COMPUTED_VALUE"""),"welcome_printemps_en")</f>
        <v>welcome_printemps_en</v>
      </c>
      <c r="P1" s="7" t="str">
        <f>IFERROR(__xludf.DUMMYFUNCTION("""COMPUTED_VALUE"""),"welcome_citadium_fr")</f>
        <v>welcome_citadium_fr</v>
      </c>
      <c r="Q1" s="7" t="str">
        <f>IFERROR(__xludf.DUMMYFUNCTION("""COMPUTED_VALUE"""),"satisfaction_ko_printemps_fr")</f>
        <v>satisfaction_ko_printemps_fr</v>
      </c>
      <c r="R1" s="7" t="str">
        <f>IFERROR(__xludf.DUMMYFUNCTION("""COMPUTED_VALUE"""),"satisfaction_ko_citadium_fr")</f>
        <v>satisfaction_ko_citadium_fr</v>
      </c>
      <c r="S1" s="7" t="str">
        <f>IFERROR(__xludf.DUMMYFUNCTION("""COMPUTED_VALUE"""),"order_not_found")</f>
        <v>order_not_found</v>
      </c>
      <c r="T1" s="7" t="str">
        <f>IFERROR(__xludf.DUMMYFUNCTION("""COMPUTED_VALUE"""),"satisfaction_ok_printemps_fr")</f>
        <v>satisfaction_ok_printemps_fr</v>
      </c>
      <c r="U1" s="7" t="str">
        <f>IFERROR(__xludf.DUMMYFUNCTION("""COMPUTED_VALUE"""),"satisfaction_ok_printemps_en")</f>
        <v>satisfaction_ok_printemps_en</v>
      </c>
      <c r="V1" s="7" t="str">
        <f>IFERROR(__xludf.DUMMYFUNCTION("""COMPUTED_VALUE"""),"satisfaction_ko")</f>
        <v>satisfaction_ko</v>
      </c>
      <c r="W1" s="7" t="str">
        <f>IFERROR(__xludf.DUMMYFUNCTION("""COMPUTED_VALUE"""),"satisfaction_ok_citadium_fr")</f>
        <v>satisfaction_ok_citadium_fr</v>
      </c>
      <c r="X1" s="7" t="str">
        <f>IFERROR(__xludf.DUMMYFUNCTION("""COMPUTED_VALUE"""),"wrong_order_number")</f>
        <v>wrong_order_number</v>
      </c>
      <c r="Y1" s="7" t="str">
        <f>IFERROR(__xludf.DUMMYFUNCTION("""COMPUTED_VALUE"""),"order_found")</f>
        <v>order_found</v>
      </c>
      <c r="Z1" s="7" t="str">
        <f>IFERROR(__xludf.DUMMYFUNCTION("""COMPUTED_VALUE"""),"satisfaction_ok")</f>
        <v>satisfaction_ok</v>
      </c>
      <c r="AA1" s="7" t="str">
        <f>IFERROR(__xludf.DUMMYFUNCTION("""COMPUTED_VALUE"""),"satisfaction_ko_printemps_en")</f>
        <v>satisfaction_ko_printemps_en</v>
      </c>
      <c r="AB1" s="7" t="str">
        <f>IFERROR(__xludf.DUMMYFUNCTION("""COMPUTED_VALUE"""),"")</f>
        <v/>
      </c>
      <c r="AC1" s="7" t="str">
        <f>IFERROR(__xludf.DUMMYFUNCTION("""COMPUTED_VALUE"""),"")</f>
        <v/>
      </c>
      <c r="AD1" s="7" t="str">
        <f>IFERROR(__xludf.DUMMYFUNCTION("""COMPUTED_VALUE"""),"")</f>
        <v/>
      </c>
      <c r="AE1" s="7" t="str">
        <f>IFERROR(__xludf.DUMMYFUNCTION("""COMPUTED_VALUE"""),"")</f>
        <v/>
      </c>
      <c r="AF1" s="7" t="str">
        <f>IFERROR(__xludf.DUMMYFUNCTION("""COMPUTED_VALUE"""),"")</f>
        <v/>
      </c>
      <c r="AG1" s="7" t="str">
        <f>IFERROR(__xludf.DUMMYFUNCTION("""COMPUTED_VALUE"""),"")</f>
        <v/>
      </c>
      <c r="AH1" s="7" t="str">
        <f>IFERROR(__xludf.DUMMYFUNCTION("""COMPUTED_VALUE"""),"")</f>
        <v/>
      </c>
      <c r="AI1" s="7" t="str">
        <f>IFERROR(__xludf.DUMMYFUNCTION("""COMPUTED_VALUE"""),"")</f>
        <v/>
      </c>
      <c r="AJ1" s="7" t="str">
        <f>IFERROR(__xludf.DUMMYFUNCTION("""COMPUTED_VALUE"""),"")</f>
        <v/>
      </c>
      <c r="AK1" s="7" t="str">
        <f>IFERROR(__xludf.DUMMYFUNCTION("""COMPUTED_VALUE"""),"")</f>
        <v/>
      </c>
      <c r="AL1" s="7" t="str">
        <f>IFERROR(__xludf.DUMMYFUNCTION("""COMPUTED_VALUE"""),"")</f>
        <v/>
      </c>
      <c r="AM1" s="7" t="str">
        <f>IFERROR(__xludf.DUMMYFUNCTION("""COMPUTED_VALUE"""),"")</f>
        <v/>
      </c>
      <c r="AN1" s="7" t="str">
        <f>IFERROR(__xludf.DUMMYFUNCTION("""COMPUTED_VALUE"""),"")</f>
        <v/>
      </c>
      <c r="AO1" s="7" t="str">
        <f>IFERROR(__xludf.DUMMYFUNCTION("""COMPUTED_VALUE"""),"")</f>
        <v/>
      </c>
      <c r="AP1" s="7" t="str">
        <f>IFERROR(__xludf.DUMMYFUNCTION("""COMPUTED_VALUE"""),"")</f>
        <v/>
      </c>
      <c r="AQ1" s="7" t="str">
        <f>IFERROR(__xludf.DUMMYFUNCTION("""COMPUTED_VALUE"""),"")</f>
        <v/>
      </c>
      <c r="AR1" s="7" t="str">
        <f>IFERROR(__xludf.DUMMYFUNCTION("""COMPUTED_VALUE"""),"")</f>
        <v/>
      </c>
      <c r="AS1" s="7" t="str">
        <f>IFERROR(__xludf.DUMMYFUNCTION("""COMPUTED_VALUE"""),"")</f>
        <v/>
      </c>
      <c r="AT1" s="7" t="str">
        <f>IFERROR(__xludf.DUMMYFUNCTION("""COMPUTED_VALUE"""),"")</f>
        <v/>
      </c>
      <c r="AU1" s="7" t="str">
        <f>IFERROR(__xludf.DUMMYFUNCTION("""COMPUTED_VALUE"""),"")</f>
        <v/>
      </c>
      <c r="AV1" s="7" t="str">
        <f>IFERROR(__xludf.DUMMYFUNCTION("""COMPUTED_VALUE"""),"")</f>
        <v/>
      </c>
      <c r="AW1" s="7" t="str">
        <f>IFERROR(__xludf.DUMMYFUNCTION("""COMPUTED_VALUE"""),"")</f>
        <v/>
      </c>
      <c r="AX1" s="7" t="str">
        <f>IFERROR(__xludf.DUMMYFUNCTION("""COMPUTED_VALUE"""),"")</f>
        <v/>
      </c>
      <c r="AY1" s="7" t="str">
        <f>IFERROR(__xludf.DUMMYFUNCTION("""COMPUTED_VALUE"""),"")</f>
        <v/>
      </c>
      <c r="AZ1" s="7" t="str">
        <f>IFERROR(__xludf.DUMMYFUNCTION("""COMPUTED_VALUE"""),"")</f>
        <v/>
      </c>
      <c r="BA1" s="7" t="str">
        <f>IFERROR(__xludf.DUMMYFUNCTION("""COMPUTED_VALUE"""),"")</f>
        <v/>
      </c>
      <c r="BB1" s="7" t="str">
        <f>IFERROR(__xludf.DUMMYFUNCTION("""COMPUTED_VALUE"""),"")</f>
        <v/>
      </c>
      <c r="BC1" s="7" t="str">
        <f>IFERROR(__xludf.DUMMYFUNCTION("""COMPUTED_VALUE"""),"")</f>
        <v/>
      </c>
      <c r="BD1" s="7" t="str">
        <f>IFERROR(__xludf.DUMMYFUNCTION("""COMPUTED_VALUE"""),"")</f>
        <v/>
      </c>
      <c r="BE1" s="7" t="str">
        <f>IFERROR(__xludf.DUMMYFUNCTION("""COMPUTED_VALUE"""),"")</f>
        <v/>
      </c>
      <c r="BF1" s="7" t="str">
        <f>IFERROR(__xludf.DUMMYFUNCTION("""COMPUTED_VALUE"""),"")</f>
        <v/>
      </c>
      <c r="BG1" s="7" t="str">
        <f>IFERROR(__xludf.DUMMYFUNCTION("""COMPUTED_VALUE"""),"")</f>
        <v/>
      </c>
      <c r="BH1" s="7" t="str">
        <f>IFERROR(__xludf.DUMMYFUNCTION("""COMPUTED_VALUE"""),"")</f>
        <v/>
      </c>
      <c r="BI1" s="7" t="str">
        <f>IFERROR(__xludf.DUMMYFUNCTION("""COMPUTED_VALUE"""),"")</f>
        <v/>
      </c>
      <c r="BJ1" s="7" t="str">
        <f>IFERROR(__xludf.DUMMYFUNCTION("""COMPUTED_VALUE"""),"")</f>
        <v/>
      </c>
      <c r="BK1" s="7" t="str">
        <f>IFERROR(__xludf.DUMMYFUNCTION("""COMPUTED_VALUE"""),"")</f>
        <v/>
      </c>
      <c r="BL1" s="7" t="str">
        <f>IFERROR(__xludf.DUMMYFUNCTION("""COMPUTED_VALUE"""),"")</f>
        <v/>
      </c>
      <c r="BM1" s="7" t="str">
        <f>IFERROR(__xludf.DUMMYFUNCTION("""COMPUTED_VALUE"""),"")</f>
        <v/>
      </c>
      <c r="BN1" s="7" t="str">
        <f>IFERROR(__xludf.DUMMYFUNCTION("""COMPUTED_VALUE"""),"")</f>
        <v/>
      </c>
      <c r="BO1" s="7" t="str">
        <f>IFERROR(__xludf.DUMMYFUNCTION("""COMPUTED_VALUE"""),"")</f>
        <v/>
      </c>
      <c r="BP1" s="7" t="str">
        <f>IFERROR(__xludf.DUMMYFUNCTION("""COMPUTED_VALUE"""),"")</f>
        <v/>
      </c>
      <c r="BQ1" s="7" t="str">
        <f>IFERROR(__xludf.DUMMYFUNCTION("""COMPUTED_VALUE"""),"")</f>
        <v/>
      </c>
      <c r="BR1" s="7" t="str">
        <f>IFERROR(__xludf.DUMMYFUNCTION("""COMPUTED_VALUE"""),"")</f>
        <v/>
      </c>
      <c r="BS1" s="7" t="str">
        <f>IFERROR(__xludf.DUMMYFUNCTION("""COMPUTED_VALUE"""),"")</f>
        <v/>
      </c>
      <c r="BT1" s="7" t="str">
        <f>IFERROR(__xludf.DUMMYFUNCTION("""COMPUTED_VALUE"""),"")</f>
        <v/>
      </c>
      <c r="BU1" s="7" t="str">
        <f>IFERROR(__xludf.DUMMYFUNCTION("""COMPUTED_VALUE"""),"")</f>
        <v/>
      </c>
      <c r="BV1" s="7" t="str">
        <f>IFERROR(__xludf.DUMMYFUNCTION("""COMPUTED_VALUE"""),"")</f>
        <v/>
      </c>
      <c r="BW1" s="7" t="str">
        <f>IFERROR(__xludf.DUMMYFUNCTION("""COMPUTED_VALUE"""),"")</f>
        <v/>
      </c>
      <c r="BX1" s="7" t="str">
        <f>IFERROR(__xludf.DUMMYFUNCTION("""COMPUTED_VALUE"""),"")</f>
        <v/>
      </c>
      <c r="BY1" s="7" t="str">
        <f>IFERROR(__xludf.DUMMYFUNCTION("""COMPUTED_VALUE"""),"")</f>
        <v/>
      </c>
      <c r="BZ1" s="7" t="str">
        <f>IFERROR(__xludf.DUMMYFUNCTION("""COMPUTED_VALUE"""),"")</f>
        <v/>
      </c>
      <c r="CA1" s="7" t="str">
        <f>IFERROR(__xludf.DUMMYFUNCTION("""COMPUTED_VALUE"""),"")</f>
        <v/>
      </c>
      <c r="CB1" s="7" t="str">
        <f>IFERROR(__xludf.DUMMYFUNCTION("""COMPUTED_VALUE"""),"")</f>
        <v/>
      </c>
      <c r="CC1" s="7" t="str">
        <f>IFERROR(__xludf.DUMMYFUNCTION("""COMPUTED_VALUE"""),"")</f>
        <v/>
      </c>
      <c r="CD1" s="7" t="str">
        <f>IFERROR(__xludf.DUMMYFUNCTION("""COMPUTED_VALUE"""),"")</f>
        <v/>
      </c>
      <c r="CE1" s="7" t="str">
        <f>IFERROR(__xludf.DUMMYFUNCTION("""COMPUTED_VALUE"""),"")</f>
        <v/>
      </c>
      <c r="CF1" s="7" t="str">
        <f>IFERROR(__xludf.DUMMYFUNCTION("""COMPUTED_VALUE"""),"")</f>
        <v/>
      </c>
      <c r="CG1" s="7" t="str">
        <f>IFERROR(__xludf.DUMMYFUNCTION("""COMPUTED_VALUE"""),"")</f>
        <v/>
      </c>
      <c r="CH1" s="7" t="str">
        <f>IFERROR(__xludf.DUMMYFUNCTION("""COMPUTED_VALUE"""),"")</f>
        <v/>
      </c>
      <c r="CI1" s="7" t="str">
        <f>IFERROR(__xludf.DUMMYFUNCTION("""COMPUTED_VALUE"""),"")</f>
        <v/>
      </c>
      <c r="CJ1" s="7" t="str">
        <f>IFERROR(__xludf.DUMMYFUNCTION("""COMPUTED_VALUE"""),"")</f>
        <v/>
      </c>
      <c r="CK1" s="7" t="str">
        <f>IFERROR(__xludf.DUMMYFUNCTION("""COMPUTED_VALUE"""),"")</f>
        <v/>
      </c>
      <c r="CL1" s="7" t="str">
        <f>IFERROR(__xludf.DUMMYFUNCTION("""COMPUTED_VALUE"""),"")</f>
        <v/>
      </c>
      <c r="CM1" s="7" t="str">
        <f>IFERROR(__xludf.DUMMYFUNCTION("""COMPUTED_VALUE"""),"")</f>
        <v/>
      </c>
      <c r="CN1" s="7" t="str">
        <f>IFERROR(__xludf.DUMMYFUNCTION("""COMPUTED_VALUE"""),"")</f>
        <v/>
      </c>
      <c r="CO1" s="7" t="str">
        <f>IFERROR(__xludf.DUMMYFUNCTION("""COMPUTED_VALUE"""),"")</f>
        <v/>
      </c>
      <c r="CP1" s="7" t="str">
        <f>IFERROR(__xludf.DUMMYFUNCTION("""COMPUTED_VALUE"""),"")</f>
        <v/>
      </c>
      <c r="CQ1" s="7" t="str">
        <f>IFERROR(__xludf.DUMMYFUNCTION("""COMPUTED_VALUE"""),"")</f>
        <v/>
      </c>
      <c r="CR1" s="7" t="str">
        <f>IFERROR(__xludf.DUMMYFUNCTION("""COMPUTED_VALUE"""),"")</f>
        <v/>
      </c>
      <c r="CS1" s="7" t="str">
        <f>IFERROR(__xludf.DUMMYFUNCTION("""COMPUTED_VALUE"""),"")</f>
        <v/>
      </c>
      <c r="CT1" s="7" t="str">
        <f>IFERROR(__xludf.DUMMYFUNCTION("""COMPUTED_VALUE"""),"")</f>
        <v/>
      </c>
      <c r="CU1" s="7" t="str">
        <f>IFERROR(__xludf.DUMMYFUNCTION("""COMPUTED_VALUE"""),"")</f>
        <v/>
      </c>
      <c r="CV1" s="7" t="str">
        <f>IFERROR(__xludf.DUMMYFUNCTION("""COMPUTED_VALUE"""),"")</f>
        <v/>
      </c>
      <c r="CW1" s="7" t="str">
        <f>IFERROR(__xludf.DUMMYFUNCTION("""COMPUTED_VALUE"""),"")</f>
        <v/>
      </c>
      <c r="CX1" s="7" t="str">
        <f>IFERROR(__xludf.DUMMYFUNCTION("""COMPUTED_VALUE"""),"")</f>
        <v/>
      </c>
      <c r="CY1" s="7" t="str">
        <f>IFERROR(__xludf.DUMMYFUNCTION("""COMPUTED_VALUE"""),"")</f>
        <v/>
      </c>
      <c r="CZ1" s="7" t="str">
        <f>IFERROR(__xludf.DUMMYFUNCTION("""COMPUTED_VALUE"""),"")</f>
        <v/>
      </c>
      <c r="DA1" s="7" t="str">
        <f>IFERROR(__xludf.DUMMYFUNCTION("""COMPUTED_VALUE"""),"")</f>
        <v/>
      </c>
      <c r="DB1" s="7" t="str">
        <f>IFERROR(__xludf.DUMMYFUNCTION("""COMPUTED_VALUE"""),"")</f>
        <v/>
      </c>
      <c r="DC1" s="7" t="str">
        <f>IFERROR(__xludf.DUMMYFUNCTION("""COMPUTED_VALUE"""),"")</f>
        <v/>
      </c>
      <c r="DD1" s="7" t="str">
        <f>IFERROR(__xludf.DUMMYFUNCTION("""COMPUTED_VALUE"""),"")</f>
        <v/>
      </c>
      <c r="DE1" s="7" t="str">
        <f>IFERROR(__xludf.DUMMYFUNCTION("""COMPUTED_VALUE"""),"")</f>
        <v/>
      </c>
      <c r="DF1" s="7" t="str">
        <f>IFERROR(__xludf.DUMMYFUNCTION("""COMPUTED_VALUE"""),"")</f>
        <v/>
      </c>
      <c r="DG1" s="7" t="str">
        <f>IFERROR(__xludf.DUMMYFUNCTION("""COMPUTED_VALUE"""),"")</f>
        <v/>
      </c>
      <c r="DH1" s="7" t="str">
        <f>IFERROR(__xludf.DUMMYFUNCTION("""COMPUTED_VALUE"""),"")</f>
        <v/>
      </c>
      <c r="DI1" s="7" t="str">
        <f>IFERROR(__xludf.DUMMYFUNCTION("""COMPUTED_VALUE"""),"")</f>
        <v/>
      </c>
      <c r="DJ1" s="7" t="str">
        <f>IFERROR(__xludf.DUMMYFUNCTION("""COMPUTED_VALUE"""),"")</f>
        <v/>
      </c>
      <c r="DK1" s="7" t="str">
        <f>IFERROR(__xludf.DUMMYFUNCTION("""COMPUTED_VALUE"""),"")</f>
        <v/>
      </c>
      <c r="DL1" s="7" t="str">
        <f>IFERROR(__xludf.DUMMYFUNCTION("""COMPUTED_VALUE"""),"")</f>
        <v/>
      </c>
      <c r="DM1" s="7" t="str">
        <f>IFERROR(__xludf.DUMMYFUNCTION("""COMPUTED_VALUE"""),"")</f>
        <v/>
      </c>
      <c r="DN1" s="7" t="str">
        <f>IFERROR(__xludf.DUMMYFUNCTION("""COMPUTED_VALUE"""),"")</f>
        <v/>
      </c>
      <c r="DO1" s="7" t="str">
        <f>IFERROR(__xludf.DUMMYFUNCTION("""COMPUTED_VALUE"""),"")</f>
        <v/>
      </c>
      <c r="DP1" s="7" t="str">
        <f>IFERROR(__xludf.DUMMYFUNCTION("""COMPUTED_VALUE"""),"")</f>
        <v/>
      </c>
      <c r="DQ1" s="7" t="str">
        <f>IFERROR(__xludf.DUMMYFUNCTION("""COMPUTED_VALUE"""),"")</f>
        <v/>
      </c>
      <c r="DR1" s="7" t="str">
        <f>IFERROR(__xludf.DUMMYFUNCTION("""COMPUTED_VALUE"""),"")</f>
        <v/>
      </c>
      <c r="DS1" s="7" t="str">
        <f>IFERROR(__xludf.DUMMYFUNCTION("""COMPUTED_VALUE"""),"")</f>
        <v/>
      </c>
      <c r="DT1" s="7" t="str">
        <f>IFERROR(__xludf.DUMMYFUNCTION("""COMPUTED_VALUE"""),"")</f>
        <v/>
      </c>
      <c r="DU1" s="7" t="str">
        <f>IFERROR(__xludf.DUMMYFUNCTION("""COMPUTED_VALUE"""),"")</f>
        <v/>
      </c>
      <c r="DV1" s="7" t="str">
        <f>IFERROR(__xludf.DUMMYFUNCTION("""COMPUTED_VALUE"""),"")</f>
        <v/>
      </c>
      <c r="DW1" s="7" t="str">
        <f>IFERROR(__xludf.DUMMYFUNCTION("""COMPUTED_VALUE"""),"")</f>
        <v/>
      </c>
      <c r="DX1" s="7" t="str">
        <f>IFERROR(__xludf.DUMMYFUNCTION("""COMPUTED_VALUE"""),"")</f>
        <v/>
      </c>
      <c r="DY1" s="7" t="str">
        <f>IFERROR(__xludf.DUMMYFUNCTION("""COMPUTED_VALUE"""),"")</f>
        <v/>
      </c>
      <c r="DZ1" s="7" t="str">
        <f>IFERROR(__xludf.DUMMYFUNCTION("""COMPUTED_VALUE"""),"")</f>
        <v/>
      </c>
      <c r="EA1" s="7" t="str">
        <f>IFERROR(__xludf.DUMMYFUNCTION("""COMPUTED_VALUE"""),"")</f>
        <v/>
      </c>
      <c r="EB1" s="7" t="str">
        <f>IFERROR(__xludf.DUMMYFUNCTION("""COMPUTED_VALUE"""),"")</f>
        <v/>
      </c>
      <c r="EC1" s="7" t="str">
        <f>IFERROR(__xludf.DUMMYFUNCTION("""COMPUTED_VALUE"""),"")</f>
        <v/>
      </c>
      <c r="ED1" s="7" t="str">
        <f>IFERROR(__xludf.DUMMYFUNCTION("""COMPUTED_VALUE"""),"")</f>
        <v/>
      </c>
      <c r="EE1" s="7" t="str">
        <f>IFERROR(__xludf.DUMMYFUNCTION("""COMPUTED_VALUE"""),"")</f>
        <v/>
      </c>
      <c r="EF1" s="7" t="str">
        <f>IFERROR(__xludf.DUMMYFUNCTION("""COMPUTED_VALUE"""),"")</f>
        <v/>
      </c>
      <c r="EG1" s="7" t="str">
        <f>IFERROR(__xludf.DUMMYFUNCTION("""COMPUTED_VALUE"""),"")</f>
        <v/>
      </c>
      <c r="EH1" s="7" t="str">
        <f>IFERROR(__xludf.DUMMYFUNCTION("""COMPUTED_VALUE"""),"")</f>
        <v/>
      </c>
      <c r="EI1" s="7" t="str">
        <f>IFERROR(__xludf.DUMMYFUNCTION("""COMPUTED_VALUE"""),"")</f>
        <v/>
      </c>
      <c r="EJ1" s="7" t="str">
        <f>IFERROR(__xludf.DUMMYFUNCTION("""COMPUTED_VALUE"""),"")</f>
        <v/>
      </c>
      <c r="EK1" s="7" t="str">
        <f>IFERROR(__xludf.DUMMYFUNCTION("""COMPUTED_VALUE"""),"")</f>
        <v/>
      </c>
      <c r="EL1" s="7" t="str">
        <f>IFERROR(__xludf.DUMMYFUNCTION("""COMPUTED_VALUE"""),"")</f>
        <v/>
      </c>
      <c r="EM1" s="7" t="str">
        <f>IFERROR(__xludf.DUMMYFUNCTION("""COMPUTED_VALUE"""),"")</f>
        <v/>
      </c>
      <c r="EN1" s="7" t="str">
        <f>IFERROR(__xludf.DUMMYFUNCTION("""COMPUTED_VALUE"""),"")</f>
        <v/>
      </c>
      <c r="EO1" s="7" t="str">
        <f>IFERROR(__xludf.DUMMYFUNCTION("""COMPUTED_VALUE"""),"")</f>
        <v/>
      </c>
      <c r="EP1" s="7" t="str">
        <f>IFERROR(__xludf.DUMMYFUNCTION("""COMPUTED_VALUE"""),"")</f>
        <v/>
      </c>
      <c r="EQ1" s="7" t="str">
        <f>IFERROR(__xludf.DUMMYFUNCTION("""COMPUTED_VALUE"""),"")</f>
        <v/>
      </c>
      <c r="ER1" s="7" t="str">
        <f>IFERROR(__xludf.DUMMYFUNCTION("""COMPUTED_VALUE"""),"")</f>
        <v/>
      </c>
      <c r="ES1" s="7" t="str">
        <f>IFERROR(__xludf.DUMMYFUNCTION("""COMPUTED_VALUE"""),"")</f>
        <v/>
      </c>
      <c r="ET1" s="7" t="str">
        <f>IFERROR(__xludf.DUMMYFUNCTION("""COMPUTED_VALUE"""),"")</f>
        <v/>
      </c>
      <c r="EU1" s="7" t="str">
        <f>IFERROR(__xludf.DUMMYFUNCTION("""COMPUTED_VALUE"""),"")</f>
        <v/>
      </c>
      <c r="EV1" s="7" t="str">
        <f>IFERROR(__xludf.DUMMYFUNCTION("""COMPUTED_VALUE"""),"")</f>
        <v/>
      </c>
      <c r="EW1" s="7" t="str">
        <f>IFERROR(__xludf.DUMMYFUNCTION("""COMPUTED_VALUE"""),"")</f>
        <v/>
      </c>
      <c r="EX1" s="7" t="str">
        <f>IFERROR(__xludf.DUMMYFUNCTION("""COMPUTED_VALUE"""),"")</f>
        <v/>
      </c>
      <c r="EY1" s="7" t="str">
        <f>IFERROR(__xludf.DUMMYFUNCTION("""COMPUTED_VALUE"""),"")</f>
        <v/>
      </c>
      <c r="EZ1" s="7" t="str">
        <f>IFERROR(__xludf.DUMMYFUNCTION("""COMPUTED_VALUE"""),"")</f>
        <v/>
      </c>
      <c r="FA1" s="7" t="str">
        <f>IFERROR(__xludf.DUMMYFUNCTION("""COMPUTED_VALUE"""),"")</f>
        <v/>
      </c>
      <c r="FB1" s="7" t="str">
        <f>IFERROR(__xludf.DUMMYFUNCTION("""COMPUTED_VALUE"""),"")</f>
        <v/>
      </c>
      <c r="FC1" s="7" t="str">
        <f>IFERROR(__xludf.DUMMYFUNCTION("""COMPUTED_VALUE"""),"")</f>
        <v/>
      </c>
      <c r="FD1" s="7" t="str">
        <f>IFERROR(__xludf.DUMMYFUNCTION("""COMPUTED_VALUE"""),"")</f>
        <v/>
      </c>
      <c r="FE1" s="7" t="str">
        <f>IFERROR(__xludf.DUMMYFUNCTION("""COMPUTED_VALUE"""),"")</f>
        <v/>
      </c>
      <c r="FF1" s="7" t="str">
        <f>IFERROR(__xludf.DUMMYFUNCTION("""COMPUTED_VALUE"""),"")</f>
        <v/>
      </c>
      <c r="FG1" s="7" t="str">
        <f>IFERROR(__xludf.DUMMYFUNCTION("""COMPUTED_VALUE"""),"")</f>
        <v/>
      </c>
      <c r="FH1" s="7" t="str">
        <f>IFERROR(__xludf.DUMMYFUNCTION("""COMPUTED_VALUE"""),"")</f>
        <v/>
      </c>
      <c r="FI1" s="7" t="str">
        <f>IFERROR(__xludf.DUMMYFUNCTION("""COMPUTED_VALUE"""),"")</f>
        <v/>
      </c>
      <c r="FJ1" s="7" t="str">
        <f>IFERROR(__xludf.DUMMYFUNCTION("""COMPUTED_VALUE"""),"")</f>
        <v/>
      </c>
      <c r="FK1" s="7" t="str">
        <f>IFERROR(__xludf.DUMMYFUNCTION("""COMPUTED_VALUE"""),"")</f>
        <v/>
      </c>
      <c r="FL1" s="7" t="str">
        <f>IFERROR(__xludf.DUMMYFUNCTION("""COMPUTED_VALUE"""),"")</f>
        <v/>
      </c>
      <c r="FM1" s="7" t="str">
        <f>IFERROR(__xludf.DUMMYFUNCTION("""COMPUTED_VALUE"""),"")</f>
        <v/>
      </c>
      <c r="FN1" s="7" t="str">
        <f>IFERROR(__xludf.DUMMYFUNCTION("""COMPUTED_VALUE"""),"")</f>
        <v/>
      </c>
      <c r="FO1" s="7" t="str">
        <f>IFERROR(__xludf.DUMMYFUNCTION("""COMPUTED_VALUE"""),"")</f>
        <v/>
      </c>
      <c r="FP1" s="7" t="str">
        <f>IFERROR(__xludf.DUMMYFUNCTION("""COMPUTED_VALUE"""),"")</f>
        <v/>
      </c>
      <c r="FQ1" s="7" t="str">
        <f>IFERROR(__xludf.DUMMYFUNCTION("""COMPUTED_VALUE"""),"")</f>
        <v/>
      </c>
      <c r="FR1" s="7" t="str">
        <f>IFERROR(__xludf.DUMMYFUNCTION("""COMPUTED_VALUE"""),"")</f>
        <v/>
      </c>
      <c r="FS1" s="7" t="str">
        <f>IFERROR(__xludf.DUMMYFUNCTION("""COMPUTED_VALUE"""),"")</f>
        <v/>
      </c>
      <c r="FT1" s="7" t="str">
        <f>IFERROR(__xludf.DUMMYFUNCTION("""COMPUTED_VALUE"""),"")</f>
        <v/>
      </c>
      <c r="FU1" s="7" t="str">
        <f>IFERROR(__xludf.DUMMYFUNCTION("""COMPUTED_VALUE"""),"")</f>
        <v/>
      </c>
      <c r="FV1" s="7" t="str">
        <f>IFERROR(__xludf.DUMMYFUNCTION("""COMPUTED_VALUE"""),"")</f>
        <v/>
      </c>
      <c r="FW1" s="7" t="str">
        <f>IFERROR(__xludf.DUMMYFUNCTION("""COMPUTED_VALUE"""),"")</f>
        <v/>
      </c>
      <c r="FX1" s="7" t="str">
        <f>IFERROR(__xludf.DUMMYFUNCTION("""COMPUTED_VALUE"""),"")</f>
        <v/>
      </c>
      <c r="FY1" s="7" t="str">
        <f>IFERROR(__xludf.DUMMYFUNCTION("""COMPUTED_VALUE"""),"")</f>
        <v/>
      </c>
      <c r="FZ1" s="7" t="str">
        <f>IFERROR(__xludf.DUMMYFUNCTION("""COMPUTED_VALUE"""),"")</f>
        <v/>
      </c>
      <c r="GA1" s="7" t="str">
        <f>IFERROR(__xludf.DUMMYFUNCTION("""COMPUTED_VALUE"""),"")</f>
        <v/>
      </c>
      <c r="GB1" s="7" t="str">
        <f>IFERROR(__xludf.DUMMYFUNCTION("""COMPUTED_VALUE"""),"")</f>
        <v/>
      </c>
      <c r="GC1" s="7" t="str">
        <f>IFERROR(__xludf.DUMMYFUNCTION("""COMPUTED_VALUE"""),"")</f>
        <v/>
      </c>
      <c r="GD1" s="7" t="str">
        <f>IFERROR(__xludf.DUMMYFUNCTION("""COMPUTED_VALUE"""),"")</f>
        <v/>
      </c>
      <c r="GE1" s="7" t="str">
        <f>IFERROR(__xludf.DUMMYFUNCTION("""COMPUTED_VALUE"""),"")</f>
        <v/>
      </c>
      <c r="GF1" s="7" t="str">
        <f>IFERROR(__xludf.DUMMYFUNCTION("""COMPUTED_VALUE"""),"")</f>
        <v/>
      </c>
      <c r="GG1" s="7" t="str">
        <f>IFERROR(__xludf.DUMMYFUNCTION("""COMPUTED_VALUE"""),"")</f>
        <v/>
      </c>
      <c r="GH1" s="7" t="str">
        <f>IFERROR(__xludf.DUMMYFUNCTION("""COMPUTED_VALUE"""),"")</f>
        <v/>
      </c>
      <c r="GI1" s="7" t="str">
        <f>IFERROR(__xludf.DUMMYFUNCTION("""COMPUTED_VALUE"""),"")</f>
        <v/>
      </c>
      <c r="GJ1" s="7" t="str">
        <f>IFERROR(__xludf.DUMMYFUNCTION("""COMPUTED_VALUE"""),"")</f>
        <v/>
      </c>
      <c r="GK1" s="7" t="str">
        <f>IFERROR(__xludf.DUMMYFUNCTION("""COMPUTED_VALUE"""),"")</f>
        <v/>
      </c>
      <c r="GL1" s="7" t="str">
        <f>IFERROR(__xludf.DUMMYFUNCTION("""COMPUTED_VALUE"""),"")</f>
        <v/>
      </c>
      <c r="GM1" s="7" t="str">
        <f>IFERROR(__xludf.DUMMYFUNCTION("""COMPUTED_VALUE"""),"")</f>
        <v/>
      </c>
      <c r="GN1" s="7" t="str">
        <f>IFERROR(__xludf.DUMMYFUNCTION("""COMPUTED_VALUE"""),"")</f>
        <v/>
      </c>
      <c r="GO1" s="7" t="str">
        <f>IFERROR(__xludf.DUMMYFUNCTION("""COMPUTED_VALUE"""),"")</f>
        <v/>
      </c>
      <c r="GP1" s="7" t="str">
        <f>IFERROR(__xludf.DUMMYFUNCTION("""COMPUTED_VALUE"""),"")</f>
        <v/>
      </c>
      <c r="GQ1" s="7" t="str">
        <f>IFERROR(__xludf.DUMMYFUNCTION("""COMPUTED_VALUE"""),"")</f>
        <v/>
      </c>
      <c r="GR1" s="7" t="str">
        <f>IFERROR(__xludf.DUMMYFUNCTION("""COMPUTED_VALUE"""),"")</f>
        <v/>
      </c>
      <c r="GS1" s="7" t="str">
        <f>IFERROR(__xludf.DUMMYFUNCTION("""COMPUTED_VALUE"""),"")</f>
        <v/>
      </c>
      <c r="GT1" s="7" t="str">
        <f>IFERROR(__xludf.DUMMYFUNCTION("""COMPUTED_VALUE"""),"")</f>
        <v/>
      </c>
      <c r="GU1" s="7" t="str">
        <f>IFERROR(__xludf.DUMMYFUNCTION("""COMPUTED_VALUE"""),"")</f>
        <v/>
      </c>
      <c r="GV1" s="7" t="str">
        <f>IFERROR(__xludf.DUMMYFUNCTION("""COMPUTED_VALUE"""),"")</f>
        <v/>
      </c>
      <c r="GW1" s="7" t="str">
        <f>IFERROR(__xludf.DUMMYFUNCTION("""COMPUTED_VALUE"""),"")</f>
        <v/>
      </c>
      <c r="GX1" s="7" t="str">
        <f>IFERROR(__xludf.DUMMYFUNCTION("""COMPUTED_VALUE"""),"")</f>
        <v/>
      </c>
      <c r="GY1" s="7" t="str">
        <f>IFERROR(__xludf.DUMMYFUNCTION("""COMPUTED_VALUE"""),"")</f>
        <v/>
      </c>
      <c r="GZ1" s="7" t="str">
        <f>IFERROR(__xludf.DUMMYFUNCTION("""COMPUTED_VALUE"""),"")</f>
        <v/>
      </c>
      <c r="HA1" s="7" t="str">
        <f>IFERROR(__xludf.DUMMYFUNCTION("""COMPUTED_VALUE"""),"")</f>
        <v/>
      </c>
      <c r="HB1" s="7" t="str">
        <f>IFERROR(__xludf.DUMMYFUNCTION("""COMPUTED_VALUE"""),"")</f>
        <v/>
      </c>
      <c r="HC1" s="7" t="str">
        <f>IFERROR(__xludf.DUMMYFUNCTION("""COMPUTED_VALUE"""),"")</f>
        <v/>
      </c>
      <c r="HD1" s="7" t="str">
        <f>IFERROR(__xludf.DUMMYFUNCTION("""COMPUTED_VALUE"""),"")</f>
        <v/>
      </c>
      <c r="HE1" s="7" t="str">
        <f>IFERROR(__xludf.DUMMYFUNCTION("""COMPUTED_VALUE"""),"")</f>
        <v/>
      </c>
      <c r="HF1" s="7" t="str">
        <f>IFERROR(__xludf.DUMMYFUNCTION("""COMPUTED_VALUE"""),"")</f>
        <v/>
      </c>
      <c r="HG1" s="7" t="str">
        <f>IFERROR(__xludf.DUMMYFUNCTION("""COMPUTED_VALUE"""),"")</f>
        <v/>
      </c>
      <c r="HH1" s="7" t="str">
        <f>IFERROR(__xludf.DUMMYFUNCTION("""COMPUTED_VALUE"""),"")</f>
        <v/>
      </c>
      <c r="HI1" s="7" t="str">
        <f>IFERROR(__xludf.DUMMYFUNCTION("""COMPUTED_VALUE"""),"")</f>
        <v/>
      </c>
      <c r="HJ1" s="7" t="str">
        <f>IFERROR(__xludf.DUMMYFUNCTION("""COMPUTED_VALUE"""),"")</f>
        <v/>
      </c>
      <c r="HK1" s="7" t="str">
        <f>IFERROR(__xludf.DUMMYFUNCTION("""COMPUTED_VALUE"""),"")</f>
        <v/>
      </c>
      <c r="HL1" s="7" t="str">
        <f>IFERROR(__xludf.DUMMYFUNCTION("""COMPUTED_VALUE"""),"")</f>
        <v/>
      </c>
      <c r="HM1" s="7" t="str">
        <f>IFERROR(__xludf.DUMMYFUNCTION("""COMPUTED_VALUE"""),"")</f>
        <v/>
      </c>
      <c r="HN1" s="7" t="str">
        <f>IFERROR(__xludf.DUMMYFUNCTION("""COMPUTED_VALUE"""),"")</f>
        <v/>
      </c>
      <c r="HO1" s="7" t="str">
        <f>IFERROR(__xludf.DUMMYFUNCTION("""COMPUTED_VALUE"""),"")</f>
        <v/>
      </c>
      <c r="HP1" s="7" t="str">
        <f>IFERROR(__xludf.DUMMYFUNCTION("""COMPUTED_VALUE"""),"")</f>
        <v/>
      </c>
      <c r="HQ1" s="7" t="str">
        <f>IFERROR(__xludf.DUMMYFUNCTION("""COMPUTED_VALUE"""),"")</f>
        <v/>
      </c>
      <c r="HR1" s="7" t="str">
        <f>IFERROR(__xludf.DUMMYFUNCTION("""COMPUTED_VALUE"""),"")</f>
        <v/>
      </c>
      <c r="HS1" s="7" t="str">
        <f>IFERROR(__xludf.DUMMYFUNCTION("""COMPUTED_VALUE"""),"")</f>
        <v/>
      </c>
      <c r="HT1" s="7" t="str">
        <f>IFERROR(__xludf.DUMMYFUNCTION("""COMPUTED_VALUE"""),"")</f>
        <v/>
      </c>
      <c r="HU1" s="7" t="str">
        <f>IFERROR(__xludf.DUMMYFUNCTION("""COMPUTED_VALUE"""),"")</f>
        <v/>
      </c>
      <c r="HV1" s="7" t="str">
        <f>IFERROR(__xludf.DUMMYFUNCTION("""COMPUTED_VALUE"""),"")</f>
        <v/>
      </c>
      <c r="HW1" s="7" t="str">
        <f>IFERROR(__xludf.DUMMYFUNCTION("""COMPUTED_VALUE"""),"")</f>
        <v/>
      </c>
      <c r="HX1" s="7" t="str">
        <f>IFERROR(__xludf.DUMMYFUNCTION("""COMPUTED_VALUE"""),"")</f>
        <v/>
      </c>
      <c r="HY1" s="7" t="str">
        <f>IFERROR(__xludf.DUMMYFUNCTION("""COMPUTED_VALUE"""),"")</f>
        <v/>
      </c>
      <c r="HZ1" s="7" t="str">
        <f>IFERROR(__xludf.DUMMYFUNCTION("""COMPUTED_VALUE"""),"")</f>
        <v/>
      </c>
      <c r="IA1" s="7" t="str">
        <f>IFERROR(__xludf.DUMMYFUNCTION("""COMPUTED_VALUE"""),"")</f>
        <v/>
      </c>
      <c r="IB1" s="7" t="str">
        <f>IFERROR(__xludf.DUMMYFUNCTION("""COMPUTED_VALUE"""),"")</f>
        <v/>
      </c>
      <c r="IC1" s="7" t="str">
        <f>IFERROR(__xludf.DUMMYFUNCTION("""COMPUTED_VALUE"""),"")</f>
        <v/>
      </c>
      <c r="ID1" s="7" t="str">
        <f>IFERROR(__xludf.DUMMYFUNCTION("""COMPUTED_VALUE"""),"")</f>
        <v/>
      </c>
      <c r="IE1" s="7" t="str">
        <f>IFERROR(__xludf.DUMMYFUNCTION("""COMPUTED_VALUE"""),"")</f>
        <v/>
      </c>
      <c r="IF1" s="7" t="str">
        <f>IFERROR(__xludf.DUMMYFUNCTION("""COMPUTED_VALUE"""),"")</f>
        <v/>
      </c>
      <c r="IG1" s="7" t="str">
        <f>IFERROR(__xludf.DUMMYFUNCTION("""COMPUTED_VALUE"""),"")</f>
        <v/>
      </c>
      <c r="IH1" s="7" t="str">
        <f>IFERROR(__xludf.DUMMYFUNCTION("""COMPUTED_VALUE"""),"")</f>
        <v/>
      </c>
      <c r="II1" s="7" t="str">
        <f>IFERROR(__xludf.DUMMYFUNCTION("""COMPUTED_VALUE"""),"")</f>
        <v/>
      </c>
      <c r="IJ1" s="7" t="str">
        <f>IFERROR(__xludf.DUMMYFUNCTION("""COMPUTED_VALUE"""),"")</f>
        <v/>
      </c>
      <c r="IK1" s="7" t="str">
        <f>IFERROR(__xludf.DUMMYFUNCTION("""COMPUTED_VALUE"""),"")</f>
        <v/>
      </c>
      <c r="IL1" s="7" t="str">
        <f>IFERROR(__xludf.DUMMYFUNCTION("""COMPUTED_VALUE"""),"")</f>
        <v/>
      </c>
      <c r="IM1" s="7" t="str">
        <f>IFERROR(__xludf.DUMMYFUNCTION("""COMPUTED_VALUE"""),"")</f>
        <v/>
      </c>
      <c r="IN1" s="7" t="str">
        <f>IFERROR(__xludf.DUMMYFUNCTION("""COMPUTED_VALUE"""),"")</f>
        <v/>
      </c>
      <c r="IO1" s="7" t="str">
        <f>IFERROR(__xludf.DUMMYFUNCTION("""COMPUTED_VALUE"""),"")</f>
        <v/>
      </c>
      <c r="IP1" s="7" t="str">
        <f>IFERROR(__xludf.DUMMYFUNCTION("""COMPUTED_VALUE"""),"")</f>
        <v/>
      </c>
      <c r="IQ1" s="7" t="str">
        <f>IFERROR(__xludf.DUMMYFUNCTION("""COMPUTED_VALUE"""),"")</f>
        <v/>
      </c>
      <c r="IR1" s="7" t="str">
        <f>IFERROR(__xludf.DUMMYFUNCTION("""COMPUTED_VALUE"""),"")</f>
        <v/>
      </c>
      <c r="IS1" s="7" t="str">
        <f>IFERROR(__xludf.DUMMYFUNCTION("""COMPUTED_VALUE"""),"")</f>
        <v/>
      </c>
      <c r="IT1" s="7" t="str">
        <f>IFERROR(__xludf.DUMMYFUNCTION("""COMPUTED_VALUE"""),"")</f>
        <v/>
      </c>
      <c r="IU1" s="7" t="str">
        <f>IFERROR(__xludf.DUMMYFUNCTION("""COMPUTED_VALUE"""),"")</f>
        <v/>
      </c>
      <c r="IV1" s="7" t="str">
        <f>IFERROR(__xludf.DUMMYFUNCTION("""COMPUTED_VALUE"""),"")</f>
        <v/>
      </c>
      <c r="IW1" s="7" t="str">
        <f>IFERROR(__xludf.DUMMYFUNCTION("""COMPUTED_VALUE"""),"")</f>
        <v/>
      </c>
      <c r="IX1" s="7" t="str">
        <f>IFERROR(__xludf.DUMMYFUNCTION("""COMPUTED_VALUE"""),"")</f>
        <v/>
      </c>
      <c r="IY1" s="7" t="str">
        <f>IFERROR(__xludf.DUMMYFUNCTION("""COMPUTED_VALUE"""),"")</f>
        <v/>
      </c>
      <c r="IZ1" s="7" t="str">
        <f>IFERROR(__xludf.DUMMYFUNCTION("""COMPUTED_VALUE"""),"")</f>
        <v/>
      </c>
      <c r="JA1" s="7" t="str">
        <f>IFERROR(__xludf.DUMMYFUNCTION("""COMPUTED_VALUE"""),"")</f>
        <v/>
      </c>
      <c r="JB1" s="7" t="str">
        <f>IFERROR(__xludf.DUMMYFUNCTION("""COMPUTED_VALUE"""),"")</f>
        <v/>
      </c>
      <c r="JC1" s="7" t="str">
        <f>IFERROR(__xludf.DUMMYFUNCTION("""COMPUTED_VALUE"""),"")</f>
        <v/>
      </c>
      <c r="JD1" s="7" t="str">
        <f>IFERROR(__xludf.DUMMYFUNCTION("""COMPUTED_VALUE"""),"")</f>
        <v/>
      </c>
      <c r="JE1" s="7" t="str">
        <f>IFERROR(__xludf.DUMMYFUNCTION("""COMPUTED_VALUE"""),"")</f>
        <v/>
      </c>
      <c r="JF1" s="7" t="str">
        <f>IFERROR(__xludf.DUMMYFUNCTION("""COMPUTED_VALUE"""),"")</f>
        <v/>
      </c>
      <c r="JG1" s="7" t="str">
        <f>IFERROR(__xludf.DUMMYFUNCTION("""COMPUTED_VALUE"""),"")</f>
        <v/>
      </c>
      <c r="JH1" s="7" t="str">
        <f>IFERROR(__xludf.DUMMYFUNCTION("""COMPUTED_VALUE"""),"")</f>
        <v/>
      </c>
      <c r="JI1" s="7" t="str">
        <f>IFERROR(__xludf.DUMMYFUNCTION("""COMPUTED_VALUE"""),"")</f>
        <v/>
      </c>
      <c r="JJ1" s="7" t="str">
        <f>IFERROR(__xludf.DUMMYFUNCTION("""COMPUTED_VALUE"""),"")</f>
        <v/>
      </c>
      <c r="JK1" s="7" t="str">
        <f>IFERROR(__xludf.DUMMYFUNCTION("""COMPUTED_VALUE"""),"")</f>
        <v/>
      </c>
      <c r="JL1" s="7" t="str">
        <f>IFERROR(__xludf.DUMMYFUNCTION("""COMPUTED_VALUE"""),"")</f>
        <v/>
      </c>
      <c r="JM1" s="7" t="str">
        <f>IFERROR(__xludf.DUMMYFUNCTION("""COMPUTED_VALUE"""),"")</f>
        <v/>
      </c>
      <c r="JN1" s="7" t="str">
        <f>IFERROR(__xludf.DUMMYFUNCTION("""COMPUTED_VALUE"""),"")</f>
        <v/>
      </c>
      <c r="JO1" s="7" t="str">
        <f>IFERROR(__xludf.DUMMYFUNCTION("""COMPUTED_VALUE"""),"")</f>
        <v/>
      </c>
      <c r="JP1" s="7" t="str">
        <f>IFERROR(__xludf.DUMMYFUNCTION("""COMPUTED_VALUE"""),"")</f>
        <v/>
      </c>
      <c r="JQ1" s="7" t="str">
        <f>IFERROR(__xludf.DUMMYFUNCTION("""COMPUTED_VALUE"""),"")</f>
        <v/>
      </c>
      <c r="JR1" s="7" t="str">
        <f>IFERROR(__xludf.DUMMYFUNCTION("""COMPUTED_VALUE"""),"")</f>
        <v/>
      </c>
      <c r="JS1" s="7" t="str">
        <f>IFERROR(__xludf.DUMMYFUNCTION("""COMPUTED_VALUE"""),"")</f>
        <v/>
      </c>
      <c r="JT1" s="7" t="str">
        <f>IFERROR(__xludf.DUMMYFUNCTION("""COMPUTED_VALUE"""),"")</f>
        <v/>
      </c>
      <c r="JU1" s="7" t="str">
        <f>IFERROR(__xludf.DUMMYFUNCTION("""COMPUTED_VALUE"""),"")</f>
        <v/>
      </c>
      <c r="JV1" s="7" t="str">
        <f>IFERROR(__xludf.DUMMYFUNCTION("""COMPUTED_VALUE"""),"")</f>
        <v/>
      </c>
      <c r="JW1" s="7" t="str">
        <f>IFERROR(__xludf.DUMMYFUNCTION("""COMPUTED_VALUE"""),"")</f>
        <v/>
      </c>
      <c r="JX1" s="7" t="str">
        <f>IFERROR(__xludf.DUMMYFUNCTION("""COMPUTED_VALUE"""),"")</f>
        <v/>
      </c>
      <c r="JY1" s="7" t="str">
        <f>IFERROR(__xludf.DUMMYFUNCTION("""COMPUTED_VALUE"""),"")</f>
        <v/>
      </c>
      <c r="JZ1" s="7" t="str">
        <f>IFERROR(__xludf.DUMMYFUNCTION("""COMPUTED_VALUE"""),"")</f>
        <v/>
      </c>
      <c r="KA1" s="7" t="str">
        <f>IFERROR(__xludf.DUMMYFUNCTION("""COMPUTED_VALUE"""),"")</f>
        <v/>
      </c>
      <c r="KB1" s="7" t="str">
        <f>IFERROR(__xludf.DUMMYFUNCTION("""COMPUTED_VALUE"""),"")</f>
        <v/>
      </c>
      <c r="KC1" s="7" t="str">
        <f>IFERROR(__xludf.DUMMYFUNCTION("""COMPUTED_VALUE"""),"")</f>
        <v/>
      </c>
      <c r="KD1" s="7" t="str">
        <f>IFERROR(__xludf.DUMMYFUNCTION("""COMPUTED_VALUE"""),"")</f>
        <v/>
      </c>
      <c r="KE1" s="7" t="str">
        <f>IFERROR(__xludf.DUMMYFUNCTION("""COMPUTED_VALUE"""),"")</f>
        <v/>
      </c>
      <c r="KF1" s="7" t="str">
        <f>IFERROR(__xludf.DUMMYFUNCTION("""COMPUTED_VALUE"""),"")</f>
        <v/>
      </c>
      <c r="KG1" s="7" t="str">
        <f>IFERROR(__xludf.DUMMYFUNCTION("""COMPUTED_VALUE"""),"")</f>
        <v/>
      </c>
      <c r="KH1" s="7" t="str">
        <f>IFERROR(__xludf.DUMMYFUNCTION("""COMPUTED_VALUE"""),"")</f>
        <v/>
      </c>
      <c r="KI1" s="7" t="str">
        <f>IFERROR(__xludf.DUMMYFUNCTION("""COMPUTED_VALUE"""),"")</f>
        <v/>
      </c>
      <c r="KJ1" s="7" t="str">
        <f>IFERROR(__xludf.DUMMYFUNCTION("""COMPUTED_VALUE"""),"")</f>
        <v/>
      </c>
      <c r="KK1" s="7" t="str">
        <f>IFERROR(__xludf.DUMMYFUNCTION("""COMPUTED_VALUE"""),"")</f>
        <v/>
      </c>
      <c r="KL1" s="7" t="str">
        <f>IFERROR(__xludf.DUMMYFUNCTION("""COMPUTED_VALUE"""),"")</f>
        <v/>
      </c>
      <c r="KM1" s="7" t="str">
        <f>IFERROR(__xludf.DUMMYFUNCTION("""COMPUTED_VALUE"""),"")</f>
        <v/>
      </c>
      <c r="KN1" s="7" t="str">
        <f>IFERROR(__xludf.DUMMYFUNCTION("""COMPUTED_VALUE"""),"")</f>
        <v/>
      </c>
      <c r="KO1" s="7" t="str">
        <f>IFERROR(__xludf.DUMMYFUNCTION("""COMPUTED_VALUE"""),"")</f>
        <v/>
      </c>
      <c r="KP1" s="7" t="str">
        <f>IFERROR(__xludf.DUMMYFUNCTION("""COMPUTED_VALUE"""),"")</f>
        <v/>
      </c>
      <c r="KQ1" s="7" t="str">
        <f>IFERROR(__xludf.DUMMYFUNCTION("""COMPUTED_VALUE"""),"")</f>
        <v/>
      </c>
      <c r="KR1" s="7" t="str">
        <f>IFERROR(__xludf.DUMMYFUNCTION("""COMPUTED_VALUE"""),"")</f>
        <v/>
      </c>
      <c r="KS1" s="7" t="str">
        <f>IFERROR(__xludf.DUMMYFUNCTION("""COMPUTED_VALUE"""),"")</f>
        <v/>
      </c>
      <c r="KT1" s="7" t="str">
        <f>IFERROR(__xludf.DUMMYFUNCTION("""COMPUTED_VALUE"""),"")</f>
        <v/>
      </c>
      <c r="KU1" s="7" t="str">
        <f>IFERROR(__xludf.DUMMYFUNCTION("""COMPUTED_VALUE"""),"")</f>
        <v/>
      </c>
      <c r="KV1" s="7" t="str">
        <f>IFERROR(__xludf.DUMMYFUNCTION("""COMPUTED_VALUE"""),"")</f>
        <v/>
      </c>
      <c r="KW1" s="7" t="str">
        <f>IFERROR(__xludf.DUMMYFUNCTION("""COMPUTED_VALUE"""),"")</f>
        <v/>
      </c>
      <c r="KX1" s="7" t="str">
        <f>IFERROR(__xludf.DUMMYFUNCTION("""COMPUTED_VALUE"""),"")</f>
        <v/>
      </c>
      <c r="KY1" s="7" t="str">
        <f>IFERROR(__xludf.DUMMYFUNCTION("""COMPUTED_VALUE"""),"")</f>
        <v/>
      </c>
      <c r="KZ1" s="7" t="str">
        <f>IFERROR(__xludf.DUMMYFUNCTION("""COMPUTED_VALUE"""),"")</f>
        <v/>
      </c>
      <c r="LA1" s="7" t="str">
        <f>IFERROR(__xludf.DUMMYFUNCTION("""COMPUTED_VALUE"""),"")</f>
        <v/>
      </c>
      <c r="LB1" s="7" t="str">
        <f>IFERROR(__xludf.DUMMYFUNCTION("""COMPUTED_VALUE"""),"")</f>
        <v/>
      </c>
      <c r="LC1" s="7" t="str">
        <f>IFERROR(__xludf.DUMMYFUNCTION("""COMPUTED_VALUE"""),"")</f>
        <v/>
      </c>
      <c r="LD1" s="7" t="str">
        <f>IFERROR(__xludf.DUMMYFUNCTION("""COMPUTED_VALUE"""),"")</f>
        <v/>
      </c>
      <c r="LE1" s="7" t="str">
        <f>IFERROR(__xludf.DUMMYFUNCTION("""COMPUTED_VALUE"""),"")</f>
        <v/>
      </c>
      <c r="LF1" s="7" t="str">
        <f>IFERROR(__xludf.DUMMYFUNCTION("""COMPUTED_VALUE"""),"")</f>
        <v/>
      </c>
      <c r="LG1" s="7" t="str">
        <f>IFERROR(__xludf.DUMMYFUNCTION("""COMPUTED_VALUE"""),"")</f>
        <v/>
      </c>
      <c r="LH1" s="7" t="str">
        <f>IFERROR(__xludf.DUMMYFUNCTION("""COMPUTED_VALUE"""),"")</f>
        <v/>
      </c>
      <c r="LI1" s="7" t="str">
        <f>IFERROR(__xludf.DUMMYFUNCTION("""COMPUTED_VALUE"""),"")</f>
        <v/>
      </c>
      <c r="LJ1" s="7" t="str">
        <f>IFERROR(__xludf.DUMMYFUNCTION("""COMPUTED_VALUE"""),"")</f>
        <v/>
      </c>
      <c r="LK1" s="7" t="str">
        <f>IFERROR(__xludf.DUMMYFUNCTION("""COMPUTED_VALUE"""),"")</f>
        <v/>
      </c>
      <c r="LL1" s="7" t="str">
        <f>IFERROR(__xludf.DUMMYFUNCTION("""COMPUTED_VALUE"""),"")</f>
        <v/>
      </c>
      <c r="LM1" s="7" t="str">
        <f>IFERROR(__xludf.DUMMYFUNCTION("""COMPUTED_VALUE"""),"")</f>
        <v/>
      </c>
      <c r="LN1" s="7" t="str">
        <f>IFERROR(__xludf.DUMMYFUNCTION("""COMPUTED_VALUE"""),"")</f>
        <v/>
      </c>
      <c r="LO1" s="7" t="str">
        <f>IFERROR(__xludf.DUMMYFUNCTION("""COMPUTED_VALUE"""),"")</f>
        <v/>
      </c>
      <c r="LP1" s="7" t="str">
        <f>IFERROR(__xludf.DUMMYFUNCTION("""COMPUTED_VALUE"""),"")</f>
        <v/>
      </c>
      <c r="LQ1" s="7" t="str">
        <f>IFERROR(__xludf.DUMMYFUNCTION("""COMPUTED_VALUE"""),"")</f>
        <v/>
      </c>
      <c r="LR1" s="7" t="str">
        <f>IFERROR(__xludf.DUMMYFUNCTION("""COMPUTED_VALUE"""),"")</f>
        <v/>
      </c>
      <c r="LS1" s="7" t="str">
        <f>IFERROR(__xludf.DUMMYFUNCTION("""COMPUTED_VALUE"""),"")</f>
        <v/>
      </c>
      <c r="LT1" s="7" t="str">
        <f>IFERROR(__xludf.DUMMYFUNCTION("""COMPUTED_VALUE"""),"")</f>
        <v/>
      </c>
      <c r="LU1" s="7" t="str">
        <f>IFERROR(__xludf.DUMMYFUNCTION("""COMPUTED_VALUE"""),"")</f>
        <v/>
      </c>
      <c r="LV1" s="7" t="str">
        <f>IFERROR(__xludf.DUMMYFUNCTION("""COMPUTED_VALUE"""),"")</f>
        <v/>
      </c>
      <c r="LW1" s="7" t="str">
        <f>IFERROR(__xludf.DUMMYFUNCTION("""COMPUTED_VALUE"""),"")</f>
        <v/>
      </c>
      <c r="LX1" s="7" t="str">
        <f>IFERROR(__xludf.DUMMYFUNCTION("""COMPUTED_VALUE"""),"")</f>
        <v/>
      </c>
      <c r="LY1" s="7" t="str">
        <f>IFERROR(__xludf.DUMMYFUNCTION("""COMPUTED_VALUE"""),"")</f>
        <v/>
      </c>
      <c r="LZ1" s="7" t="str">
        <f>IFERROR(__xludf.DUMMYFUNCTION("""COMPUTED_VALUE"""),"")</f>
        <v/>
      </c>
      <c r="MA1" s="7" t="str">
        <f>IFERROR(__xludf.DUMMYFUNCTION("""COMPUTED_VALUE"""),"")</f>
        <v/>
      </c>
      <c r="MB1" s="7" t="str">
        <f>IFERROR(__xludf.DUMMYFUNCTION("""COMPUTED_VALUE"""),"")</f>
        <v/>
      </c>
      <c r="MC1" s="7" t="str">
        <f>IFERROR(__xludf.DUMMYFUNCTION("""COMPUTED_VALUE"""),"")</f>
        <v/>
      </c>
      <c r="MD1" s="7" t="str">
        <f>IFERROR(__xludf.DUMMYFUNCTION("""COMPUTED_VALUE"""),"")</f>
        <v/>
      </c>
      <c r="ME1" s="7" t="str">
        <f>IFERROR(__xludf.DUMMYFUNCTION("""COMPUTED_VALUE"""),"")</f>
        <v/>
      </c>
      <c r="MF1" s="7" t="str">
        <f>IFERROR(__xludf.DUMMYFUNCTION("""COMPUTED_VALUE"""),"")</f>
        <v/>
      </c>
      <c r="MG1" s="7" t="str">
        <f>IFERROR(__xludf.DUMMYFUNCTION("""COMPUTED_VALUE"""),"")</f>
        <v/>
      </c>
      <c r="MH1" s="7" t="str">
        <f>IFERROR(__xludf.DUMMYFUNCTION("""COMPUTED_VALUE"""),"")</f>
        <v/>
      </c>
      <c r="MI1" s="7" t="str">
        <f>IFERROR(__xludf.DUMMYFUNCTION("""COMPUTED_VALUE"""),"")</f>
        <v/>
      </c>
      <c r="MJ1" s="7" t="str">
        <f>IFERROR(__xludf.DUMMYFUNCTION("""COMPUTED_VALUE"""),"")</f>
        <v/>
      </c>
      <c r="MK1" s="7" t="str">
        <f>IFERROR(__xludf.DUMMYFUNCTION("""COMPUTED_VALUE"""),"")</f>
        <v/>
      </c>
      <c r="ML1" s="7" t="str">
        <f>IFERROR(__xludf.DUMMYFUNCTION("""COMPUTED_VALUE"""),"")</f>
        <v/>
      </c>
      <c r="MM1" s="7" t="str">
        <f>IFERROR(__xludf.DUMMYFUNCTION("""COMPUTED_VALUE"""),"")</f>
        <v/>
      </c>
      <c r="MN1" s="7" t="str">
        <f>IFERROR(__xludf.DUMMYFUNCTION("""COMPUTED_VALUE"""),"")</f>
        <v/>
      </c>
      <c r="MO1" s="7" t="str">
        <f>IFERROR(__xludf.DUMMYFUNCTION("""COMPUTED_VALUE"""),"")</f>
        <v/>
      </c>
      <c r="MP1" s="7" t="str">
        <f>IFERROR(__xludf.DUMMYFUNCTION("""COMPUTED_VALUE"""),"")</f>
        <v/>
      </c>
      <c r="MQ1" s="7" t="str">
        <f>IFERROR(__xludf.DUMMYFUNCTION("""COMPUTED_VALUE"""),"")</f>
        <v/>
      </c>
      <c r="MR1" s="7" t="str">
        <f>IFERROR(__xludf.DUMMYFUNCTION("""COMPUTED_VALUE"""),"")</f>
        <v/>
      </c>
      <c r="MS1" s="7" t="str">
        <f>IFERROR(__xludf.DUMMYFUNCTION("""COMPUTED_VALUE"""),"")</f>
        <v/>
      </c>
      <c r="MT1" s="7" t="str">
        <f>IFERROR(__xludf.DUMMYFUNCTION("""COMPUTED_VALUE"""),"")</f>
        <v/>
      </c>
      <c r="MU1" s="7" t="str">
        <f>IFERROR(__xludf.DUMMYFUNCTION("""COMPUTED_VALUE"""),"")</f>
        <v/>
      </c>
      <c r="MV1" s="7" t="str">
        <f>IFERROR(__xludf.DUMMYFUNCTION("""COMPUTED_VALUE"""),"")</f>
        <v/>
      </c>
      <c r="MW1" s="7" t="str">
        <f>IFERROR(__xludf.DUMMYFUNCTION("""COMPUTED_VALUE"""),"")</f>
        <v/>
      </c>
      <c r="MX1" s="7" t="str">
        <f>IFERROR(__xludf.DUMMYFUNCTION("""COMPUTED_VALUE"""),"")</f>
        <v/>
      </c>
      <c r="MY1" s="7" t="str">
        <f>IFERROR(__xludf.DUMMYFUNCTION("""COMPUTED_VALUE"""),"")</f>
        <v/>
      </c>
      <c r="MZ1" s="7" t="str">
        <f>IFERROR(__xludf.DUMMYFUNCTION("""COMPUTED_VALUE"""),"")</f>
        <v/>
      </c>
      <c r="NA1" s="7" t="str">
        <f>IFERROR(__xludf.DUMMYFUNCTION("""COMPUTED_VALUE"""),"")</f>
        <v/>
      </c>
      <c r="NB1" s="7" t="str">
        <f>IFERROR(__xludf.DUMMYFUNCTION("""COMPUTED_VALUE"""),"")</f>
        <v/>
      </c>
      <c r="NC1" s="7" t="str">
        <f>IFERROR(__xludf.DUMMYFUNCTION("""COMPUTED_VALUE"""),"")</f>
        <v/>
      </c>
      <c r="ND1" s="7" t="str">
        <f>IFERROR(__xludf.DUMMYFUNCTION("""COMPUTED_VALUE"""),"")</f>
        <v/>
      </c>
      <c r="NE1" s="7" t="str">
        <f>IFERROR(__xludf.DUMMYFUNCTION("""COMPUTED_VALUE"""),"")</f>
        <v/>
      </c>
      <c r="NF1" s="7" t="str">
        <f>IFERROR(__xludf.DUMMYFUNCTION("""COMPUTED_VALUE"""),"")</f>
        <v/>
      </c>
      <c r="NG1" s="7" t="str">
        <f>IFERROR(__xludf.DUMMYFUNCTION("""COMPUTED_VALUE"""),"")</f>
        <v/>
      </c>
      <c r="NH1" s="7" t="str">
        <f>IFERROR(__xludf.DUMMYFUNCTION("""COMPUTED_VALUE"""),"")</f>
        <v/>
      </c>
      <c r="NI1" s="7" t="str">
        <f>IFERROR(__xludf.DUMMYFUNCTION("""COMPUTED_VALUE"""),"")</f>
        <v/>
      </c>
      <c r="NJ1" s="7" t="str">
        <f>IFERROR(__xludf.DUMMYFUNCTION("""COMPUTED_VALUE"""),"")</f>
        <v/>
      </c>
      <c r="NK1" s="7" t="str">
        <f>IFERROR(__xludf.DUMMYFUNCTION("""COMPUTED_VALUE"""),"")</f>
        <v/>
      </c>
      <c r="NL1" s="7" t="str">
        <f>IFERROR(__xludf.DUMMYFUNCTION("""COMPUTED_VALUE"""),"")</f>
        <v/>
      </c>
      <c r="NM1" s="7" t="str">
        <f>IFERROR(__xludf.DUMMYFUNCTION("""COMPUTED_VALUE"""),"")</f>
        <v/>
      </c>
      <c r="NN1" s="7" t="str">
        <f>IFERROR(__xludf.DUMMYFUNCTION("""COMPUTED_VALUE"""),"")</f>
        <v/>
      </c>
      <c r="NO1" s="7" t="str">
        <f>IFERROR(__xludf.DUMMYFUNCTION("""COMPUTED_VALUE"""),"")</f>
        <v/>
      </c>
      <c r="NP1" s="7" t="str">
        <f>IFERROR(__xludf.DUMMYFUNCTION("""COMPUTED_VALUE"""),"")</f>
        <v/>
      </c>
      <c r="NQ1" s="7" t="str">
        <f>IFERROR(__xludf.DUMMYFUNCTION("""COMPUTED_VALUE"""),"")</f>
        <v/>
      </c>
      <c r="NR1" s="7" t="str">
        <f>IFERROR(__xludf.DUMMYFUNCTION("""COMPUTED_VALUE"""),"")</f>
        <v/>
      </c>
      <c r="NS1" s="7" t="str">
        <f>IFERROR(__xludf.DUMMYFUNCTION("""COMPUTED_VALUE"""),"")</f>
        <v/>
      </c>
      <c r="NT1" s="7" t="str">
        <f>IFERROR(__xludf.DUMMYFUNCTION("""COMPUTED_VALUE"""),"")</f>
        <v/>
      </c>
      <c r="NU1" s="7" t="str">
        <f>IFERROR(__xludf.DUMMYFUNCTION("""COMPUTED_VALUE"""),"")</f>
        <v/>
      </c>
      <c r="NV1" s="7" t="str">
        <f>IFERROR(__xludf.DUMMYFUNCTION("""COMPUTED_VALUE"""),"")</f>
        <v/>
      </c>
      <c r="NW1" s="7" t="str">
        <f>IFERROR(__xludf.DUMMYFUNCTION("""COMPUTED_VALUE"""),"")</f>
        <v/>
      </c>
      <c r="NX1" s="7" t="str">
        <f>IFERROR(__xludf.DUMMYFUNCTION("""COMPUTED_VALUE"""),"")</f>
        <v/>
      </c>
      <c r="NY1" s="7" t="str">
        <f>IFERROR(__xludf.DUMMYFUNCTION("""COMPUTED_VALUE"""),"")</f>
        <v/>
      </c>
      <c r="NZ1" s="7" t="str">
        <f>IFERROR(__xludf.DUMMYFUNCTION("""COMPUTED_VALUE"""),"")</f>
        <v/>
      </c>
      <c r="OA1" s="7" t="str">
        <f>IFERROR(__xludf.DUMMYFUNCTION("""COMPUTED_VALUE"""),"")</f>
        <v/>
      </c>
      <c r="OB1" s="7" t="str">
        <f>IFERROR(__xludf.DUMMYFUNCTION("""COMPUTED_VALUE"""),"")</f>
        <v/>
      </c>
      <c r="OC1" s="7" t="str">
        <f>IFERROR(__xludf.DUMMYFUNCTION("""COMPUTED_VALUE"""),"")</f>
        <v/>
      </c>
      <c r="OD1" s="7" t="str">
        <f>IFERROR(__xludf.DUMMYFUNCTION("""COMPUTED_VALUE"""),"")</f>
        <v/>
      </c>
      <c r="OE1" s="7" t="str">
        <f>IFERROR(__xludf.DUMMYFUNCTION("""COMPUTED_VALUE"""),"")</f>
        <v/>
      </c>
      <c r="OF1" s="7" t="str">
        <f>IFERROR(__xludf.DUMMYFUNCTION("""COMPUTED_VALUE"""),"")</f>
        <v/>
      </c>
      <c r="OG1" s="7" t="str">
        <f>IFERROR(__xludf.DUMMYFUNCTION("""COMPUTED_VALUE"""),"")</f>
        <v/>
      </c>
      <c r="OH1" s="7" t="str">
        <f>IFERROR(__xludf.DUMMYFUNCTION("""COMPUTED_VALUE"""),"")</f>
        <v/>
      </c>
      <c r="OI1" s="7" t="str">
        <f>IFERROR(__xludf.DUMMYFUNCTION("""COMPUTED_VALUE"""),"")</f>
        <v/>
      </c>
      <c r="OJ1" s="7" t="str">
        <f>IFERROR(__xludf.DUMMYFUNCTION("""COMPUTED_VALUE"""),"")</f>
        <v/>
      </c>
      <c r="OK1" s="7" t="str">
        <f>IFERROR(__xludf.DUMMYFUNCTION("""COMPUTED_VALUE"""),"")</f>
        <v/>
      </c>
      <c r="OL1" s="7" t="str">
        <f>IFERROR(__xludf.DUMMYFUNCTION("""COMPUTED_VALUE"""),"")</f>
        <v/>
      </c>
      <c r="OM1" s="7" t="str">
        <f>IFERROR(__xludf.DUMMYFUNCTION("""COMPUTED_VALUE"""),"")</f>
        <v/>
      </c>
      <c r="ON1" s="7" t="str">
        <f>IFERROR(__xludf.DUMMYFUNCTION("""COMPUTED_VALUE"""),"")</f>
        <v/>
      </c>
      <c r="OO1" s="7" t="str">
        <f>IFERROR(__xludf.DUMMYFUNCTION("""COMPUTED_VALUE"""),"")</f>
        <v/>
      </c>
      <c r="OP1" s="7" t="str">
        <f>IFERROR(__xludf.DUMMYFUNCTION("""COMPUTED_VALUE"""),"")</f>
        <v/>
      </c>
      <c r="OQ1" s="7" t="str">
        <f>IFERROR(__xludf.DUMMYFUNCTION("""COMPUTED_VALUE"""),"")</f>
        <v/>
      </c>
      <c r="OR1" s="7" t="str">
        <f>IFERROR(__xludf.DUMMYFUNCTION("""COMPUTED_VALUE"""),"")</f>
        <v/>
      </c>
      <c r="OS1" s="7" t="str">
        <f>IFERROR(__xludf.DUMMYFUNCTION("""COMPUTED_VALUE"""),"")</f>
        <v/>
      </c>
      <c r="OT1" s="7" t="str">
        <f>IFERROR(__xludf.DUMMYFUNCTION("""COMPUTED_VALUE"""),"")</f>
        <v/>
      </c>
      <c r="OU1" s="7" t="str">
        <f>IFERROR(__xludf.DUMMYFUNCTION("""COMPUTED_VALUE"""),"")</f>
        <v/>
      </c>
      <c r="OV1" s="7" t="str">
        <f>IFERROR(__xludf.DUMMYFUNCTION("""COMPUTED_VALUE"""),"")</f>
        <v/>
      </c>
      <c r="OW1" s="7" t="str">
        <f>IFERROR(__xludf.DUMMYFUNCTION("""COMPUTED_VALUE"""),"")</f>
        <v/>
      </c>
      <c r="OX1" s="7" t="str">
        <f>IFERROR(__xludf.DUMMYFUNCTION("""COMPUTED_VALUE"""),"")</f>
        <v/>
      </c>
      <c r="OY1" s="7" t="str">
        <f>IFERROR(__xludf.DUMMYFUNCTION("""COMPUTED_VALUE"""),"")</f>
        <v/>
      </c>
      <c r="OZ1" s="7" t="str">
        <f>IFERROR(__xludf.DUMMYFUNCTION("""COMPUTED_VALUE"""),"")</f>
        <v/>
      </c>
      <c r="PA1" s="7" t="str">
        <f>IFERROR(__xludf.DUMMYFUNCTION("""COMPUTED_VALUE"""),"")</f>
        <v/>
      </c>
      <c r="PB1" s="7" t="str">
        <f>IFERROR(__xludf.DUMMYFUNCTION("""COMPUTED_VALUE"""),"")</f>
        <v/>
      </c>
      <c r="PC1" s="7" t="str">
        <f>IFERROR(__xludf.DUMMYFUNCTION("""COMPUTED_VALUE"""),"")</f>
        <v/>
      </c>
      <c r="PD1" s="7" t="str">
        <f>IFERROR(__xludf.DUMMYFUNCTION("""COMPUTED_VALUE"""),"")</f>
        <v/>
      </c>
      <c r="PE1" s="7" t="str">
        <f>IFERROR(__xludf.DUMMYFUNCTION("""COMPUTED_VALUE"""),"")</f>
        <v/>
      </c>
      <c r="PF1" s="7" t="str">
        <f>IFERROR(__xludf.DUMMYFUNCTION("""COMPUTED_VALUE"""),"")</f>
        <v/>
      </c>
      <c r="PG1" s="7" t="str">
        <f>IFERROR(__xludf.DUMMYFUNCTION("""COMPUTED_VALUE"""),"")</f>
        <v/>
      </c>
      <c r="PH1" s="7" t="str">
        <f>IFERROR(__xludf.DUMMYFUNCTION("""COMPUTED_VALUE"""),"")</f>
        <v/>
      </c>
      <c r="PI1" s="7" t="str">
        <f>IFERROR(__xludf.DUMMYFUNCTION("""COMPUTED_VALUE"""),"")</f>
        <v/>
      </c>
      <c r="PJ1" s="7" t="str">
        <f>IFERROR(__xludf.DUMMYFUNCTION("""COMPUTED_VALUE"""),"")</f>
        <v/>
      </c>
      <c r="PK1" s="7" t="str">
        <f>IFERROR(__xludf.DUMMYFUNCTION("""COMPUTED_VALUE"""),"")</f>
        <v/>
      </c>
      <c r="PL1" s="7" t="str">
        <f>IFERROR(__xludf.DUMMYFUNCTION("""COMPUTED_VALUE"""),"")</f>
        <v/>
      </c>
      <c r="PM1" s="7" t="str">
        <f>IFERROR(__xludf.DUMMYFUNCTION("""COMPUTED_VALUE"""),"")</f>
        <v/>
      </c>
      <c r="PN1" s="7" t="str">
        <f>IFERROR(__xludf.DUMMYFUNCTION("""COMPUTED_VALUE"""),"")</f>
        <v/>
      </c>
      <c r="PO1" s="7" t="str">
        <f>IFERROR(__xludf.DUMMYFUNCTION("""COMPUTED_VALUE"""),"")</f>
        <v/>
      </c>
      <c r="PP1" s="7" t="str">
        <f>IFERROR(__xludf.DUMMYFUNCTION("""COMPUTED_VALUE"""),"")</f>
        <v/>
      </c>
      <c r="PQ1" s="7" t="str">
        <f>IFERROR(__xludf.DUMMYFUNCTION("""COMPUTED_VALUE"""),"")</f>
        <v/>
      </c>
      <c r="PR1" s="7" t="str">
        <f>IFERROR(__xludf.DUMMYFUNCTION("""COMPUTED_VALUE"""),"")</f>
        <v/>
      </c>
      <c r="PS1" s="7" t="str">
        <f>IFERROR(__xludf.DUMMYFUNCTION("""COMPUTED_VALUE"""),"")</f>
        <v/>
      </c>
      <c r="PT1" s="7" t="str">
        <f>IFERROR(__xludf.DUMMYFUNCTION("""COMPUTED_VALUE"""),"")</f>
        <v/>
      </c>
      <c r="PU1" s="7" t="str">
        <f>IFERROR(__xludf.DUMMYFUNCTION("""COMPUTED_VALUE"""),"")</f>
        <v/>
      </c>
      <c r="PV1" s="7" t="str">
        <f>IFERROR(__xludf.DUMMYFUNCTION("""COMPUTED_VALUE"""),"")</f>
        <v/>
      </c>
      <c r="PW1" s="7" t="str">
        <f>IFERROR(__xludf.DUMMYFUNCTION("""COMPUTED_VALUE"""),"")</f>
        <v/>
      </c>
      <c r="PX1" s="7" t="str">
        <f>IFERROR(__xludf.DUMMYFUNCTION("""COMPUTED_VALUE"""),"")</f>
        <v/>
      </c>
      <c r="PY1" s="7" t="str">
        <f>IFERROR(__xludf.DUMMYFUNCTION("""COMPUTED_VALUE"""),"")</f>
        <v/>
      </c>
      <c r="PZ1" s="7" t="str">
        <f>IFERROR(__xludf.DUMMYFUNCTION("""COMPUTED_VALUE"""),"")</f>
        <v/>
      </c>
      <c r="QA1" s="7" t="str">
        <f>IFERROR(__xludf.DUMMYFUNCTION("""COMPUTED_VALUE"""),"")</f>
        <v/>
      </c>
      <c r="QB1" s="7" t="str">
        <f>IFERROR(__xludf.DUMMYFUNCTION("""COMPUTED_VALUE"""),"")</f>
        <v/>
      </c>
      <c r="QC1" s="7" t="str">
        <f>IFERROR(__xludf.DUMMYFUNCTION("""COMPUTED_VALUE"""),"")</f>
        <v/>
      </c>
      <c r="QD1" s="7" t="str">
        <f>IFERROR(__xludf.DUMMYFUNCTION("""COMPUTED_VALUE"""),"")</f>
        <v/>
      </c>
      <c r="QE1" s="7" t="str">
        <f>IFERROR(__xludf.DUMMYFUNCTION("""COMPUTED_VALUE"""),"")</f>
        <v/>
      </c>
      <c r="QF1" s="7" t="str">
        <f>IFERROR(__xludf.DUMMYFUNCTION("""COMPUTED_VALUE"""),"")</f>
        <v/>
      </c>
      <c r="QG1" s="7" t="str">
        <f>IFERROR(__xludf.DUMMYFUNCTION("""COMPUTED_VALUE"""),"")</f>
        <v/>
      </c>
      <c r="QH1" s="7" t="str">
        <f>IFERROR(__xludf.DUMMYFUNCTION("""COMPUTED_VALUE"""),"")</f>
        <v/>
      </c>
      <c r="QI1" s="7" t="str">
        <f>IFERROR(__xludf.DUMMYFUNCTION("""COMPUTED_VALUE"""),"")</f>
        <v/>
      </c>
      <c r="QJ1" s="7" t="str">
        <f>IFERROR(__xludf.DUMMYFUNCTION("""COMPUTED_VALUE"""),"")</f>
        <v/>
      </c>
      <c r="QK1" s="7" t="str">
        <f>IFERROR(__xludf.DUMMYFUNCTION("""COMPUTED_VALUE"""),"")</f>
        <v/>
      </c>
      <c r="QL1" s="7" t="str">
        <f>IFERROR(__xludf.DUMMYFUNCTION("""COMPUTED_VALUE"""),"")</f>
        <v/>
      </c>
      <c r="QM1" s="7" t="str">
        <f>IFERROR(__xludf.DUMMYFUNCTION("""COMPUTED_VALUE"""),"")</f>
        <v/>
      </c>
      <c r="QN1" s="7" t="str">
        <f>IFERROR(__xludf.DUMMYFUNCTION("""COMPUTED_VALUE"""),"")</f>
        <v/>
      </c>
      <c r="QO1" s="7" t="str">
        <f>IFERROR(__xludf.DUMMYFUNCTION("""COMPUTED_VALUE"""),"")</f>
        <v/>
      </c>
      <c r="QP1" s="7" t="str">
        <f>IFERROR(__xludf.DUMMYFUNCTION("""COMPUTED_VALUE"""),"")</f>
        <v/>
      </c>
      <c r="QQ1" s="7" t="str">
        <f>IFERROR(__xludf.DUMMYFUNCTION("""COMPUTED_VALUE"""),"")</f>
        <v/>
      </c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</row>
    <row r="2">
      <c r="A2" s="8">
        <f>IFERROR(__xludf.DUMMYFUNCTION("""COMPUTED_VALUE"""),45120.0)</f>
        <v>45120</v>
      </c>
      <c r="B2" s="9">
        <f>IFERROR(__xludf.DUMMYFUNCTION("""COMPUTED_VALUE"""),48.0)</f>
        <v>48</v>
      </c>
      <c r="C2" s="9">
        <f>IFERROR(__xludf.DUMMYFUNCTION("""COMPUTED_VALUE"""),172.0)</f>
        <v>172</v>
      </c>
      <c r="D2" s="9">
        <f>IFERROR(__xludf.DUMMYFUNCTION("""COMPUTED_VALUE"""),4.0)</f>
        <v>4</v>
      </c>
      <c r="E2" s="9">
        <f>IFERROR(__xludf.DUMMYFUNCTION("""COMPUTED_VALUE"""),2286.0)</f>
        <v>2286</v>
      </c>
      <c r="F2" s="9">
        <f>IFERROR(__xludf.DUMMYFUNCTION("""COMPUTED_VALUE"""),48.0)</f>
        <v>48</v>
      </c>
      <c r="G2" s="9">
        <f>IFERROR(__xludf.DUMMYFUNCTION("""COMPUTED_VALUE"""),0.0)</f>
        <v>0</v>
      </c>
      <c r="H2" s="9"/>
      <c r="I2" s="9">
        <f>IFERROR(__xludf.DUMMYFUNCTION("""COMPUTED_VALUE"""),4.0)</f>
        <v>4</v>
      </c>
      <c r="J2" s="9">
        <f>IFERROR(__xludf.DUMMYFUNCTION("""COMPUTED_VALUE"""),3.0)</f>
        <v>3</v>
      </c>
      <c r="K2" s="9">
        <f>IFERROR(__xludf.DUMMYFUNCTION("""COMPUTED_VALUE"""),0.0)</f>
        <v>0</v>
      </c>
      <c r="L2" s="9">
        <f>IFERROR(__xludf.DUMMYFUNCTION("""COMPUTED_VALUE"""),2.0)</f>
        <v>2</v>
      </c>
      <c r="M2" s="9">
        <f>IFERROR(__xludf.DUMMYFUNCTION("""COMPUTED_VALUE"""),9.0)</f>
        <v>9</v>
      </c>
      <c r="N2" s="9">
        <f>IFERROR(__xludf.DUMMYFUNCTION("""COMPUTED_VALUE"""),2.0)</f>
        <v>2</v>
      </c>
      <c r="O2" s="9">
        <f>IFERROR(__xludf.DUMMYFUNCTION("""COMPUTED_VALUE"""),0.0)</f>
        <v>0</v>
      </c>
      <c r="P2" s="9">
        <f>IFERROR(__xludf.DUMMYFUNCTION("""COMPUTED_VALUE"""),0.0)</f>
        <v>0</v>
      </c>
      <c r="Q2" s="9">
        <f>IFERROR(__xludf.DUMMYFUNCTION("""COMPUTED_VALUE"""),0.0)</f>
        <v>0</v>
      </c>
      <c r="R2" s="9">
        <f>IFERROR(__xludf.DUMMYFUNCTION("""COMPUTED_VALUE"""),0.0)</f>
        <v>0</v>
      </c>
      <c r="S2" s="9">
        <f>IFERROR(__xludf.DUMMYFUNCTION("""COMPUTED_VALUE"""),0.0)</f>
        <v>0</v>
      </c>
      <c r="T2" s="9">
        <f>IFERROR(__xludf.DUMMYFUNCTION("""COMPUTED_VALUE"""),2.0)</f>
        <v>2</v>
      </c>
      <c r="U2" s="9">
        <f>IFERROR(__xludf.DUMMYFUNCTION("""COMPUTED_VALUE"""),0.0)</f>
        <v>0</v>
      </c>
      <c r="V2" s="9">
        <f>IFERROR(__xludf.DUMMYFUNCTION("""COMPUTED_VALUE"""),0.0)</f>
        <v>0</v>
      </c>
      <c r="W2" s="9">
        <f>IFERROR(__xludf.DUMMYFUNCTION("""COMPUTED_VALUE"""),0.0)</f>
        <v>0</v>
      </c>
      <c r="X2" s="9">
        <f>IFERROR(__xludf.DUMMYFUNCTION("""COMPUTED_VALUE"""),0.0)</f>
        <v>0</v>
      </c>
      <c r="Y2" s="9">
        <f>IFERROR(__xludf.DUMMYFUNCTION("""COMPUTED_VALUE"""),2.0)</f>
        <v>2</v>
      </c>
      <c r="Z2" s="9">
        <f>IFERROR(__xludf.DUMMYFUNCTION("""COMPUTED_VALUE"""),2.0)</f>
        <v>2</v>
      </c>
      <c r="AA2" s="9">
        <f>IFERROR(__xludf.DUMMYFUNCTION("""COMPUTED_VALUE"""),0.0)</f>
        <v>0</v>
      </c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</row>
    <row r="3">
      <c r="A3" s="8">
        <f>IFERROR(__xludf.DUMMYFUNCTION("""COMPUTED_VALUE"""),45121.0)</f>
        <v>45121</v>
      </c>
      <c r="B3" s="9">
        <f>IFERROR(__xludf.DUMMYFUNCTION("""COMPUTED_VALUE"""),0.0)</f>
        <v>0</v>
      </c>
      <c r="C3" s="9">
        <f>IFERROR(__xludf.DUMMYFUNCTION("""COMPUTED_VALUE"""),0.0)</f>
        <v>0</v>
      </c>
      <c r="D3" s="9">
        <f>IFERROR(__xludf.DUMMYFUNCTION("""COMPUTED_VALUE"""),0.0)</f>
        <v>0</v>
      </c>
      <c r="E3" s="9">
        <f>IFERROR(__xludf.DUMMYFUNCTION("""COMPUTED_VALUE"""),0.0)</f>
        <v>0</v>
      </c>
      <c r="F3" s="9">
        <f>IFERROR(__xludf.DUMMYFUNCTION("""COMPUTED_VALUE"""),0.0)</f>
        <v>0</v>
      </c>
      <c r="G3" s="9">
        <f>IFERROR(__xludf.DUMMYFUNCTION("""COMPUTED_VALUE"""),0.0)</f>
        <v>0</v>
      </c>
      <c r="H3" s="9"/>
      <c r="I3" s="9">
        <f>IFERROR(__xludf.DUMMYFUNCTION("""COMPUTED_VALUE"""),0.0)</f>
        <v>0</v>
      </c>
      <c r="J3" s="9">
        <f>IFERROR(__xludf.DUMMYFUNCTION("""COMPUTED_VALUE"""),0.0)</f>
        <v>0</v>
      </c>
      <c r="K3" s="9">
        <f>IFERROR(__xludf.DUMMYFUNCTION("""COMPUTED_VALUE"""),0.0)</f>
        <v>0</v>
      </c>
      <c r="L3" s="9">
        <f>IFERROR(__xludf.DUMMYFUNCTION("""COMPUTED_VALUE"""),0.0)</f>
        <v>0</v>
      </c>
      <c r="M3" s="9">
        <f>IFERROR(__xludf.DUMMYFUNCTION("""COMPUTED_VALUE"""),0.0)</f>
        <v>0</v>
      </c>
      <c r="N3" s="9">
        <f>IFERROR(__xludf.DUMMYFUNCTION("""COMPUTED_VALUE"""),0.0)</f>
        <v>0</v>
      </c>
      <c r="O3" s="9">
        <f>IFERROR(__xludf.DUMMYFUNCTION("""COMPUTED_VALUE"""),0.0)</f>
        <v>0</v>
      </c>
      <c r="P3" s="9">
        <f>IFERROR(__xludf.DUMMYFUNCTION("""COMPUTED_VALUE"""),0.0)</f>
        <v>0</v>
      </c>
      <c r="Q3" s="9">
        <f>IFERROR(__xludf.DUMMYFUNCTION("""COMPUTED_VALUE"""),0.0)</f>
        <v>0</v>
      </c>
      <c r="R3" s="9">
        <f>IFERROR(__xludf.DUMMYFUNCTION("""COMPUTED_VALUE"""),0.0)</f>
        <v>0</v>
      </c>
      <c r="S3" s="9">
        <f>IFERROR(__xludf.DUMMYFUNCTION("""COMPUTED_VALUE"""),0.0)</f>
        <v>0</v>
      </c>
      <c r="T3" s="9">
        <f>IFERROR(__xludf.DUMMYFUNCTION("""COMPUTED_VALUE"""),0.0)</f>
        <v>0</v>
      </c>
      <c r="U3" s="9">
        <f>IFERROR(__xludf.DUMMYFUNCTION("""COMPUTED_VALUE"""),0.0)</f>
        <v>0</v>
      </c>
      <c r="V3" s="9">
        <f>IFERROR(__xludf.DUMMYFUNCTION("""COMPUTED_VALUE"""),0.0)</f>
        <v>0</v>
      </c>
      <c r="W3" s="9">
        <f>IFERROR(__xludf.DUMMYFUNCTION("""COMPUTED_VALUE"""),0.0)</f>
        <v>0</v>
      </c>
      <c r="X3" s="9">
        <f>IFERROR(__xludf.DUMMYFUNCTION("""COMPUTED_VALUE"""),0.0)</f>
        <v>0</v>
      </c>
      <c r="Y3" s="9">
        <f>IFERROR(__xludf.DUMMYFUNCTION("""COMPUTED_VALUE"""),0.0)</f>
        <v>0</v>
      </c>
      <c r="Z3" s="9">
        <f>IFERROR(__xludf.DUMMYFUNCTION("""COMPUTED_VALUE"""),0.0)</f>
        <v>0</v>
      </c>
      <c r="AA3" s="9">
        <f>IFERROR(__xludf.DUMMYFUNCTION("""COMPUTED_VALUE"""),0.0)</f>
        <v>0</v>
      </c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</row>
    <row r="4">
      <c r="A4" s="10">
        <f>IFERROR(__xludf.DUMMYFUNCTION("""COMPUTED_VALUE"""),45122.0)</f>
        <v>45122</v>
      </c>
      <c r="B4" s="9">
        <f>IFERROR(__xludf.DUMMYFUNCTION("""COMPUTED_VALUE"""),0.0)</f>
        <v>0</v>
      </c>
      <c r="C4" s="11">
        <f>IFERROR(__xludf.DUMMYFUNCTION("""COMPUTED_VALUE"""),0.0)</f>
        <v>0</v>
      </c>
      <c r="D4" s="11">
        <f>IFERROR(__xludf.DUMMYFUNCTION("""COMPUTED_VALUE"""),0.0)</f>
        <v>0</v>
      </c>
      <c r="E4" s="11">
        <f>IFERROR(__xludf.DUMMYFUNCTION("""COMPUTED_VALUE"""),0.0)</f>
        <v>0</v>
      </c>
      <c r="F4" s="11">
        <f>IFERROR(__xludf.DUMMYFUNCTION("""COMPUTED_VALUE"""),0.0)</f>
        <v>0</v>
      </c>
      <c r="G4" s="11">
        <f>IFERROR(__xludf.DUMMYFUNCTION("""COMPUTED_VALUE"""),0.0)</f>
        <v>0</v>
      </c>
      <c r="H4" s="11"/>
      <c r="I4" s="11">
        <f>IFERROR(__xludf.DUMMYFUNCTION("""COMPUTED_VALUE"""),0.0)</f>
        <v>0</v>
      </c>
      <c r="J4" s="11">
        <f>IFERROR(__xludf.DUMMYFUNCTION("""COMPUTED_VALUE"""),0.0)</f>
        <v>0</v>
      </c>
      <c r="K4" s="11">
        <f>IFERROR(__xludf.DUMMYFUNCTION("""COMPUTED_VALUE"""),0.0)</f>
        <v>0</v>
      </c>
      <c r="L4" s="11">
        <f>IFERROR(__xludf.DUMMYFUNCTION("""COMPUTED_VALUE"""),0.0)</f>
        <v>0</v>
      </c>
      <c r="M4" s="11">
        <f>IFERROR(__xludf.DUMMYFUNCTION("""COMPUTED_VALUE"""),0.0)</f>
        <v>0</v>
      </c>
      <c r="N4" s="11">
        <f>IFERROR(__xludf.DUMMYFUNCTION("""COMPUTED_VALUE"""),0.0)</f>
        <v>0</v>
      </c>
      <c r="O4" s="11">
        <f>IFERROR(__xludf.DUMMYFUNCTION("""COMPUTED_VALUE"""),0.0)</f>
        <v>0</v>
      </c>
      <c r="P4" s="11">
        <f>IFERROR(__xludf.DUMMYFUNCTION("""COMPUTED_VALUE"""),0.0)</f>
        <v>0</v>
      </c>
      <c r="Q4" s="11">
        <f>IFERROR(__xludf.DUMMYFUNCTION("""COMPUTED_VALUE"""),0.0)</f>
        <v>0</v>
      </c>
      <c r="R4" s="11">
        <f>IFERROR(__xludf.DUMMYFUNCTION("""COMPUTED_VALUE"""),0.0)</f>
        <v>0</v>
      </c>
      <c r="S4" s="11">
        <f>IFERROR(__xludf.DUMMYFUNCTION("""COMPUTED_VALUE"""),0.0)</f>
        <v>0</v>
      </c>
      <c r="T4" s="11">
        <f>IFERROR(__xludf.DUMMYFUNCTION("""COMPUTED_VALUE"""),0.0)</f>
        <v>0</v>
      </c>
      <c r="U4" s="11">
        <f>IFERROR(__xludf.DUMMYFUNCTION("""COMPUTED_VALUE"""),0.0)</f>
        <v>0</v>
      </c>
      <c r="V4" s="11">
        <f>IFERROR(__xludf.DUMMYFUNCTION("""COMPUTED_VALUE"""),0.0)</f>
        <v>0</v>
      </c>
      <c r="W4" s="11">
        <f>IFERROR(__xludf.DUMMYFUNCTION("""COMPUTED_VALUE"""),0.0)</f>
        <v>0</v>
      </c>
      <c r="X4" s="11">
        <f>IFERROR(__xludf.DUMMYFUNCTION("""COMPUTED_VALUE"""),0.0)</f>
        <v>0</v>
      </c>
      <c r="Y4" s="11">
        <f>IFERROR(__xludf.DUMMYFUNCTION("""COMPUTED_VALUE"""),0.0)</f>
        <v>0</v>
      </c>
      <c r="Z4" s="11">
        <f>IFERROR(__xludf.DUMMYFUNCTION("""COMPUTED_VALUE"""),0.0)</f>
        <v>0</v>
      </c>
      <c r="AA4" s="11">
        <f>IFERROR(__xludf.DUMMYFUNCTION("""COMPUTED_VALUE"""),0.0)</f>
        <v>0</v>
      </c>
      <c r="AB4" s="11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</row>
    <row r="5">
      <c r="A5" s="8">
        <f>IFERROR(__xludf.DUMMYFUNCTION("""COMPUTED_VALUE"""),45123.0)</f>
        <v>45123</v>
      </c>
      <c r="B5" s="9">
        <f>IFERROR(__xludf.DUMMYFUNCTION("""COMPUTED_VALUE"""),0.0)</f>
        <v>0</v>
      </c>
      <c r="C5" s="9">
        <f>IFERROR(__xludf.DUMMYFUNCTION("""COMPUTED_VALUE"""),0.0)</f>
        <v>0</v>
      </c>
      <c r="D5" s="9">
        <f>IFERROR(__xludf.DUMMYFUNCTION("""COMPUTED_VALUE"""),0.0)</f>
        <v>0</v>
      </c>
      <c r="E5" s="9">
        <f>IFERROR(__xludf.DUMMYFUNCTION("""COMPUTED_VALUE"""),0.0)</f>
        <v>0</v>
      </c>
      <c r="F5" s="9">
        <f>IFERROR(__xludf.DUMMYFUNCTION("""COMPUTED_VALUE"""),0.0)</f>
        <v>0</v>
      </c>
      <c r="G5" s="9">
        <f>IFERROR(__xludf.DUMMYFUNCTION("""COMPUTED_VALUE"""),0.0)</f>
        <v>0</v>
      </c>
      <c r="H5" s="9"/>
      <c r="I5" s="9">
        <f>IFERROR(__xludf.DUMMYFUNCTION("""COMPUTED_VALUE"""),0.0)</f>
        <v>0</v>
      </c>
      <c r="J5" s="9">
        <f>IFERROR(__xludf.DUMMYFUNCTION("""COMPUTED_VALUE"""),0.0)</f>
        <v>0</v>
      </c>
      <c r="K5" s="9">
        <f>IFERROR(__xludf.DUMMYFUNCTION("""COMPUTED_VALUE"""),0.0)</f>
        <v>0</v>
      </c>
      <c r="L5" s="9">
        <f>IFERROR(__xludf.DUMMYFUNCTION("""COMPUTED_VALUE"""),0.0)</f>
        <v>0</v>
      </c>
      <c r="M5" s="9">
        <f>IFERROR(__xludf.DUMMYFUNCTION("""COMPUTED_VALUE"""),0.0)</f>
        <v>0</v>
      </c>
      <c r="N5" s="9">
        <f>IFERROR(__xludf.DUMMYFUNCTION("""COMPUTED_VALUE"""),0.0)</f>
        <v>0</v>
      </c>
      <c r="O5" s="9">
        <f>IFERROR(__xludf.DUMMYFUNCTION("""COMPUTED_VALUE"""),0.0)</f>
        <v>0</v>
      </c>
      <c r="P5" s="9">
        <f>IFERROR(__xludf.DUMMYFUNCTION("""COMPUTED_VALUE"""),0.0)</f>
        <v>0</v>
      </c>
      <c r="Q5" s="9">
        <f>IFERROR(__xludf.DUMMYFUNCTION("""COMPUTED_VALUE"""),0.0)</f>
        <v>0</v>
      </c>
      <c r="R5" s="9">
        <f>IFERROR(__xludf.DUMMYFUNCTION("""COMPUTED_VALUE"""),0.0)</f>
        <v>0</v>
      </c>
      <c r="S5" s="9">
        <f>IFERROR(__xludf.DUMMYFUNCTION("""COMPUTED_VALUE"""),0.0)</f>
        <v>0</v>
      </c>
      <c r="T5" s="9">
        <f>IFERROR(__xludf.DUMMYFUNCTION("""COMPUTED_VALUE"""),0.0)</f>
        <v>0</v>
      </c>
      <c r="U5" s="9">
        <f>IFERROR(__xludf.DUMMYFUNCTION("""COMPUTED_VALUE"""),0.0)</f>
        <v>0</v>
      </c>
      <c r="V5" s="9">
        <f>IFERROR(__xludf.DUMMYFUNCTION("""COMPUTED_VALUE"""),0.0)</f>
        <v>0</v>
      </c>
      <c r="W5" s="9">
        <f>IFERROR(__xludf.DUMMYFUNCTION("""COMPUTED_VALUE"""),0.0)</f>
        <v>0</v>
      </c>
      <c r="X5" s="9">
        <f>IFERROR(__xludf.DUMMYFUNCTION("""COMPUTED_VALUE"""),0.0)</f>
        <v>0</v>
      </c>
      <c r="Y5" s="9">
        <f>IFERROR(__xludf.DUMMYFUNCTION("""COMPUTED_VALUE"""),0.0)</f>
        <v>0</v>
      </c>
      <c r="Z5" s="9">
        <f>IFERROR(__xludf.DUMMYFUNCTION("""COMPUTED_VALUE"""),0.0)</f>
        <v>0</v>
      </c>
      <c r="AA5" s="9">
        <f>IFERROR(__xludf.DUMMYFUNCTION("""COMPUTED_VALUE"""),0.0)</f>
        <v>0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</row>
    <row r="6">
      <c r="A6" s="8">
        <f>IFERROR(__xludf.DUMMYFUNCTION("""COMPUTED_VALUE"""),45124.0)</f>
        <v>45124</v>
      </c>
      <c r="B6" s="9">
        <f>IFERROR(__xludf.DUMMYFUNCTION("""COMPUTED_VALUE"""),0.0)</f>
        <v>0</v>
      </c>
      <c r="C6" s="9">
        <f>IFERROR(__xludf.DUMMYFUNCTION("""COMPUTED_VALUE"""),0.0)</f>
        <v>0</v>
      </c>
      <c r="D6" s="9">
        <f>IFERROR(__xludf.DUMMYFUNCTION("""COMPUTED_VALUE"""),0.0)</f>
        <v>0</v>
      </c>
      <c r="E6" s="9">
        <f>IFERROR(__xludf.DUMMYFUNCTION("""COMPUTED_VALUE"""),0.0)</f>
        <v>0</v>
      </c>
      <c r="F6" s="9">
        <f>IFERROR(__xludf.DUMMYFUNCTION("""COMPUTED_VALUE"""),0.0)</f>
        <v>0</v>
      </c>
      <c r="G6" s="9">
        <f>IFERROR(__xludf.DUMMYFUNCTION("""COMPUTED_VALUE"""),0.0)</f>
        <v>0</v>
      </c>
      <c r="H6" s="9"/>
      <c r="I6" s="9">
        <f>IFERROR(__xludf.DUMMYFUNCTION("""COMPUTED_VALUE"""),0.0)</f>
        <v>0</v>
      </c>
      <c r="J6" s="9">
        <f>IFERROR(__xludf.DUMMYFUNCTION("""COMPUTED_VALUE"""),0.0)</f>
        <v>0</v>
      </c>
      <c r="K6" s="9">
        <f>IFERROR(__xludf.DUMMYFUNCTION("""COMPUTED_VALUE"""),0.0)</f>
        <v>0</v>
      </c>
      <c r="L6" s="9">
        <f>IFERROR(__xludf.DUMMYFUNCTION("""COMPUTED_VALUE"""),0.0)</f>
        <v>0</v>
      </c>
      <c r="M6" s="9">
        <f>IFERROR(__xludf.DUMMYFUNCTION("""COMPUTED_VALUE"""),0.0)</f>
        <v>0</v>
      </c>
      <c r="N6" s="9">
        <f>IFERROR(__xludf.DUMMYFUNCTION("""COMPUTED_VALUE"""),0.0)</f>
        <v>0</v>
      </c>
      <c r="O6" s="9">
        <f>IFERROR(__xludf.DUMMYFUNCTION("""COMPUTED_VALUE"""),0.0)</f>
        <v>0</v>
      </c>
      <c r="P6" s="9">
        <f>IFERROR(__xludf.DUMMYFUNCTION("""COMPUTED_VALUE"""),0.0)</f>
        <v>0</v>
      </c>
      <c r="Q6" s="9">
        <f>IFERROR(__xludf.DUMMYFUNCTION("""COMPUTED_VALUE"""),0.0)</f>
        <v>0</v>
      </c>
      <c r="R6" s="9">
        <f>IFERROR(__xludf.DUMMYFUNCTION("""COMPUTED_VALUE"""),0.0)</f>
        <v>0</v>
      </c>
      <c r="S6" s="9">
        <f>IFERROR(__xludf.DUMMYFUNCTION("""COMPUTED_VALUE"""),0.0)</f>
        <v>0</v>
      </c>
      <c r="T6" s="9">
        <f>IFERROR(__xludf.DUMMYFUNCTION("""COMPUTED_VALUE"""),0.0)</f>
        <v>0</v>
      </c>
      <c r="U6" s="9">
        <f>IFERROR(__xludf.DUMMYFUNCTION("""COMPUTED_VALUE"""),0.0)</f>
        <v>0</v>
      </c>
      <c r="V6" s="9">
        <f>IFERROR(__xludf.DUMMYFUNCTION("""COMPUTED_VALUE"""),0.0)</f>
        <v>0</v>
      </c>
      <c r="W6" s="9">
        <f>IFERROR(__xludf.DUMMYFUNCTION("""COMPUTED_VALUE"""),0.0)</f>
        <v>0</v>
      </c>
      <c r="X6" s="9">
        <f>IFERROR(__xludf.DUMMYFUNCTION("""COMPUTED_VALUE"""),0.0)</f>
        <v>0</v>
      </c>
      <c r="Y6" s="9">
        <f>IFERROR(__xludf.DUMMYFUNCTION("""COMPUTED_VALUE"""),0.0)</f>
        <v>0</v>
      </c>
      <c r="Z6" s="9">
        <f>IFERROR(__xludf.DUMMYFUNCTION("""COMPUTED_VALUE"""),0.0)</f>
        <v>0</v>
      </c>
      <c r="AA6" s="9">
        <f>IFERROR(__xludf.DUMMYFUNCTION("""COMPUTED_VALUE"""),0.0)</f>
        <v>0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</row>
    <row r="7">
      <c r="A7" s="8">
        <f>IFERROR(__xludf.DUMMYFUNCTION("""COMPUTED_VALUE"""),45125.0)</f>
        <v>45125</v>
      </c>
      <c r="B7" s="9">
        <f>IFERROR(__xludf.DUMMYFUNCTION("""COMPUTED_VALUE"""),7.0)</f>
        <v>7</v>
      </c>
      <c r="C7" s="9">
        <f>IFERROR(__xludf.DUMMYFUNCTION("""COMPUTED_VALUE"""),20.0)</f>
        <v>20</v>
      </c>
      <c r="D7" s="9">
        <f>IFERROR(__xludf.DUMMYFUNCTION("""COMPUTED_VALUE"""),3.0)</f>
        <v>3</v>
      </c>
      <c r="E7" s="9">
        <f>IFERROR(__xludf.DUMMYFUNCTION("""COMPUTED_VALUE"""),299.0)</f>
        <v>299</v>
      </c>
      <c r="F7" s="9">
        <f>IFERROR(__xludf.DUMMYFUNCTION("""COMPUTED_VALUE"""),43.0)</f>
        <v>43</v>
      </c>
      <c r="G7" s="9">
        <f>IFERROR(__xludf.DUMMYFUNCTION("""COMPUTED_VALUE"""),0.0)</f>
        <v>0</v>
      </c>
      <c r="H7" s="9"/>
      <c r="I7" s="9">
        <f>IFERROR(__xludf.DUMMYFUNCTION("""COMPUTED_VALUE"""),0.0)</f>
        <v>0</v>
      </c>
      <c r="J7" s="9">
        <f>IFERROR(__xludf.DUMMYFUNCTION("""COMPUTED_VALUE"""),0.0)</f>
        <v>0</v>
      </c>
      <c r="K7" s="9">
        <f>IFERROR(__xludf.DUMMYFUNCTION("""COMPUTED_VALUE"""),0.0)</f>
        <v>0</v>
      </c>
      <c r="L7" s="9">
        <f>IFERROR(__xludf.DUMMYFUNCTION("""COMPUTED_VALUE"""),1.0)</f>
        <v>1</v>
      </c>
      <c r="M7" s="9">
        <f>IFERROR(__xludf.DUMMYFUNCTION("""COMPUTED_VALUE"""),1.0)</f>
        <v>1</v>
      </c>
      <c r="N7" s="9">
        <f>IFERROR(__xludf.DUMMYFUNCTION("""COMPUTED_VALUE"""),7.0)</f>
        <v>7</v>
      </c>
      <c r="O7" s="9">
        <f>IFERROR(__xludf.DUMMYFUNCTION("""COMPUTED_VALUE"""),0.0)</f>
        <v>0</v>
      </c>
      <c r="P7" s="9">
        <f>IFERROR(__xludf.DUMMYFUNCTION("""COMPUTED_VALUE"""),0.0)</f>
        <v>0</v>
      </c>
      <c r="Q7" s="9">
        <f>IFERROR(__xludf.DUMMYFUNCTION("""COMPUTED_VALUE"""),0.0)</f>
        <v>0</v>
      </c>
      <c r="R7" s="9">
        <f>IFERROR(__xludf.DUMMYFUNCTION("""COMPUTED_VALUE"""),0.0)</f>
        <v>0</v>
      </c>
      <c r="S7" s="9">
        <f>IFERROR(__xludf.DUMMYFUNCTION("""COMPUTED_VALUE"""),0.0)</f>
        <v>0</v>
      </c>
      <c r="T7" s="9">
        <f>IFERROR(__xludf.DUMMYFUNCTION("""COMPUTED_VALUE"""),1.0)</f>
        <v>1</v>
      </c>
      <c r="U7" s="9">
        <f>IFERROR(__xludf.DUMMYFUNCTION("""COMPUTED_VALUE"""),0.0)</f>
        <v>0</v>
      </c>
      <c r="V7" s="9">
        <f>IFERROR(__xludf.DUMMYFUNCTION("""COMPUTED_VALUE"""),0.0)</f>
        <v>0</v>
      </c>
      <c r="W7" s="9">
        <f>IFERROR(__xludf.DUMMYFUNCTION("""COMPUTED_VALUE"""),0.0)</f>
        <v>0</v>
      </c>
      <c r="X7" s="9">
        <f>IFERROR(__xludf.DUMMYFUNCTION("""COMPUTED_VALUE"""),0.0)</f>
        <v>0</v>
      </c>
      <c r="Y7" s="9">
        <f>IFERROR(__xludf.DUMMYFUNCTION("""COMPUTED_VALUE"""),5.0)</f>
        <v>5</v>
      </c>
      <c r="Z7" s="9">
        <f>IFERROR(__xludf.DUMMYFUNCTION("""COMPUTED_VALUE"""),1.0)</f>
        <v>1</v>
      </c>
      <c r="AA7" s="9">
        <f>IFERROR(__xludf.DUMMYFUNCTION("""COMPUTED_VALUE"""),0.0)</f>
        <v>0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</row>
    <row r="8">
      <c r="A8" s="8">
        <f>IFERROR(__xludf.DUMMYFUNCTION("""COMPUTED_VALUE"""),45126.0)</f>
        <v>45126</v>
      </c>
      <c r="B8" s="9">
        <f>IFERROR(__xludf.DUMMYFUNCTION("""COMPUTED_VALUE"""),0.0)</f>
        <v>0</v>
      </c>
      <c r="C8" s="9">
        <f>IFERROR(__xludf.DUMMYFUNCTION("""COMPUTED_VALUE"""),0.0)</f>
        <v>0</v>
      </c>
      <c r="D8" s="9">
        <f>IFERROR(__xludf.DUMMYFUNCTION("""COMPUTED_VALUE"""),0.0)</f>
        <v>0</v>
      </c>
      <c r="E8" s="9">
        <f>IFERROR(__xludf.DUMMYFUNCTION("""COMPUTED_VALUE"""),0.0)</f>
        <v>0</v>
      </c>
      <c r="F8" s="9">
        <f>IFERROR(__xludf.DUMMYFUNCTION("""COMPUTED_VALUE"""),0.0)</f>
        <v>0</v>
      </c>
      <c r="G8" s="9">
        <f>IFERROR(__xludf.DUMMYFUNCTION("""COMPUTED_VALUE"""),0.0)</f>
        <v>0</v>
      </c>
      <c r="H8" s="9"/>
      <c r="I8" s="9">
        <f>IFERROR(__xludf.DUMMYFUNCTION("""COMPUTED_VALUE"""),0.0)</f>
        <v>0</v>
      </c>
      <c r="J8" s="9">
        <f>IFERROR(__xludf.DUMMYFUNCTION("""COMPUTED_VALUE"""),0.0)</f>
        <v>0</v>
      </c>
      <c r="K8" s="9">
        <f>IFERROR(__xludf.DUMMYFUNCTION("""COMPUTED_VALUE"""),0.0)</f>
        <v>0</v>
      </c>
      <c r="L8" s="9">
        <f>IFERROR(__xludf.DUMMYFUNCTION("""COMPUTED_VALUE"""),0.0)</f>
        <v>0</v>
      </c>
      <c r="M8" s="9">
        <f>IFERROR(__xludf.DUMMYFUNCTION("""COMPUTED_VALUE"""),0.0)</f>
        <v>0</v>
      </c>
      <c r="N8" s="9">
        <f>IFERROR(__xludf.DUMMYFUNCTION("""COMPUTED_VALUE"""),0.0)</f>
        <v>0</v>
      </c>
      <c r="O8" s="9">
        <f>IFERROR(__xludf.DUMMYFUNCTION("""COMPUTED_VALUE"""),0.0)</f>
        <v>0</v>
      </c>
      <c r="P8" s="9">
        <f>IFERROR(__xludf.DUMMYFUNCTION("""COMPUTED_VALUE"""),0.0)</f>
        <v>0</v>
      </c>
      <c r="Q8" s="9">
        <f>IFERROR(__xludf.DUMMYFUNCTION("""COMPUTED_VALUE"""),0.0)</f>
        <v>0</v>
      </c>
      <c r="R8" s="9">
        <f>IFERROR(__xludf.DUMMYFUNCTION("""COMPUTED_VALUE"""),0.0)</f>
        <v>0</v>
      </c>
      <c r="S8" s="9">
        <f>IFERROR(__xludf.DUMMYFUNCTION("""COMPUTED_VALUE"""),0.0)</f>
        <v>0</v>
      </c>
      <c r="T8" s="9">
        <f>IFERROR(__xludf.DUMMYFUNCTION("""COMPUTED_VALUE"""),0.0)</f>
        <v>0</v>
      </c>
      <c r="U8" s="9">
        <f>IFERROR(__xludf.DUMMYFUNCTION("""COMPUTED_VALUE"""),0.0)</f>
        <v>0</v>
      </c>
      <c r="V8" s="9">
        <f>IFERROR(__xludf.DUMMYFUNCTION("""COMPUTED_VALUE"""),0.0)</f>
        <v>0</v>
      </c>
      <c r="W8" s="9">
        <f>IFERROR(__xludf.DUMMYFUNCTION("""COMPUTED_VALUE"""),0.0)</f>
        <v>0</v>
      </c>
      <c r="X8" s="9">
        <f>IFERROR(__xludf.DUMMYFUNCTION("""COMPUTED_VALUE"""),0.0)</f>
        <v>0</v>
      </c>
      <c r="Y8" s="9">
        <f>IFERROR(__xludf.DUMMYFUNCTION("""COMPUTED_VALUE"""),0.0)</f>
        <v>0</v>
      </c>
      <c r="Z8" s="9">
        <f>IFERROR(__xludf.DUMMYFUNCTION("""COMPUTED_VALUE"""),0.0)</f>
        <v>0</v>
      </c>
      <c r="AA8" s="9">
        <f>IFERROR(__xludf.DUMMYFUNCTION("""COMPUTED_VALUE"""),0.0)</f>
        <v>0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</row>
    <row r="9">
      <c r="A9" s="8">
        <f>IFERROR(__xludf.DUMMYFUNCTION("""COMPUTED_VALUE"""),45127.0)</f>
        <v>45127</v>
      </c>
      <c r="B9" s="9">
        <f>IFERROR(__xludf.DUMMYFUNCTION("""COMPUTED_VALUE"""),42.0)</f>
        <v>42</v>
      </c>
      <c r="C9" s="9">
        <f>IFERROR(__xludf.DUMMYFUNCTION("""COMPUTED_VALUE"""),140.0)</f>
        <v>140</v>
      </c>
      <c r="D9" s="9">
        <f>IFERROR(__xludf.DUMMYFUNCTION("""COMPUTED_VALUE"""),3.0)</f>
        <v>3</v>
      </c>
      <c r="E9" s="9">
        <f>IFERROR(__xludf.DUMMYFUNCTION("""COMPUTED_VALUE"""),1716.0)</f>
        <v>1716</v>
      </c>
      <c r="F9" s="9">
        <f>IFERROR(__xludf.DUMMYFUNCTION("""COMPUTED_VALUE"""),41.0)</f>
        <v>41</v>
      </c>
      <c r="G9" s="9">
        <f>IFERROR(__xludf.DUMMYFUNCTION("""COMPUTED_VALUE"""),0.0)</f>
        <v>0</v>
      </c>
      <c r="H9" s="9"/>
      <c r="I9" s="9">
        <f>IFERROR(__xludf.DUMMYFUNCTION("""COMPUTED_VALUE"""),1.0)</f>
        <v>1</v>
      </c>
      <c r="J9" s="9">
        <f>IFERROR(__xludf.DUMMYFUNCTION("""COMPUTED_VALUE"""),0.0)</f>
        <v>0</v>
      </c>
      <c r="K9" s="9">
        <f>IFERROR(__xludf.DUMMYFUNCTION("""COMPUTED_VALUE"""),0.0)</f>
        <v>0</v>
      </c>
      <c r="L9" s="9">
        <f>IFERROR(__xludf.DUMMYFUNCTION("""COMPUTED_VALUE"""),1.0)</f>
        <v>1</v>
      </c>
      <c r="M9" s="9">
        <f>IFERROR(__xludf.DUMMYFUNCTION("""COMPUTED_VALUE"""),2.0)</f>
        <v>2</v>
      </c>
      <c r="N9" s="9">
        <f>IFERROR(__xludf.DUMMYFUNCTION("""COMPUTED_VALUE"""),25.0)</f>
        <v>25</v>
      </c>
      <c r="O9" s="9">
        <f>IFERROR(__xludf.DUMMYFUNCTION("""COMPUTED_VALUE"""),14.0)</f>
        <v>14</v>
      </c>
      <c r="P9" s="9">
        <f>IFERROR(__xludf.DUMMYFUNCTION("""COMPUTED_VALUE"""),0.0)</f>
        <v>0</v>
      </c>
      <c r="Q9" s="9">
        <f>IFERROR(__xludf.DUMMYFUNCTION("""COMPUTED_VALUE"""),1.0)</f>
        <v>1</v>
      </c>
      <c r="R9" s="9">
        <f>IFERROR(__xludf.DUMMYFUNCTION("""COMPUTED_VALUE"""),0.0)</f>
        <v>0</v>
      </c>
      <c r="S9" s="9">
        <f>IFERROR(__xludf.DUMMYFUNCTION("""COMPUTED_VALUE"""),1.0)</f>
        <v>1</v>
      </c>
      <c r="T9" s="9">
        <f>IFERROR(__xludf.DUMMYFUNCTION("""COMPUTED_VALUE"""),1.0)</f>
        <v>1</v>
      </c>
      <c r="U9" s="9">
        <f>IFERROR(__xludf.DUMMYFUNCTION("""COMPUTED_VALUE"""),1.0)</f>
        <v>1</v>
      </c>
      <c r="V9" s="9">
        <f>IFERROR(__xludf.DUMMYFUNCTION("""COMPUTED_VALUE"""),2.0)</f>
        <v>2</v>
      </c>
      <c r="W9" s="9">
        <f>IFERROR(__xludf.DUMMYFUNCTION("""COMPUTED_VALUE"""),0.0)</f>
        <v>0</v>
      </c>
      <c r="X9" s="9">
        <f>IFERROR(__xludf.DUMMYFUNCTION("""COMPUTED_VALUE"""),0.0)</f>
        <v>0</v>
      </c>
      <c r="Y9" s="9">
        <f>IFERROR(__xludf.DUMMYFUNCTION("""COMPUTED_VALUE"""),34.0)</f>
        <v>34</v>
      </c>
      <c r="Z9" s="9">
        <f>IFERROR(__xludf.DUMMYFUNCTION("""COMPUTED_VALUE"""),2.0)</f>
        <v>2</v>
      </c>
      <c r="AA9" s="9">
        <f>IFERROR(__xludf.DUMMYFUNCTION("""COMPUTED_VALUE"""),1.0)</f>
        <v>1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</row>
    <row r="10">
      <c r="A10" s="8">
        <f>IFERROR(__xludf.DUMMYFUNCTION("""COMPUTED_VALUE"""),45128.0)</f>
        <v>45128</v>
      </c>
      <c r="B10" s="9">
        <f>IFERROR(__xludf.DUMMYFUNCTION("""COMPUTED_VALUE"""),0.0)</f>
        <v>0</v>
      </c>
      <c r="C10" s="9">
        <f>IFERROR(__xludf.DUMMYFUNCTION("""COMPUTED_VALUE"""),0.0)</f>
        <v>0</v>
      </c>
      <c r="D10" s="9">
        <f>IFERROR(__xludf.DUMMYFUNCTION("""COMPUTED_VALUE"""),0.0)</f>
        <v>0</v>
      </c>
      <c r="E10" s="9">
        <f>IFERROR(__xludf.DUMMYFUNCTION("""COMPUTED_VALUE"""),0.0)</f>
        <v>0</v>
      </c>
      <c r="F10" s="9">
        <f>IFERROR(__xludf.DUMMYFUNCTION("""COMPUTED_VALUE"""),0.0)</f>
        <v>0</v>
      </c>
      <c r="G10" s="9">
        <f>IFERROR(__xludf.DUMMYFUNCTION("""COMPUTED_VALUE"""),0.0)</f>
        <v>0</v>
      </c>
      <c r="H10" s="9"/>
      <c r="I10" s="9">
        <f>IFERROR(__xludf.DUMMYFUNCTION("""COMPUTED_VALUE"""),0.0)</f>
        <v>0</v>
      </c>
      <c r="J10" s="9">
        <f>IFERROR(__xludf.DUMMYFUNCTION("""COMPUTED_VALUE"""),0.0)</f>
        <v>0</v>
      </c>
      <c r="K10" s="9">
        <f>IFERROR(__xludf.DUMMYFUNCTION("""COMPUTED_VALUE"""),0.0)</f>
        <v>0</v>
      </c>
      <c r="L10" s="9">
        <f>IFERROR(__xludf.DUMMYFUNCTION("""COMPUTED_VALUE"""),0.0)</f>
        <v>0</v>
      </c>
      <c r="M10" s="9">
        <f>IFERROR(__xludf.DUMMYFUNCTION("""COMPUTED_VALUE"""),0.0)</f>
        <v>0</v>
      </c>
      <c r="N10" s="9">
        <f>IFERROR(__xludf.DUMMYFUNCTION("""COMPUTED_VALUE"""),0.0)</f>
        <v>0</v>
      </c>
      <c r="O10" s="9">
        <f>IFERROR(__xludf.DUMMYFUNCTION("""COMPUTED_VALUE"""),0.0)</f>
        <v>0</v>
      </c>
      <c r="P10" s="9">
        <f>IFERROR(__xludf.DUMMYFUNCTION("""COMPUTED_VALUE"""),0.0)</f>
        <v>0</v>
      </c>
      <c r="Q10" s="9">
        <f>IFERROR(__xludf.DUMMYFUNCTION("""COMPUTED_VALUE"""),0.0)</f>
        <v>0</v>
      </c>
      <c r="R10" s="9">
        <f>IFERROR(__xludf.DUMMYFUNCTION("""COMPUTED_VALUE"""),0.0)</f>
        <v>0</v>
      </c>
      <c r="S10" s="9">
        <f>IFERROR(__xludf.DUMMYFUNCTION("""COMPUTED_VALUE"""),0.0)</f>
        <v>0</v>
      </c>
      <c r="T10" s="9">
        <f>IFERROR(__xludf.DUMMYFUNCTION("""COMPUTED_VALUE"""),0.0)</f>
        <v>0</v>
      </c>
      <c r="U10" s="9">
        <f>IFERROR(__xludf.DUMMYFUNCTION("""COMPUTED_VALUE"""),0.0)</f>
        <v>0</v>
      </c>
      <c r="V10" s="9">
        <f>IFERROR(__xludf.DUMMYFUNCTION("""COMPUTED_VALUE"""),0.0)</f>
        <v>0</v>
      </c>
      <c r="W10" s="9">
        <f>IFERROR(__xludf.DUMMYFUNCTION("""COMPUTED_VALUE"""),0.0)</f>
        <v>0</v>
      </c>
      <c r="X10" s="9">
        <f>IFERROR(__xludf.DUMMYFUNCTION("""COMPUTED_VALUE"""),0.0)</f>
        <v>0</v>
      </c>
      <c r="Y10" s="9">
        <f>IFERROR(__xludf.DUMMYFUNCTION("""COMPUTED_VALUE"""),0.0)</f>
        <v>0</v>
      </c>
      <c r="Z10" s="9">
        <f>IFERROR(__xludf.DUMMYFUNCTION("""COMPUTED_VALUE"""),0.0)</f>
        <v>0</v>
      </c>
      <c r="AA10" s="9">
        <f>IFERROR(__xludf.DUMMYFUNCTION("""COMPUTED_VALUE"""),0.0)</f>
        <v>0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</row>
    <row r="11">
      <c r="A11" s="8">
        <f>IFERROR(__xludf.DUMMYFUNCTION("""COMPUTED_VALUE"""),45129.0)</f>
        <v>45129</v>
      </c>
      <c r="B11" s="9">
        <f>IFERROR(__xludf.DUMMYFUNCTION("""COMPUTED_VALUE"""),0.0)</f>
        <v>0</v>
      </c>
      <c r="C11" s="9">
        <f>IFERROR(__xludf.DUMMYFUNCTION("""COMPUTED_VALUE"""),0.0)</f>
        <v>0</v>
      </c>
      <c r="D11" s="9">
        <f>IFERROR(__xludf.DUMMYFUNCTION("""COMPUTED_VALUE"""),0.0)</f>
        <v>0</v>
      </c>
      <c r="E11" s="9">
        <f>IFERROR(__xludf.DUMMYFUNCTION("""COMPUTED_VALUE"""),0.0)</f>
        <v>0</v>
      </c>
      <c r="F11" s="9">
        <f>IFERROR(__xludf.DUMMYFUNCTION("""COMPUTED_VALUE"""),0.0)</f>
        <v>0</v>
      </c>
      <c r="G11" s="9">
        <f>IFERROR(__xludf.DUMMYFUNCTION("""COMPUTED_VALUE"""),0.0)</f>
        <v>0</v>
      </c>
      <c r="H11" s="9"/>
      <c r="I11" s="9">
        <f>IFERROR(__xludf.DUMMYFUNCTION("""COMPUTED_VALUE"""),0.0)</f>
        <v>0</v>
      </c>
      <c r="J11" s="9">
        <f>IFERROR(__xludf.DUMMYFUNCTION("""COMPUTED_VALUE"""),0.0)</f>
        <v>0</v>
      </c>
      <c r="K11" s="9">
        <f>IFERROR(__xludf.DUMMYFUNCTION("""COMPUTED_VALUE"""),0.0)</f>
        <v>0</v>
      </c>
      <c r="L11" s="9">
        <f>IFERROR(__xludf.DUMMYFUNCTION("""COMPUTED_VALUE"""),0.0)</f>
        <v>0</v>
      </c>
      <c r="M11" s="9">
        <f>IFERROR(__xludf.DUMMYFUNCTION("""COMPUTED_VALUE"""),0.0)</f>
        <v>0</v>
      </c>
      <c r="N11" s="9">
        <f>IFERROR(__xludf.DUMMYFUNCTION("""COMPUTED_VALUE"""),0.0)</f>
        <v>0</v>
      </c>
      <c r="O11" s="9">
        <f>IFERROR(__xludf.DUMMYFUNCTION("""COMPUTED_VALUE"""),0.0)</f>
        <v>0</v>
      </c>
      <c r="P11" s="9">
        <f>IFERROR(__xludf.DUMMYFUNCTION("""COMPUTED_VALUE"""),0.0)</f>
        <v>0</v>
      </c>
      <c r="Q11" s="9">
        <f>IFERROR(__xludf.DUMMYFUNCTION("""COMPUTED_VALUE"""),0.0)</f>
        <v>0</v>
      </c>
      <c r="R11" s="9">
        <f>IFERROR(__xludf.DUMMYFUNCTION("""COMPUTED_VALUE"""),0.0)</f>
        <v>0</v>
      </c>
      <c r="S11" s="9">
        <f>IFERROR(__xludf.DUMMYFUNCTION("""COMPUTED_VALUE"""),0.0)</f>
        <v>0</v>
      </c>
      <c r="T11" s="9">
        <f>IFERROR(__xludf.DUMMYFUNCTION("""COMPUTED_VALUE"""),0.0)</f>
        <v>0</v>
      </c>
      <c r="U11" s="9">
        <f>IFERROR(__xludf.DUMMYFUNCTION("""COMPUTED_VALUE"""),0.0)</f>
        <v>0</v>
      </c>
      <c r="V11" s="9">
        <f>IFERROR(__xludf.DUMMYFUNCTION("""COMPUTED_VALUE"""),0.0)</f>
        <v>0</v>
      </c>
      <c r="W11" s="9">
        <f>IFERROR(__xludf.DUMMYFUNCTION("""COMPUTED_VALUE"""),0.0)</f>
        <v>0</v>
      </c>
      <c r="X11" s="9">
        <f>IFERROR(__xludf.DUMMYFUNCTION("""COMPUTED_VALUE"""),0.0)</f>
        <v>0</v>
      </c>
      <c r="Y11" s="9">
        <f>IFERROR(__xludf.DUMMYFUNCTION("""COMPUTED_VALUE"""),0.0)</f>
        <v>0</v>
      </c>
      <c r="Z11" s="9">
        <f>IFERROR(__xludf.DUMMYFUNCTION("""COMPUTED_VALUE"""),0.0)</f>
        <v>0</v>
      </c>
      <c r="AA11" s="9">
        <f>IFERROR(__xludf.DUMMYFUNCTION("""COMPUTED_VALUE"""),0.0)</f>
        <v>0</v>
      </c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</row>
    <row r="12">
      <c r="A12" s="8">
        <f>IFERROR(__xludf.DUMMYFUNCTION("""COMPUTED_VALUE"""),45130.0)</f>
        <v>45130</v>
      </c>
      <c r="B12" s="9">
        <f>IFERROR(__xludf.DUMMYFUNCTION("""COMPUTED_VALUE"""),0.0)</f>
        <v>0</v>
      </c>
      <c r="C12" s="9">
        <f>IFERROR(__xludf.DUMMYFUNCTION("""COMPUTED_VALUE"""),0.0)</f>
        <v>0</v>
      </c>
      <c r="D12" s="9">
        <f>IFERROR(__xludf.DUMMYFUNCTION("""COMPUTED_VALUE"""),0.0)</f>
        <v>0</v>
      </c>
      <c r="E12" s="9">
        <f>IFERROR(__xludf.DUMMYFUNCTION("""COMPUTED_VALUE"""),0.0)</f>
        <v>0</v>
      </c>
      <c r="F12" s="9">
        <f>IFERROR(__xludf.DUMMYFUNCTION("""COMPUTED_VALUE"""),0.0)</f>
        <v>0</v>
      </c>
      <c r="G12" s="9">
        <f>IFERROR(__xludf.DUMMYFUNCTION("""COMPUTED_VALUE"""),0.0)</f>
        <v>0</v>
      </c>
      <c r="H12" s="9"/>
      <c r="I12" s="9">
        <f>IFERROR(__xludf.DUMMYFUNCTION("""COMPUTED_VALUE"""),0.0)</f>
        <v>0</v>
      </c>
      <c r="J12" s="9">
        <f>IFERROR(__xludf.DUMMYFUNCTION("""COMPUTED_VALUE"""),0.0)</f>
        <v>0</v>
      </c>
      <c r="K12" s="9">
        <f>IFERROR(__xludf.DUMMYFUNCTION("""COMPUTED_VALUE"""),0.0)</f>
        <v>0</v>
      </c>
      <c r="L12" s="9">
        <f>IFERROR(__xludf.DUMMYFUNCTION("""COMPUTED_VALUE"""),0.0)</f>
        <v>0</v>
      </c>
      <c r="M12" s="9">
        <f>IFERROR(__xludf.DUMMYFUNCTION("""COMPUTED_VALUE"""),0.0)</f>
        <v>0</v>
      </c>
      <c r="N12" s="9">
        <f>IFERROR(__xludf.DUMMYFUNCTION("""COMPUTED_VALUE"""),0.0)</f>
        <v>0</v>
      </c>
      <c r="O12" s="9">
        <f>IFERROR(__xludf.DUMMYFUNCTION("""COMPUTED_VALUE"""),0.0)</f>
        <v>0</v>
      </c>
      <c r="P12" s="9">
        <f>IFERROR(__xludf.DUMMYFUNCTION("""COMPUTED_VALUE"""),0.0)</f>
        <v>0</v>
      </c>
      <c r="Q12" s="9">
        <f>IFERROR(__xludf.DUMMYFUNCTION("""COMPUTED_VALUE"""),0.0)</f>
        <v>0</v>
      </c>
      <c r="R12" s="9">
        <f>IFERROR(__xludf.DUMMYFUNCTION("""COMPUTED_VALUE"""),0.0)</f>
        <v>0</v>
      </c>
      <c r="S12" s="9">
        <f>IFERROR(__xludf.DUMMYFUNCTION("""COMPUTED_VALUE"""),0.0)</f>
        <v>0</v>
      </c>
      <c r="T12" s="9">
        <f>IFERROR(__xludf.DUMMYFUNCTION("""COMPUTED_VALUE"""),0.0)</f>
        <v>0</v>
      </c>
      <c r="U12" s="9">
        <f>IFERROR(__xludf.DUMMYFUNCTION("""COMPUTED_VALUE"""),0.0)</f>
        <v>0</v>
      </c>
      <c r="V12" s="9">
        <f>IFERROR(__xludf.DUMMYFUNCTION("""COMPUTED_VALUE"""),0.0)</f>
        <v>0</v>
      </c>
      <c r="W12" s="9">
        <f>IFERROR(__xludf.DUMMYFUNCTION("""COMPUTED_VALUE"""),0.0)</f>
        <v>0</v>
      </c>
      <c r="X12" s="9">
        <f>IFERROR(__xludf.DUMMYFUNCTION("""COMPUTED_VALUE"""),0.0)</f>
        <v>0</v>
      </c>
      <c r="Y12" s="9">
        <f>IFERROR(__xludf.DUMMYFUNCTION("""COMPUTED_VALUE"""),0.0)</f>
        <v>0</v>
      </c>
      <c r="Z12" s="9">
        <f>IFERROR(__xludf.DUMMYFUNCTION("""COMPUTED_VALUE"""),0.0)</f>
        <v>0</v>
      </c>
      <c r="AA12" s="9">
        <f>IFERROR(__xludf.DUMMYFUNCTION("""COMPUTED_VALUE"""),0.0)</f>
        <v>0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</row>
    <row r="13">
      <c r="A13" s="8">
        <f>IFERROR(__xludf.DUMMYFUNCTION("""COMPUTED_VALUE"""),45131.0)</f>
        <v>45131</v>
      </c>
      <c r="B13" s="9">
        <f>IFERROR(__xludf.DUMMYFUNCTION("""COMPUTED_VALUE"""),25.0)</f>
        <v>25</v>
      </c>
      <c r="C13" s="9">
        <f>IFERROR(__xludf.DUMMYFUNCTION("""COMPUTED_VALUE"""),72.0)</f>
        <v>72</v>
      </c>
      <c r="D13" s="9">
        <f>IFERROR(__xludf.DUMMYFUNCTION("""COMPUTED_VALUE"""),3.0)</f>
        <v>3</v>
      </c>
      <c r="E13" s="9">
        <f>IFERROR(__xludf.DUMMYFUNCTION("""COMPUTED_VALUE"""),973.0)</f>
        <v>973</v>
      </c>
      <c r="F13" s="9">
        <f>IFERROR(__xludf.DUMMYFUNCTION("""COMPUTED_VALUE"""),39.0)</f>
        <v>39</v>
      </c>
      <c r="G13" s="9">
        <f>IFERROR(__xludf.DUMMYFUNCTION("""COMPUTED_VALUE"""),0.0)</f>
        <v>0</v>
      </c>
      <c r="H13" s="9"/>
      <c r="I13" s="9">
        <f>IFERROR(__xludf.DUMMYFUNCTION("""COMPUTED_VALUE"""),0.0)</f>
        <v>0</v>
      </c>
      <c r="J13" s="9">
        <f>IFERROR(__xludf.DUMMYFUNCTION("""COMPUTED_VALUE"""),0.0)</f>
        <v>0</v>
      </c>
      <c r="K13" s="9">
        <f>IFERROR(__xludf.DUMMYFUNCTION("""COMPUTED_VALUE"""),0.0)</f>
        <v>0</v>
      </c>
      <c r="L13" s="9">
        <f>IFERROR(__xludf.DUMMYFUNCTION("""COMPUTED_VALUE"""),1.0)</f>
        <v>1</v>
      </c>
      <c r="M13" s="9">
        <f>IFERROR(__xludf.DUMMYFUNCTION("""COMPUTED_VALUE"""),1.0)</f>
        <v>1</v>
      </c>
      <c r="N13" s="9">
        <f>IFERROR(__xludf.DUMMYFUNCTION("""COMPUTED_VALUE"""),25.0)</f>
        <v>25</v>
      </c>
      <c r="O13" s="9">
        <f>IFERROR(__xludf.DUMMYFUNCTION("""COMPUTED_VALUE"""),0.0)</f>
        <v>0</v>
      </c>
      <c r="P13" s="9">
        <f>IFERROR(__xludf.DUMMYFUNCTION("""COMPUTED_VALUE"""),0.0)</f>
        <v>0</v>
      </c>
      <c r="Q13" s="9">
        <f>IFERROR(__xludf.DUMMYFUNCTION("""COMPUTED_VALUE"""),0.0)</f>
        <v>0</v>
      </c>
      <c r="R13" s="9">
        <f>IFERROR(__xludf.DUMMYFUNCTION("""COMPUTED_VALUE"""),0.0)</f>
        <v>0</v>
      </c>
      <c r="S13" s="9">
        <f>IFERROR(__xludf.DUMMYFUNCTION("""COMPUTED_VALUE"""),0.0)</f>
        <v>0</v>
      </c>
      <c r="T13" s="9">
        <f>IFERROR(__xludf.DUMMYFUNCTION("""COMPUTED_VALUE"""),0.0)</f>
        <v>0</v>
      </c>
      <c r="U13" s="9">
        <f>IFERROR(__xludf.DUMMYFUNCTION("""COMPUTED_VALUE"""),0.0)</f>
        <v>0</v>
      </c>
      <c r="V13" s="9">
        <f>IFERROR(__xludf.DUMMYFUNCTION("""COMPUTED_VALUE"""),0.0)</f>
        <v>0</v>
      </c>
      <c r="W13" s="9">
        <f>IFERROR(__xludf.DUMMYFUNCTION("""COMPUTED_VALUE"""),0.0)</f>
        <v>0</v>
      </c>
      <c r="X13" s="9">
        <f>IFERROR(__xludf.DUMMYFUNCTION("""COMPUTED_VALUE"""),0.0)</f>
        <v>0</v>
      </c>
      <c r="Y13" s="9">
        <f>IFERROR(__xludf.DUMMYFUNCTION("""COMPUTED_VALUE"""),21.0)</f>
        <v>21</v>
      </c>
      <c r="Z13" s="9">
        <f>IFERROR(__xludf.DUMMYFUNCTION("""COMPUTED_VALUE"""),0.0)</f>
        <v>0</v>
      </c>
      <c r="AA13" s="9">
        <f>IFERROR(__xludf.DUMMYFUNCTION("""COMPUTED_VALUE"""),0.0)</f>
        <v>0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</row>
    <row r="14">
      <c r="A14" s="8">
        <f>IFERROR(__xludf.DUMMYFUNCTION("""COMPUTED_VALUE"""),45132.0)</f>
        <v>45132</v>
      </c>
      <c r="B14" s="9">
        <f>IFERROR(__xludf.DUMMYFUNCTION("""COMPUTED_VALUE"""),6.0)</f>
        <v>6</v>
      </c>
      <c r="C14" s="9">
        <f>IFERROR(__xludf.DUMMYFUNCTION("""COMPUTED_VALUE"""),14.0)</f>
        <v>14</v>
      </c>
      <c r="D14" s="9">
        <f>IFERROR(__xludf.DUMMYFUNCTION("""COMPUTED_VALUE"""),2.0)</f>
        <v>2</v>
      </c>
      <c r="E14" s="9">
        <f>IFERROR(__xludf.DUMMYFUNCTION("""COMPUTED_VALUE"""),88.0)</f>
        <v>88</v>
      </c>
      <c r="F14" s="9">
        <f>IFERROR(__xludf.DUMMYFUNCTION("""COMPUTED_VALUE"""),15.0)</f>
        <v>15</v>
      </c>
      <c r="G14" s="9">
        <f>IFERROR(__xludf.DUMMYFUNCTION("""COMPUTED_VALUE"""),0.0)</f>
        <v>0</v>
      </c>
      <c r="H14" s="9"/>
      <c r="I14" s="9">
        <f>IFERROR(__xludf.DUMMYFUNCTION("""COMPUTED_VALUE"""),3.0)</f>
        <v>3</v>
      </c>
      <c r="J14" s="9">
        <f>IFERROR(__xludf.DUMMYFUNCTION("""COMPUTED_VALUE"""),0.0)</f>
        <v>0</v>
      </c>
      <c r="K14" s="9">
        <f>IFERROR(__xludf.DUMMYFUNCTION("""COMPUTED_VALUE"""),1.0)</f>
        <v>1</v>
      </c>
      <c r="L14" s="9">
        <f>IFERROR(__xludf.DUMMYFUNCTION("""COMPUTED_VALUE"""),0.0)</f>
        <v>0</v>
      </c>
      <c r="M14" s="9">
        <f>IFERROR(__xludf.DUMMYFUNCTION("""COMPUTED_VALUE"""),4.0)</f>
        <v>4</v>
      </c>
      <c r="N14" s="9">
        <f>IFERROR(__xludf.DUMMYFUNCTION("""COMPUTED_VALUE"""),3.0)</f>
        <v>3</v>
      </c>
      <c r="O14" s="9">
        <f>IFERROR(__xludf.DUMMYFUNCTION("""COMPUTED_VALUE"""),1.0)</f>
        <v>1</v>
      </c>
      <c r="P14" s="9">
        <f>IFERROR(__xludf.DUMMYFUNCTION("""COMPUTED_VALUE"""),2.0)</f>
        <v>2</v>
      </c>
      <c r="Q14" s="9">
        <f>IFERROR(__xludf.DUMMYFUNCTION("""COMPUTED_VALUE"""),0.0)</f>
        <v>0</v>
      </c>
      <c r="R14" s="9">
        <f>IFERROR(__xludf.DUMMYFUNCTION("""COMPUTED_VALUE"""),0.0)</f>
        <v>0</v>
      </c>
      <c r="S14" s="9">
        <f>IFERROR(__xludf.DUMMYFUNCTION("""COMPUTED_VALUE"""),0.0)</f>
        <v>0</v>
      </c>
      <c r="T14" s="9">
        <f>IFERROR(__xludf.DUMMYFUNCTION("""COMPUTED_VALUE"""),0.0)</f>
        <v>0</v>
      </c>
      <c r="U14" s="9">
        <f>IFERROR(__xludf.DUMMYFUNCTION("""COMPUTED_VALUE"""),0.0)</f>
        <v>0</v>
      </c>
      <c r="V14" s="9">
        <f>IFERROR(__xludf.DUMMYFUNCTION("""COMPUTED_VALUE"""),0.0)</f>
        <v>0</v>
      </c>
      <c r="W14" s="9">
        <f>IFERROR(__xludf.DUMMYFUNCTION("""COMPUTED_VALUE"""),0.0)</f>
        <v>0</v>
      </c>
      <c r="X14" s="9">
        <f>IFERROR(__xludf.DUMMYFUNCTION("""COMPUTED_VALUE"""),0.0)</f>
        <v>0</v>
      </c>
      <c r="Y14" s="9">
        <f>IFERROR(__xludf.DUMMYFUNCTION("""COMPUTED_VALUE"""),2.0)</f>
        <v>2</v>
      </c>
      <c r="Z14" s="9">
        <f>IFERROR(__xludf.DUMMYFUNCTION("""COMPUTED_VALUE"""),0.0)</f>
        <v>0</v>
      </c>
      <c r="AA14" s="9">
        <f>IFERROR(__xludf.DUMMYFUNCTION("""COMPUTED_VALUE"""),0.0)</f>
        <v>0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</row>
    <row r="15">
      <c r="A15" s="8">
        <f>IFERROR(__xludf.DUMMYFUNCTION("""COMPUTED_VALUE"""),45133.0)</f>
        <v>45133</v>
      </c>
      <c r="B15" s="9">
        <f>IFERROR(__xludf.DUMMYFUNCTION("""COMPUTED_VALUE"""),22.0)</f>
        <v>22</v>
      </c>
      <c r="C15" s="9">
        <f>IFERROR(__xludf.DUMMYFUNCTION("""COMPUTED_VALUE"""),98.0)</f>
        <v>98</v>
      </c>
      <c r="D15" s="9">
        <f>IFERROR(__xludf.DUMMYFUNCTION("""COMPUTED_VALUE"""),4.0)</f>
        <v>4</v>
      </c>
      <c r="E15" s="9">
        <f>IFERROR(__xludf.DUMMYFUNCTION("""COMPUTED_VALUE"""),1046.0)</f>
        <v>1046</v>
      </c>
      <c r="F15" s="9">
        <f>IFERROR(__xludf.DUMMYFUNCTION("""COMPUTED_VALUE"""),48.0)</f>
        <v>48</v>
      </c>
      <c r="G15" s="9">
        <f>IFERROR(__xludf.DUMMYFUNCTION("""COMPUTED_VALUE"""),0.0)</f>
        <v>0</v>
      </c>
      <c r="H15" s="9"/>
      <c r="I15" s="9">
        <f>IFERROR(__xludf.DUMMYFUNCTION("""COMPUTED_VALUE"""),0.0)</f>
        <v>0</v>
      </c>
      <c r="J15" s="9">
        <f>IFERROR(__xludf.DUMMYFUNCTION("""COMPUTED_VALUE"""),0.0)</f>
        <v>0</v>
      </c>
      <c r="K15" s="9">
        <f>IFERROR(__xludf.DUMMYFUNCTION("""COMPUTED_VALUE"""),2.0)</f>
        <v>2</v>
      </c>
      <c r="L15" s="9">
        <f>IFERROR(__xludf.DUMMYFUNCTION("""COMPUTED_VALUE"""),2.0)</f>
        <v>2</v>
      </c>
      <c r="M15" s="9">
        <f>IFERROR(__xludf.DUMMYFUNCTION("""COMPUTED_VALUE"""),4.0)</f>
        <v>4</v>
      </c>
      <c r="N15" s="9">
        <f>IFERROR(__xludf.DUMMYFUNCTION("""COMPUTED_VALUE"""),9.0)</f>
        <v>9</v>
      </c>
      <c r="O15" s="9">
        <f>IFERROR(__xludf.DUMMYFUNCTION("""COMPUTED_VALUE"""),4.0)</f>
        <v>4</v>
      </c>
      <c r="P15" s="9">
        <f>IFERROR(__xludf.DUMMYFUNCTION("""COMPUTED_VALUE"""),8.0)</f>
        <v>8</v>
      </c>
      <c r="Q15" s="9">
        <f>IFERROR(__xludf.DUMMYFUNCTION("""COMPUTED_VALUE"""),2.0)</f>
        <v>2</v>
      </c>
      <c r="R15" s="9">
        <f>IFERROR(__xludf.DUMMYFUNCTION("""COMPUTED_VALUE"""),2.0)</f>
        <v>2</v>
      </c>
      <c r="S15" s="9">
        <f>IFERROR(__xludf.DUMMYFUNCTION("""COMPUTED_VALUE"""),7.0)</f>
        <v>7</v>
      </c>
      <c r="T15" s="9">
        <f>IFERROR(__xludf.DUMMYFUNCTION("""COMPUTED_VALUE"""),6.0)</f>
        <v>6</v>
      </c>
      <c r="U15" s="9">
        <f>IFERROR(__xludf.DUMMYFUNCTION("""COMPUTED_VALUE"""),3.0)</f>
        <v>3</v>
      </c>
      <c r="V15" s="9">
        <f>IFERROR(__xludf.DUMMYFUNCTION("""COMPUTED_VALUE"""),4.0)</f>
        <v>4</v>
      </c>
      <c r="W15" s="9">
        <f>IFERROR(__xludf.DUMMYFUNCTION("""COMPUTED_VALUE"""),7.0)</f>
        <v>7</v>
      </c>
      <c r="X15" s="9">
        <f>IFERROR(__xludf.DUMMYFUNCTION("""COMPUTED_VALUE"""),2.0)</f>
        <v>2</v>
      </c>
      <c r="Y15" s="9">
        <f>IFERROR(__xludf.DUMMYFUNCTION("""COMPUTED_VALUE"""),20.0)</f>
        <v>20</v>
      </c>
      <c r="Z15" s="9">
        <f>IFERROR(__xludf.DUMMYFUNCTION("""COMPUTED_VALUE"""),15.0)</f>
        <v>15</v>
      </c>
      <c r="AA15" s="9">
        <f>IFERROR(__xludf.DUMMYFUNCTION("""COMPUTED_VALUE"""),0.0)</f>
        <v>0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</row>
    <row r="16">
      <c r="A16" s="8">
        <f>IFERROR(__xludf.DUMMYFUNCTION("""COMPUTED_VALUE"""),45134.0)</f>
        <v>45134</v>
      </c>
      <c r="B16" s="9">
        <f>IFERROR(__xludf.DUMMYFUNCTION("""COMPUTED_VALUE"""),0.0)</f>
        <v>0</v>
      </c>
      <c r="C16" s="9">
        <f>IFERROR(__xludf.DUMMYFUNCTION("""COMPUTED_VALUE"""),0.0)</f>
        <v>0</v>
      </c>
      <c r="D16" s="9">
        <f>IFERROR(__xludf.DUMMYFUNCTION("""COMPUTED_VALUE"""),0.0)</f>
        <v>0</v>
      </c>
      <c r="E16" s="9">
        <f>IFERROR(__xludf.DUMMYFUNCTION("""COMPUTED_VALUE"""),0.0)</f>
        <v>0</v>
      </c>
      <c r="F16" s="9">
        <f>IFERROR(__xludf.DUMMYFUNCTION("""COMPUTED_VALUE"""),0.0)</f>
        <v>0</v>
      </c>
      <c r="G16" s="9">
        <f>IFERROR(__xludf.DUMMYFUNCTION("""COMPUTED_VALUE"""),0.0)</f>
        <v>0</v>
      </c>
      <c r="H16" s="9"/>
      <c r="I16" s="9">
        <f>IFERROR(__xludf.DUMMYFUNCTION("""COMPUTED_VALUE"""),0.0)</f>
        <v>0</v>
      </c>
      <c r="J16" s="9">
        <f>IFERROR(__xludf.DUMMYFUNCTION("""COMPUTED_VALUE"""),0.0)</f>
        <v>0</v>
      </c>
      <c r="K16" s="9">
        <f>IFERROR(__xludf.DUMMYFUNCTION("""COMPUTED_VALUE"""),0.0)</f>
        <v>0</v>
      </c>
      <c r="L16" s="9">
        <f>IFERROR(__xludf.DUMMYFUNCTION("""COMPUTED_VALUE"""),0.0)</f>
        <v>0</v>
      </c>
      <c r="M16" s="9">
        <f>IFERROR(__xludf.DUMMYFUNCTION("""COMPUTED_VALUE"""),0.0)</f>
        <v>0</v>
      </c>
      <c r="N16" s="9">
        <f>IFERROR(__xludf.DUMMYFUNCTION("""COMPUTED_VALUE"""),0.0)</f>
        <v>0</v>
      </c>
      <c r="O16" s="9">
        <f>IFERROR(__xludf.DUMMYFUNCTION("""COMPUTED_VALUE"""),0.0)</f>
        <v>0</v>
      </c>
      <c r="P16" s="9">
        <f>IFERROR(__xludf.DUMMYFUNCTION("""COMPUTED_VALUE"""),0.0)</f>
        <v>0</v>
      </c>
      <c r="Q16" s="9">
        <f>IFERROR(__xludf.DUMMYFUNCTION("""COMPUTED_VALUE"""),0.0)</f>
        <v>0</v>
      </c>
      <c r="R16" s="9">
        <f>IFERROR(__xludf.DUMMYFUNCTION("""COMPUTED_VALUE"""),0.0)</f>
        <v>0</v>
      </c>
      <c r="S16" s="9">
        <f>IFERROR(__xludf.DUMMYFUNCTION("""COMPUTED_VALUE"""),0.0)</f>
        <v>0</v>
      </c>
      <c r="T16" s="9">
        <f>IFERROR(__xludf.DUMMYFUNCTION("""COMPUTED_VALUE"""),0.0)</f>
        <v>0</v>
      </c>
      <c r="U16" s="9">
        <f>IFERROR(__xludf.DUMMYFUNCTION("""COMPUTED_VALUE"""),0.0)</f>
        <v>0</v>
      </c>
      <c r="V16" s="9">
        <f>IFERROR(__xludf.DUMMYFUNCTION("""COMPUTED_VALUE"""),0.0)</f>
        <v>0</v>
      </c>
      <c r="W16" s="9">
        <f>IFERROR(__xludf.DUMMYFUNCTION("""COMPUTED_VALUE"""),0.0)</f>
        <v>0</v>
      </c>
      <c r="X16" s="9">
        <f>IFERROR(__xludf.DUMMYFUNCTION("""COMPUTED_VALUE"""),0.0)</f>
        <v>0</v>
      </c>
      <c r="Y16" s="9">
        <f>IFERROR(__xludf.DUMMYFUNCTION("""COMPUTED_VALUE"""),0.0)</f>
        <v>0</v>
      </c>
      <c r="Z16" s="9">
        <f>IFERROR(__xludf.DUMMYFUNCTION("""COMPUTED_VALUE"""),0.0)</f>
        <v>0</v>
      </c>
      <c r="AA16" s="9">
        <f>IFERROR(__xludf.DUMMYFUNCTION("""COMPUTED_VALUE"""),0.0)</f>
        <v>0</v>
      </c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</row>
    <row r="17">
      <c r="A17" s="8">
        <f>IFERROR(__xludf.DUMMYFUNCTION("""COMPUTED_VALUE"""),45135.0)</f>
        <v>45135</v>
      </c>
      <c r="B17" s="9">
        <f>IFERROR(__xludf.DUMMYFUNCTION("""COMPUTED_VALUE"""),0.0)</f>
        <v>0</v>
      </c>
      <c r="C17" s="9">
        <f>IFERROR(__xludf.DUMMYFUNCTION("""COMPUTED_VALUE"""),0.0)</f>
        <v>0</v>
      </c>
      <c r="D17" s="9">
        <f>IFERROR(__xludf.DUMMYFUNCTION("""COMPUTED_VALUE"""),0.0)</f>
        <v>0</v>
      </c>
      <c r="E17" s="9">
        <f>IFERROR(__xludf.DUMMYFUNCTION("""COMPUTED_VALUE"""),0.0)</f>
        <v>0</v>
      </c>
      <c r="F17" s="9">
        <f>IFERROR(__xludf.DUMMYFUNCTION("""COMPUTED_VALUE"""),0.0)</f>
        <v>0</v>
      </c>
      <c r="G17" s="9">
        <f>IFERROR(__xludf.DUMMYFUNCTION("""COMPUTED_VALUE"""),0.0)</f>
        <v>0</v>
      </c>
      <c r="H17" s="9"/>
      <c r="I17" s="9">
        <f>IFERROR(__xludf.DUMMYFUNCTION("""COMPUTED_VALUE"""),0.0)</f>
        <v>0</v>
      </c>
      <c r="J17" s="9">
        <f>IFERROR(__xludf.DUMMYFUNCTION("""COMPUTED_VALUE"""),0.0)</f>
        <v>0</v>
      </c>
      <c r="K17" s="9">
        <f>IFERROR(__xludf.DUMMYFUNCTION("""COMPUTED_VALUE"""),0.0)</f>
        <v>0</v>
      </c>
      <c r="L17" s="9">
        <f>IFERROR(__xludf.DUMMYFUNCTION("""COMPUTED_VALUE"""),0.0)</f>
        <v>0</v>
      </c>
      <c r="M17" s="9">
        <f>IFERROR(__xludf.DUMMYFUNCTION("""COMPUTED_VALUE"""),0.0)</f>
        <v>0</v>
      </c>
      <c r="N17" s="9">
        <f>IFERROR(__xludf.DUMMYFUNCTION("""COMPUTED_VALUE"""),0.0)</f>
        <v>0</v>
      </c>
      <c r="O17" s="9">
        <f>IFERROR(__xludf.DUMMYFUNCTION("""COMPUTED_VALUE"""),0.0)</f>
        <v>0</v>
      </c>
      <c r="P17" s="9">
        <f>IFERROR(__xludf.DUMMYFUNCTION("""COMPUTED_VALUE"""),0.0)</f>
        <v>0</v>
      </c>
      <c r="Q17" s="9">
        <f>IFERROR(__xludf.DUMMYFUNCTION("""COMPUTED_VALUE"""),0.0)</f>
        <v>0</v>
      </c>
      <c r="R17" s="9">
        <f>IFERROR(__xludf.DUMMYFUNCTION("""COMPUTED_VALUE"""),0.0)</f>
        <v>0</v>
      </c>
      <c r="S17" s="9">
        <f>IFERROR(__xludf.DUMMYFUNCTION("""COMPUTED_VALUE"""),0.0)</f>
        <v>0</v>
      </c>
      <c r="T17" s="9">
        <f>IFERROR(__xludf.DUMMYFUNCTION("""COMPUTED_VALUE"""),0.0)</f>
        <v>0</v>
      </c>
      <c r="U17" s="9">
        <f>IFERROR(__xludf.DUMMYFUNCTION("""COMPUTED_VALUE"""),0.0)</f>
        <v>0</v>
      </c>
      <c r="V17" s="9">
        <f>IFERROR(__xludf.DUMMYFUNCTION("""COMPUTED_VALUE"""),0.0)</f>
        <v>0</v>
      </c>
      <c r="W17" s="9">
        <f>IFERROR(__xludf.DUMMYFUNCTION("""COMPUTED_VALUE"""),0.0)</f>
        <v>0</v>
      </c>
      <c r="X17" s="9">
        <f>IFERROR(__xludf.DUMMYFUNCTION("""COMPUTED_VALUE"""),0.0)</f>
        <v>0</v>
      </c>
      <c r="Y17" s="9">
        <f>IFERROR(__xludf.DUMMYFUNCTION("""COMPUTED_VALUE"""),0.0)</f>
        <v>0</v>
      </c>
      <c r="Z17" s="9">
        <f>IFERROR(__xludf.DUMMYFUNCTION("""COMPUTED_VALUE"""),0.0)</f>
        <v>0</v>
      </c>
      <c r="AA17" s="9">
        <f>IFERROR(__xludf.DUMMYFUNCTION("""COMPUTED_VALUE"""),0.0)</f>
        <v>0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</row>
    <row r="18">
      <c r="A18" s="8">
        <f>IFERROR(__xludf.DUMMYFUNCTION("""COMPUTED_VALUE"""),45136.0)</f>
        <v>45136</v>
      </c>
      <c r="B18" s="9">
        <f>IFERROR(__xludf.DUMMYFUNCTION("""COMPUTED_VALUE"""),0.0)</f>
        <v>0</v>
      </c>
      <c r="C18" s="9">
        <f>IFERROR(__xludf.DUMMYFUNCTION("""COMPUTED_VALUE"""),0.0)</f>
        <v>0</v>
      </c>
      <c r="D18" s="9">
        <f>IFERROR(__xludf.DUMMYFUNCTION("""COMPUTED_VALUE"""),0.0)</f>
        <v>0</v>
      </c>
      <c r="E18" s="9">
        <f>IFERROR(__xludf.DUMMYFUNCTION("""COMPUTED_VALUE"""),0.0)</f>
        <v>0</v>
      </c>
      <c r="F18" s="9">
        <f>IFERROR(__xludf.DUMMYFUNCTION("""COMPUTED_VALUE"""),0.0)</f>
        <v>0</v>
      </c>
      <c r="G18" s="9">
        <f>IFERROR(__xludf.DUMMYFUNCTION("""COMPUTED_VALUE"""),0.0)</f>
        <v>0</v>
      </c>
      <c r="H18" s="9"/>
      <c r="I18" s="9">
        <f>IFERROR(__xludf.DUMMYFUNCTION("""COMPUTED_VALUE"""),0.0)</f>
        <v>0</v>
      </c>
      <c r="J18" s="9">
        <f>IFERROR(__xludf.DUMMYFUNCTION("""COMPUTED_VALUE"""),0.0)</f>
        <v>0</v>
      </c>
      <c r="K18" s="9">
        <f>IFERROR(__xludf.DUMMYFUNCTION("""COMPUTED_VALUE"""),0.0)</f>
        <v>0</v>
      </c>
      <c r="L18" s="9">
        <f>IFERROR(__xludf.DUMMYFUNCTION("""COMPUTED_VALUE"""),0.0)</f>
        <v>0</v>
      </c>
      <c r="M18" s="9">
        <f>IFERROR(__xludf.DUMMYFUNCTION("""COMPUTED_VALUE"""),0.0)</f>
        <v>0</v>
      </c>
      <c r="N18" s="9">
        <f>IFERROR(__xludf.DUMMYFUNCTION("""COMPUTED_VALUE"""),0.0)</f>
        <v>0</v>
      </c>
      <c r="O18" s="9">
        <f>IFERROR(__xludf.DUMMYFUNCTION("""COMPUTED_VALUE"""),0.0)</f>
        <v>0</v>
      </c>
      <c r="P18" s="9">
        <f>IFERROR(__xludf.DUMMYFUNCTION("""COMPUTED_VALUE"""),0.0)</f>
        <v>0</v>
      </c>
      <c r="Q18" s="9">
        <f>IFERROR(__xludf.DUMMYFUNCTION("""COMPUTED_VALUE"""),0.0)</f>
        <v>0</v>
      </c>
      <c r="R18" s="9">
        <f>IFERROR(__xludf.DUMMYFUNCTION("""COMPUTED_VALUE"""),0.0)</f>
        <v>0</v>
      </c>
      <c r="S18" s="9">
        <f>IFERROR(__xludf.DUMMYFUNCTION("""COMPUTED_VALUE"""),0.0)</f>
        <v>0</v>
      </c>
      <c r="T18" s="9">
        <f>IFERROR(__xludf.DUMMYFUNCTION("""COMPUTED_VALUE"""),0.0)</f>
        <v>0</v>
      </c>
      <c r="U18" s="9">
        <f>IFERROR(__xludf.DUMMYFUNCTION("""COMPUTED_VALUE"""),0.0)</f>
        <v>0</v>
      </c>
      <c r="V18" s="9">
        <f>IFERROR(__xludf.DUMMYFUNCTION("""COMPUTED_VALUE"""),0.0)</f>
        <v>0</v>
      </c>
      <c r="W18" s="9">
        <f>IFERROR(__xludf.DUMMYFUNCTION("""COMPUTED_VALUE"""),0.0)</f>
        <v>0</v>
      </c>
      <c r="X18" s="9">
        <f>IFERROR(__xludf.DUMMYFUNCTION("""COMPUTED_VALUE"""),0.0)</f>
        <v>0</v>
      </c>
      <c r="Y18" s="9">
        <f>IFERROR(__xludf.DUMMYFUNCTION("""COMPUTED_VALUE"""),0.0)</f>
        <v>0</v>
      </c>
      <c r="Z18" s="9">
        <f>IFERROR(__xludf.DUMMYFUNCTION("""COMPUTED_VALUE"""),0.0)</f>
        <v>0</v>
      </c>
      <c r="AA18" s="9">
        <f>IFERROR(__xludf.DUMMYFUNCTION("""COMPUTED_VALUE"""),0.0)</f>
        <v>0</v>
      </c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</row>
    <row r="19">
      <c r="A19" s="8">
        <f>IFERROR(__xludf.DUMMYFUNCTION("""COMPUTED_VALUE"""),45137.0)</f>
        <v>45137</v>
      </c>
      <c r="B19" s="9">
        <f>IFERROR(__xludf.DUMMYFUNCTION("""COMPUTED_VALUE"""),0.0)</f>
        <v>0</v>
      </c>
      <c r="C19" s="9">
        <f>IFERROR(__xludf.DUMMYFUNCTION("""COMPUTED_VALUE"""),0.0)</f>
        <v>0</v>
      </c>
      <c r="D19" s="9">
        <f>IFERROR(__xludf.DUMMYFUNCTION("""COMPUTED_VALUE"""),0.0)</f>
        <v>0</v>
      </c>
      <c r="E19" s="9">
        <f>IFERROR(__xludf.DUMMYFUNCTION("""COMPUTED_VALUE"""),0.0)</f>
        <v>0</v>
      </c>
      <c r="F19" s="9">
        <f>IFERROR(__xludf.DUMMYFUNCTION("""COMPUTED_VALUE"""),0.0)</f>
        <v>0</v>
      </c>
      <c r="G19" s="9">
        <f>IFERROR(__xludf.DUMMYFUNCTION("""COMPUTED_VALUE"""),0.0)</f>
        <v>0</v>
      </c>
      <c r="H19" s="9"/>
      <c r="I19" s="9">
        <f>IFERROR(__xludf.DUMMYFUNCTION("""COMPUTED_VALUE"""),0.0)</f>
        <v>0</v>
      </c>
      <c r="J19" s="9">
        <f>IFERROR(__xludf.DUMMYFUNCTION("""COMPUTED_VALUE"""),0.0)</f>
        <v>0</v>
      </c>
      <c r="K19" s="9">
        <f>IFERROR(__xludf.DUMMYFUNCTION("""COMPUTED_VALUE"""),0.0)</f>
        <v>0</v>
      </c>
      <c r="L19" s="9">
        <f>IFERROR(__xludf.DUMMYFUNCTION("""COMPUTED_VALUE"""),0.0)</f>
        <v>0</v>
      </c>
      <c r="M19" s="9">
        <f>IFERROR(__xludf.DUMMYFUNCTION("""COMPUTED_VALUE"""),0.0)</f>
        <v>0</v>
      </c>
      <c r="N19" s="9">
        <f>IFERROR(__xludf.DUMMYFUNCTION("""COMPUTED_VALUE"""),0.0)</f>
        <v>0</v>
      </c>
      <c r="O19" s="9">
        <f>IFERROR(__xludf.DUMMYFUNCTION("""COMPUTED_VALUE"""),0.0)</f>
        <v>0</v>
      </c>
      <c r="P19" s="9">
        <f>IFERROR(__xludf.DUMMYFUNCTION("""COMPUTED_VALUE"""),0.0)</f>
        <v>0</v>
      </c>
      <c r="Q19" s="9">
        <f>IFERROR(__xludf.DUMMYFUNCTION("""COMPUTED_VALUE"""),0.0)</f>
        <v>0</v>
      </c>
      <c r="R19" s="9">
        <f>IFERROR(__xludf.DUMMYFUNCTION("""COMPUTED_VALUE"""),0.0)</f>
        <v>0</v>
      </c>
      <c r="S19" s="9">
        <f>IFERROR(__xludf.DUMMYFUNCTION("""COMPUTED_VALUE"""),0.0)</f>
        <v>0</v>
      </c>
      <c r="T19" s="9">
        <f>IFERROR(__xludf.DUMMYFUNCTION("""COMPUTED_VALUE"""),0.0)</f>
        <v>0</v>
      </c>
      <c r="U19" s="9">
        <f>IFERROR(__xludf.DUMMYFUNCTION("""COMPUTED_VALUE"""),0.0)</f>
        <v>0</v>
      </c>
      <c r="V19" s="9">
        <f>IFERROR(__xludf.DUMMYFUNCTION("""COMPUTED_VALUE"""),0.0)</f>
        <v>0</v>
      </c>
      <c r="W19" s="9">
        <f>IFERROR(__xludf.DUMMYFUNCTION("""COMPUTED_VALUE"""),0.0)</f>
        <v>0</v>
      </c>
      <c r="X19" s="9">
        <f>IFERROR(__xludf.DUMMYFUNCTION("""COMPUTED_VALUE"""),0.0)</f>
        <v>0</v>
      </c>
      <c r="Y19" s="9">
        <f>IFERROR(__xludf.DUMMYFUNCTION("""COMPUTED_VALUE"""),0.0)</f>
        <v>0</v>
      </c>
      <c r="Z19" s="9">
        <f>IFERROR(__xludf.DUMMYFUNCTION("""COMPUTED_VALUE"""),0.0)</f>
        <v>0</v>
      </c>
      <c r="AA19" s="9">
        <f>IFERROR(__xludf.DUMMYFUNCTION("""COMPUTED_VALUE"""),0.0)</f>
        <v>0</v>
      </c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</row>
    <row r="20">
      <c r="A20" s="8">
        <f>IFERROR(__xludf.DUMMYFUNCTION("""COMPUTED_VALUE"""),45138.0)</f>
        <v>45138</v>
      </c>
      <c r="B20" s="9">
        <f>IFERROR(__xludf.DUMMYFUNCTION("""COMPUTED_VALUE"""),131.0)</f>
        <v>131</v>
      </c>
      <c r="C20" s="9">
        <f>IFERROR(__xludf.DUMMYFUNCTION("""COMPUTED_VALUE"""),500.0)</f>
        <v>500</v>
      </c>
      <c r="D20" s="9">
        <f>IFERROR(__xludf.DUMMYFUNCTION("""COMPUTED_VALUE"""),4.0)</f>
        <v>4</v>
      </c>
      <c r="E20" s="9">
        <f>IFERROR(__xludf.DUMMYFUNCTION("""COMPUTED_VALUE"""),7959.0)</f>
        <v>7959</v>
      </c>
      <c r="F20" s="9">
        <f>IFERROR(__xludf.DUMMYFUNCTION("""COMPUTED_VALUE"""),61.0)</f>
        <v>61</v>
      </c>
      <c r="G20" s="9">
        <f>IFERROR(__xludf.DUMMYFUNCTION("""COMPUTED_VALUE"""),0.0)</f>
        <v>0</v>
      </c>
      <c r="H20" s="9"/>
      <c r="I20" s="9">
        <f>IFERROR(__xludf.DUMMYFUNCTION("""COMPUTED_VALUE"""),51.0)</f>
        <v>51</v>
      </c>
      <c r="J20" s="9">
        <f>IFERROR(__xludf.DUMMYFUNCTION("""COMPUTED_VALUE"""),10.0)</f>
        <v>10</v>
      </c>
      <c r="K20" s="9">
        <f>IFERROR(__xludf.DUMMYFUNCTION("""COMPUTED_VALUE"""),4.0)</f>
        <v>4</v>
      </c>
      <c r="L20" s="9">
        <f>IFERROR(__xludf.DUMMYFUNCTION("""COMPUTED_VALUE"""),4.0)</f>
        <v>4</v>
      </c>
      <c r="M20" s="9">
        <f>IFERROR(__xludf.DUMMYFUNCTION("""COMPUTED_VALUE"""),73.0)</f>
        <v>73</v>
      </c>
      <c r="N20" s="9">
        <f>IFERROR(__xludf.DUMMYFUNCTION("""COMPUTED_VALUE"""),93.0)</f>
        <v>93</v>
      </c>
      <c r="O20" s="9">
        <f>IFERROR(__xludf.DUMMYFUNCTION("""COMPUTED_VALUE"""),0.0)</f>
        <v>0</v>
      </c>
      <c r="P20" s="9">
        <f>IFERROR(__xludf.DUMMYFUNCTION("""COMPUTED_VALUE"""),37.0)</f>
        <v>37</v>
      </c>
      <c r="Q20" s="9">
        <f>IFERROR(__xludf.DUMMYFUNCTION("""COMPUTED_VALUE"""),65.0)</f>
        <v>65</v>
      </c>
      <c r="R20" s="9">
        <f>IFERROR(__xludf.DUMMYFUNCTION("""COMPUTED_VALUE"""),23.0)</f>
        <v>23</v>
      </c>
      <c r="S20" s="9">
        <f>IFERROR(__xludf.DUMMYFUNCTION("""COMPUTED_VALUE"""),36.0)</f>
        <v>36</v>
      </c>
      <c r="T20" s="9">
        <f>IFERROR(__xludf.DUMMYFUNCTION("""COMPUTED_VALUE"""),6.0)</f>
        <v>6</v>
      </c>
      <c r="U20" s="9">
        <f>IFERROR(__xludf.DUMMYFUNCTION("""COMPUTED_VALUE"""),0.0)</f>
        <v>0</v>
      </c>
      <c r="V20" s="9">
        <f>IFERROR(__xludf.DUMMYFUNCTION("""COMPUTED_VALUE"""),88.0)</f>
        <v>88</v>
      </c>
      <c r="W20" s="9">
        <f>IFERROR(__xludf.DUMMYFUNCTION("""COMPUTED_VALUE"""),0.0)</f>
        <v>0</v>
      </c>
      <c r="X20" s="9">
        <f>IFERROR(__xludf.DUMMYFUNCTION("""COMPUTED_VALUE"""),51.0)</f>
        <v>51</v>
      </c>
      <c r="Y20" s="9">
        <f>IFERROR(__xludf.DUMMYFUNCTION("""COMPUTED_VALUE"""),102.0)</f>
        <v>102</v>
      </c>
      <c r="Z20" s="9">
        <f>IFERROR(__xludf.DUMMYFUNCTION("""COMPUTED_VALUE"""),6.0)</f>
        <v>6</v>
      </c>
      <c r="AA20" s="9">
        <f>IFERROR(__xludf.DUMMYFUNCTION("""COMPUTED_VALUE"""),0.0)</f>
        <v>0</v>
      </c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</row>
    <row r="21">
      <c r="A21" s="8">
        <f>IFERROR(__xludf.DUMMYFUNCTION("""COMPUTED_VALUE"""),45139.0)</f>
        <v>45139</v>
      </c>
      <c r="B21" s="9">
        <f>IFERROR(__xludf.DUMMYFUNCTION("""COMPUTED_VALUE"""),128.0)</f>
        <v>128</v>
      </c>
      <c r="C21" s="9">
        <f>IFERROR(__xludf.DUMMYFUNCTION("""COMPUTED_VALUE"""),519.0)</f>
        <v>519</v>
      </c>
      <c r="D21" s="9">
        <f>IFERROR(__xludf.DUMMYFUNCTION("""COMPUTED_VALUE"""),4.0)</f>
        <v>4</v>
      </c>
      <c r="E21" s="9">
        <f>IFERROR(__xludf.DUMMYFUNCTION("""COMPUTED_VALUE"""),9659.0)</f>
        <v>9659</v>
      </c>
      <c r="F21" s="9">
        <f>IFERROR(__xludf.DUMMYFUNCTION("""COMPUTED_VALUE"""),75.0)</f>
        <v>75</v>
      </c>
      <c r="G21" s="9">
        <f>IFERROR(__xludf.DUMMYFUNCTION("""COMPUTED_VALUE"""),0.0)</f>
        <v>0</v>
      </c>
      <c r="H21" s="9"/>
      <c r="I21" s="9">
        <f>IFERROR(__xludf.DUMMYFUNCTION("""COMPUTED_VALUE"""),86.0)</f>
        <v>86</v>
      </c>
      <c r="J21" s="9">
        <f>IFERROR(__xludf.DUMMYFUNCTION("""COMPUTED_VALUE"""),13.0)</f>
        <v>13</v>
      </c>
      <c r="K21" s="9">
        <f>IFERROR(__xludf.DUMMYFUNCTION("""COMPUTED_VALUE"""),2.0)</f>
        <v>2</v>
      </c>
      <c r="L21" s="9">
        <f>IFERROR(__xludf.DUMMYFUNCTION("""COMPUTED_VALUE"""),1.0)</f>
        <v>1</v>
      </c>
      <c r="M21" s="9">
        <f>IFERROR(__xludf.DUMMYFUNCTION("""COMPUTED_VALUE"""),103.0)</f>
        <v>103</v>
      </c>
      <c r="N21" s="9">
        <f>IFERROR(__xludf.DUMMYFUNCTION("""COMPUTED_VALUE"""),107.0)</f>
        <v>107</v>
      </c>
      <c r="O21" s="9">
        <f>IFERROR(__xludf.DUMMYFUNCTION("""COMPUTED_VALUE"""),0.0)</f>
        <v>0</v>
      </c>
      <c r="P21" s="9">
        <f>IFERROR(__xludf.DUMMYFUNCTION("""COMPUTED_VALUE"""),21.0)</f>
        <v>21</v>
      </c>
      <c r="Q21" s="9">
        <f>IFERROR(__xludf.DUMMYFUNCTION("""COMPUTED_VALUE"""),67.0)</f>
        <v>67</v>
      </c>
      <c r="R21" s="9">
        <f>IFERROR(__xludf.DUMMYFUNCTION("""COMPUTED_VALUE"""),15.0)</f>
        <v>15</v>
      </c>
      <c r="S21" s="9">
        <f>IFERROR(__xludf.DUMMYFUNCTION("""COMPUTED_VALUE"""),77.0)</f>
        <v>77</v>
      </c>
      <c r="T21" s="9">
        <f>IFERROR(__xludf.DUMMYFUNCTION("""COMPUTED_VALUE"""),5.0)</f>
        <v>5</v>
      </c>
      <c r="U21" s="9">
        <f>IFERROR(__xludf.DUMMYFUNCTION("""COMPUTED_VALUE"""),0.0)</f>
        <v>0</v>
      </c>
      <c r="V21" s="9">
        <f>IFERROR(__xludf.DUMMYFUNCTION("""COMPUTED_VALUE"""),82.0)</f>
        <v>82</v>
      </c>
      <c r="W21" s="9">
        <f>IFERROR(__xludf.DUMMYFUNCTION("""COMPUTED_VALUE"""),1.0)</f>
        <v>1</v>
      </c>
      <c r="X21" s="9">
        <f>IFERROR(__xludf.DUMMYFUNCTION("""COMPUTED_VALUE"""),66.0)</f>
        <v>66</v>
      </c>
      <c r="Y21" s="9">
        <f>IFERROR(__xludf.DUMMYFUNCTION("""COMPUTED_VALUE"""),95.0)</f>
        <v>95</v>
      </c>
      <c r="Z21" s="9">
        <f>IFERROR(__xludf.DUMMYFUNCTION("""COMPUTED_VALUE"""),6.0)</f>
        <v>6</v>
      </c>
      <c r="AA21" s="9">
        <f>IFERROR(__xludf.DUMMYFUNCTION("""COMPUTED_VALUE"""),0.0)</f>
        <v>0</v>
      </c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</row>
    <row r="22">
      <c r="A22" s="8">
        <f>IFERROR(__xludf.DUMMYFUNCTION("""COMPUTED_VALUE"""),45140.0)</f>
        <v>45140</v>
      </c>
      <c r="B22" s="9">
        <f>IFERROR(__xludf.DUMMYFUNCTION("""COMPUTED_VALUE"""),131.0)</f>
        <v>131</v>
      </c>
      <c r="C22" s="9">
        <f>IFERROR(__xludf.DUMMYFUNCTION("""COMPUTED_VALUE"""),519.0)</f>
        <v>519</v>
      </c>
      <c r="D22" s="9">
        <f>IFERROR(__xludf.DUMMYFUNCTION("""COMPUTED_VALUE"""),4.0)</f>
        <v>4</v>
      </c>
      <c r="E22" s="9">
        <f>IFERROR(__xludf.DUMMYFUNCTION("""COMPUTED_VALUE"""),9274.0)</f>
        <v>9274</v>
      </c>
      <c r="F22" s="9">
        <f>IFERROR(__xludf.DUMMYFUNCTION("""COMPUTED_VALUE"""),71.0)</f>
        <v>71</v>
      </c>
      <c r="G22" s="9">
        <f>IFERROR(__xludf.DUMMYFUNCTION("""COMPUTED_VALUE"""),0.0)</f>
        <v>0</v>
      </c>
      <c r="H22" s="9"/>
      <c r="I22" s="9">
        <f>IFERROR(__xludf.DUMMYFUNCTION("""COMPUTED_VALUE"""),94.0)</f>
        <v>94</v>
      </c>
      <c r="J22" s="9">
        <f>IFERROR(__xludf.DUMMYFUNCTION("""COMPUTED_VALUE"""),14.0)</f>
        <v>14</v>
      </c>
      <c r="K22" s="9">
        <f>IFERROR(__xludf.DUMMYFUNCTION("""COMPUTED_VALUE"""),3.0)</f>
        <v>3</v>
      </c>
      <c r="L22" s="9">
        <f>IFERROR(__xludf.DUMMYFUNCTION("""COMPUTED_VALUE"""),0.0)</f>
        <v>0</v>
      </c>
      <c r="M22" s="9">
        <f>IFERROR(__xludf.DUMMYFUNCTION("""COMPUTED_VALUE"""),111.0)</f>
        <v>111</v>
      </c>
      <c r="N22" s="9">
        <f>IFERROR(__xludf.DUMMYFUNCTION("""COMPUTED_VALUE"""),103.0)</f>
        <v>103</v>
      </c>
      <c r="O22" s="9">
        <f>IFERROR(__xludf.DUMMYFUNCTION("""COMPUTED_VALUE"""),0.0)</f>
        <v>0</v>
      </c>
      <c r="P22" s="9">
        <f>IFERROR(__xludf.DUMMYFUNCTION("""COMPUTED_VALUE"""),28.0)</f>
        <v>28</v>
      </c>
      <c r="Q22" s="9">
        <f>IFERROR(__xludf.DUMMYFUNCTION("""COMPUTED_VALUE"""),69.0)</f>
        <v>69</v>
      </c>
      <c r="R22" s="9">
        <f>IFERROR(__xludf.DUMMYFUNCTION("""COMPUTED_VALUE"""),13.0)</f>
        <v>13</v>
      </c>
      <c r="S22" s="9">
        <f>IFERROR(__xludf.DUMMYFUNCTION("""COMPUTED_VALUE"""),52.0)</f>
        <v>52</v>
      </c>
      <c r="T22" s="9">
        <f>IFERROR(__xludf.DUMMYFUNCTION("""COMPUTED_VALUE"""),8.0)</f>
        <v>8</v>
      </c>
      <c r="U22" s="9">
        <f>IFERROR(__xludf.DUMMYFUNCTION("""COMPUTED_VALUE"""),0.0)</f>
        <v>0</v>
      </c>
      <c r="V22" s="9">
        <f>IFERROR(__xludf.DUMMYFUNCTION("""COMPUTED_VALUE"""),82.0)</f>
        <v>82</v>
      </c>
      <c r="W22" s="9">
        <f>IFERROR(__xludf.DUMMYFUNCTION("""COMPUTED_VALUE"""),5.0)</f>
        <v>5</v>
      </c>
      <c r="X22" s="9">
        <f>IFERROR(__xludf.DUMMYFUNCTION("""COMPUTED_VALUE"""),67.0)</f>
        <v>67</v>
      </c>
      <c r="Y22" s="9">
        <f>IFERROR(__xludf.DUMMYFUNCTION("""COMPUTED_VALUE"""),103.0)</f>
        <v>103</v>
      </c>
      <c r="Z22" s="9">
        <f>IFERROR(__xludf.DUMMYFUNCTION("""COMPUTED_VALUE"""),11.0)</f>
        <v>11</v>
      </c>
      <c r="AA22" s="9">
        <f>IFERROR(__xludf.DUMMYFUNCTION("""COMPUTED_VALUE"""),0.0)</f>
        <v>0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</row>
    <row r="23">
      <c r="A23" s="8">
        <f>IFERROR(__xludf.DUMMYFUNCTION("""COMPUTED_VALUE"""),45141.0)</f>
        <v>45141</v>
      </c>
      <c r="B23" s="9">
        <f>IFERROR(__xludf.DUMMYFUNCTION("""COMPUTED_VALUE"""),70.0)</f>
        <v>70</v>
      </c>
      <c r="C23" s="9">
        <f>IFERROR(__xludf.DUMMYFUNCTION("""COMPUTED_VALUE"""),275.0)</f>
        <v>275</v>
      </c>
      <c r="D23" s="9">
        <f>IFERROR(__xludf.DUMMYFUNCTION("""COMPUTED_VALUE"""),4.0)</f>
        <v>4</v>
      </c>
      <c r="E23" s="9">
        <f>IFERROR(__xludf.DUMMYFUNCTION("""COMPUTED_VALUE"""),5203.0)</f>
        <v>5203</v>
      </c>
      <c r="F23" s="9">
        <f>IFERROR(__xludf.DUMMYFUNCTION("""COMPUTED_VALUE"""),74.0)</f>
        <v>74</v>
      </c>
      <c r="G23" s="9">
        <f>IFERROR(__xludf.DUMMYFUNCTION("""COMPUTED_VALUE"""),0.0)</f>
        <v>0</v>
      </c>
      <c r="H23" s="9"/>
      <c r="I23" s="9">
        <f>IFERROR(__xludf.DUMMYFUNCTION("""COMPUTED_VALUE"""),53.0)</f>
        <v>53</v>
      </c>
      <c r="J23" s="9">
        <f>IFERROR(__xludf.DUMMYFUNCTION("""COMPUTED_VALUE"""),4.0)</f>
        <v>4</v>
      </c>
      <c r="K23" s="9">
        <f>IFERROR(__xludf.DUMMYFUNCTION("""COMPUTED_VALUE"""),3.0)</f>
        <v>3</v>
      </c>
      <c r="L23" s="9">
        <f>IFERROR(__xludf.DUMMYFUNCTION("""COMPUTED_VALUE"""),0.0)</f>
        <v>0</v>
      </c>
      <c r="M23" s="9">
        <f>IFERROR(__xludf.DUMMYFUNCTION("""COMPUTED_VALUE"""),60.0)</f>
        <v>60</v>
      </c>
      <c r="N23" s="9">
        <f>IFERROR(__xludf.DUMMYFUNCTION("""COMPUTED_VALUE"""),52.0)</f>
        <v>52</v>
      </c>
      <c r="O23" s="9">
        <f>IFERROR(__xludf.DUMMYFUNCTION("""COMPUTED_VALUE"""),0.0)</f>
        <v>0</v>
      </c>
      <c r="P23" s="9">
        <f>IFERROR(__xludf.DUMMYFUNCTION("""COMPUTED_VALUE"""),18.0)</f>
        <v>18</v>
      </c>
      <c r="Q23" s="9">
        <f>IFERROR(__xludf.DUMMYFUNCTION("""COMPUTED_VALUE"""),36.0)</f>
        <v>36</v>
      </c>
      <c r="R23" s="9">
        <f>IFERROR(__xludf.DUMMYFUNCTION("""COMPUTED_VALUE"""),12.0)</f>
        <v>12</v>
      </c>
      <c r="S23" s="9">
        <f>IFERROR(__xludf.DUMMYFUNCTION("""COMPUTED_VALUE"""),22.0)</f>
        <v>22</v>
      </c>
      <c r="T23" s="9">
        <f>IFERROR(__xludf.DUMMYFUNCTION("""COMPUTED_VALUE"""),1.0)</f>
        <v>1</v>
      </c>
      <c r="U23" s="9">
        <f>IFERROR(__xludf.DUMMYFUNCTION("""COMPUTED_VALUE"""),0.0)</f>
        <v>0</v>
      </c>
      <c r="V23" s="9">
        <f>IFERROR(__xludf.DUMMYFUNCTION("""COMPUTED_VALUE"""),48.0)</f>
        <v>48</v>
      </c>
      <c r="W23" s="9">
        <f>IFERROR(__xludf.DUMMYFUNCTION("""COMPUTED_VALUE"""),1.0)</f>
        <v>1</v>
      </c>
      <c r="X23" s="9">
        <f>IFERROR(__xludf.DUMMYFUNCTION("""COMPUTED_VALUE"""),49.0)</f>
        <v>49</v>
      </c>
      <c r="Y23" s="9">
        <f>IFERROR(__xludf.DUMMYFUNCTION("""COMPUTED_VALUE"""),52.0)</f>
        <v>52</v>
      </c>
      <c r="Z23" s="9">
        <f>IFERROR(__xludf.DUMMYFUNCTION("""COMPUTED_VALUE"""),2.0)</f>
        <v>2</v>
      </c>
      <c r="AA23" s="9">
        <f>IFERROR(__xludf.DUMMYFUNCTION("""COMPUTED_VALUE"""),0.0)</f>
        <v>0</v>
      </c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</row>
    <row r="24">
      <c r="A24" s="8">
        <f>IFERROR(__xludf.DUMMYFUNCTION("""COMPUTED_VALUE"""),45142.0)</f>
        <v>45142</v>
      </c>
      <c r="B24" s="9">
        <f>IFERROR(__xludf.DUMMYFUNCTION("""COMPUTED_VALUE"""),66.0)</f>
        <v>66</v>
      </c>
      <c r="C24" s="9">
        <f>IFERROR(__xludf.DUMMYFUNCTION("""COMPUTED_VALUE"""),227.0)</f>
        <v>227</v>
      </c>
      <c r="D24" s="9">
        <f>IFERROR(__xludf.DUMMYFUNCTION("""COMPUTED_VALUE"""),3.0)</f>
        <v>3</v>
      </c>
      <c r="E24" s="9">
        <f>IFERROR(__xludf.DUMMYFUNCTION("""COMPUTED_VALUE"""),3936.0)</f>
        <v>3936</v>
      </c>
      <c r="F24" s="9">
        <f>IFERROR(__xludf.DUMMYFUNCTION("""COMPUTED_VALUE"""),60.0)</f>
        <v>60</v>
      </c>
      <c r="G24" s="9">
        <f>IFERROR(__xludf.DUMMYFUNCTION("""COMPUTED_VALUE"""),0.0)</f>
        <v>0</v>
      </c>
      <c r="H24" s="9"/>
      <c r="I24" s="9">
        <f>IFERROR(__xludf.DUMMYFUNCTION("""COMPUTED_VALUE"""),42.0)</f>
        <v>42</v>
      </c>
      <c r="J24" s="9">
        <f>IFERROR(__xludf.DUMMYFUNCTION("""COMPUTED_VALUE"""),9.0)</f>
        <v>9</v>
      </c>
      <c r="K24" s="9">
        <f>IFERROR(__xludf.DUMMYFUNCTION("""COMPUTED_VALUE"""),0.0)</f>
        <v>0</v>
      </c>
      <c r="L24" s="9">
        <f>IFERROR(__xludf.DUMMYFUNCTION("""COMPUTED_VALUE"""),1.0)</f>
        <v>1</v>
      </c>
      <c r="M24" s="9">
        <f>IFERROR(__xludf.DUMMYFUNCTION("""COMPUTED_VALUE"""),52.0)</f>
        <v>52</v>
      </c>
      <c r="N24" s="9">
        <f>IFERROR(__xludf.DUMMYFUNCTION("""COMPUTED_VALUE"""),50.0)</f>
        <v>50</v>
      </c>
      <c r="O24" s="9">
        <f>IFERROR(__xludf.DUMMYFUNCTION("""COMPUTED_VALUE"""),0.0)</f>
        <v>0</v>
      </c>
      <c r="P24" s="9">
        <f>IFERROR(__xludf.DUMMYFUNCTION("""COMPUTED_VALUE"""),16.0)</f>
        <v>16</v>
      </c>
      <c r="Q24" s="9">
        <f>IFERROR(__xludf.DUMMYFUNCTION("""COMPUTED_VALUE"""),31.0)</f>
        <v>31</v>
      </c>
      <c r="R24" s="9">
        <f>IFERROR(__xludf.DUMMYFUNCTION("""COMPUTED_VALUE"""),11.0)</f>
        <v>11</v>
      </c>
      <c r="S24" s="9">
        <f>IFERROR(__xludf.DUMMYFUNCTION("""COMPUTED_VALUE"""),7.0)</f>
        <v>7</v>
      </c>
      <c r="T24" s="9">
        <f>IFERROR(__xludf.DUMMYFUNCTION("""COMPUTED_VALUE"""),1.0)</f>
        <v>1</v>
      </c>
      <c r="U24" s="9">
        <f>IFERROR(__xludf.DUMMYFUNCTION("""COMPUTED_VALUE"""),0.0)</f>
        <v>0</v>
      </c>
      <c r="V24" s="9">
        <f>IFERROR(__xludf.DUMMYFUNCTION("""COMPUTED_VALUE"""),42.0)</f>
        <v>42</v>
      </c>
      <c r="W24" s="9">
        <f>IFERROR(__xludf.DUMMYFUNCTION("""COMPUTED_VALUE"""),1.0)</f>
        <v>1</v>
      </c>
      <c r="X24" s="9">
        <f>IFERROR(__xludf.DUMMYFUNCTION("""COMPUTED_VALUE"""),28.0)</f>
        <v>28</v>
      </c>
      <c r="Y24" s="9">
        <f>IFERROR(__xludf.DUMMYFUNCTION("""COMPUTED_VALUE"""),50.0)</f>
        <v>50</v>
      </c>
      <c r="Z24" s="9">
        <f>IFERROR(__xludf.DUMMYFUNCTION("""COMPUTED_VALUE"""),2.0)</f>
        <v>2</v>
      </c>
      <c r="AA24" s="9">
        <f>IFERROR(__xludf.DUMMYFUNCTION("""COMPUTED_VALUE"""),0.0)</f>
        <v>0</v>
      </c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</row>
    <row r="25">
      <c r="A25" s="8">
        <f>IFERROR(__xludf.DUMMYFUNCTION("""COMPUTED_VALUE"""),45143.0)</f>
        <v>45143</v>
      </c>
      <c r="B25" s="9">
        <f>IFERROR(__xludf.DUMMYFUNCTION("""COMPUTED_VALUE"""),31.0)</f>
        <v>31</v>
      </c>
      <c r="C25" s="9">
        <f>IFERROR(__xludf.DUMMYFUNCTION("""COMPUTED_VALUE"""),111.0)</f>
        <v>111</v>
      </c>
      <c r="D25" s="9">
        <f>IFERROR(__xludf.DUMMYFUNCTION("""COMPUTED_VALUE"""),4.0)</f>
        <v>4</v>
      </c>
      <c r="E25" s="9">
        <f>IFERROR(__xludf.DUMMYFUNCTION("""COMPUTED_VALUE"""),1905.0)</f>
        <v>1905</v>
      </c>
      <c r="F25" s="9">
        <f>IFERROR(__xludf.DUMMYFUNCTION("""COMPUTED_VALUE"""),61.0)</f>
        <v>61</v>
      </c>
      <c r="G25" s="9">
        <f>IFERROR(__xludf.DUMMYFUNCTION("""COMPUTED_VALUE"""),0.0)</f>
        <v>0</v>
      </c>
      <c r="H25" s="9"/>
      <c r="I25" s="9">
        <f>IFERROR(__xludf.DUMMYFUNCTION("""COMPUTED_VALUE"""),23.0)</f>
        <v>23</v>
      </c>
      <c r="J25" s="9">
        <f>IFERROR(__xludf.DUMMYFUNCTION("""COMPUTED_VALUE"""),4.0)</f>
        <v>4</v>
      </c>
      <c r="K25" s="9">
        <f>IFERROR(__xludf.DUMMYFUNCTION("""COMPUTED_VALUE"""),0.0)</f>
        <v>0</v>
      </c>
      <c r="L25" s="9">
        <f>IFERROR(__xludf.DUMMYFUNCTION("""COMPUTED_VALUE"""),0.0)</f>
        <v>0</v>
      </c>
      <c r="M25" s="9">
        <f>IFERROR(__xludf.DUMMYFUNCTION("""COMPUTED_VALUE"""),27.0)</f>
        <v>27</v>
      </c>
      <c r="N25" s="9">
        <f>IFERROR(__xludf.DUMMYFUNCTION("""COMPUTED_VALUE"""),22.0)</f>
        <v>22</v>
      </c>
      <c r="O25" s="9">
        <f>IFERROR(__xludf.DUMMYFUNCTION("""COMPUTED_VALUE"""),0.0)</f>
        <v>0</v>
      </c>
      <c r="P25" s="9">
        <f>IFERROR(__xludf.DUMMYFUNCTION("""COMPUTED_VALUE"""),9.0)</f>
        <v>9</v>
      </c>
      <c r="Q25" s="9">
        <f>IFERROR(__xludf.DUMMYFUNCTION("""COMPUTED_VALUE"""),14.0)</f>
        <v>14</v>
      </c>
      <c r="R25" s="9">
        <f>IFERROR(__xludf.DUMMYFUNCTION("""COMPUTED_VALUE"""),8.0)</f>
        <v>8</v>
      </c>
      <c r="S25" s="9">
        <f>IFERROR(__xludf.DUMMYFUNCTION("""COMPUTED_VALUE"""),9.0)</f>
        <v>9</v>
      </c>
      <c r="T25" s="9">
        <f>IFERROR(__xludf.DUMMYFUNCTION("""COMPUTED_VALUE"""),3.0)</f>
        <v>3</v>
      </c>
      <c r="U25" s="9">
        <f>IFERROR(__xludf.DUMMYFUNCTION("""COMPUTED_VALUE"""),0.0)</f>
        <v>0</v>
      </c>
      <c r="V25" s="9">
        <f>IFERROR(__xludf.DUMMYFUNCTION("""COMPUTED_VALUE"""),22.0)</f>
        <v>22</v>
      </c>
      <c r="W25" s="9">
        <f>IFERROR(__xludf.DUMMYFUNCTION("""COMPUTED_VALUE"""),0.0)</f>
        <v>0</v>
      </c>
      <c r="X25" s="9">
        <f>IFERROR(__xludf.DUMMYFUNCTION("""COMPUTED_VALUE"""),9.0)</f>
        <v>9</v>
      </c>
      <c r="Y25" s="9">
        <f>IFERROR(__xludf.DUMMYFUNCTION("""COMPUTED_VALUE"""),25.0)</f>
        <v>25</v>
      </c>
      <c r="Z25" s="9">
        <f>IFERROR(__xludf.DUMMYFUNCTION("""COMPUTED_VALUE"""),3.0)</f>
        <v>3</v>
      </c>
      <c r="AA25" s="9">
        <f>IFERROR(__xludf.DUMMYFUNCTION("""COMPUTED_VALUE"""),0.0)</f>
        <v>0</v>
      </c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</row>
    <row r="26">
      <c r="A26" s="8">
        <f>IFERROR(__xludf.DUMMYFUNCTION("""COMPUTED_VALUE"""),45144.0)</f>
        <v>45144</v>
      </c>
      <c r="B26" s="9">
        <f>IFERROR(__xludf.DUMMYFUNCTION("""COMPUTED_VALUE"""),0.0)</f>
        <v>0</v>
      </c>
      <c r="C26" s="9">
        <f>IFERROR(__xludf.DUMMYFUNCTION("""COMPUTED_VALUE"""),0.0)</f>
        <v>0</v>
      </c>
      <c r="D26" s="9">
        <f>IFERROR(__xludf.DUMMYFUNCTION("""COMPUTED_VALUE"""),0.0)</f>
        <v>0</v>
      </c>
      <c r="E26" s="9">
        <f>IFERROR(__xludf.DUMMYFUNCTION("""COMPUTED_VALUE"""),0.0)</f>
        <v>0</v>
      </c>
      <c r="F26" s="9">
        <f>IFERROR(__xludf.DUMMYFUNCTION("""COMPUTED_VALUE"""),0.0)</f>
        <v>0</v>
      </c>
      <c r="G26" s="9">
        <f>IFERROR(__xludf.DUMMYFUNCTION("""COMPUTED_VALUE"""),0.0)</f>
        <v>0</v>
      </c>
      <c r="H26" s="9"/>
      <c r="I26" s="9">
        <f>IFERROR(__xludf.DUMMYFUNCTION("""COMPUTED_VALUE"""),0.0)</f>
        <v>0</v>
      </c>
      <c r="J26" s="9">
        <f>IFERROR(__xludf.DUMMYFUNCTION("""COMPUTED_VALUE"""),0.0)</f>
        <v>0</v>
      </c>
      <c r="K26" s="9">
        <f>IFERROR(__xludf.DUMMYFUNCTION("""COMPUTED_VALUE"""),0.0)</f>
        <v>0</v>
      </c>
      <c r="L26" s="9">
        <f>IFERROR(__xludf.DUMMYFUNCTION("""COMPUTED_VALUE"""),0.0)</f>
        <v>0</v>
      </c>
      <c r="M26" s="9">
        <f>IFERROR(__xludf.DUMMYFUNCTION("""COMPUTED_VALUE"""),0.0)</f>
        <v>0</v>
      </c>
      <c r="N26" s="9">
        <f>IFERROR(__xludf.DUMMYFUNCTION("""COMPUTED_VALUE"""),0.0)</f>
        <v>0</v>
      </c>
      <c r="O26" s="9">
        <f>IFERROR(__xludf.DUMMYFUNCTION("""COMPUTED_VALUE"""),0.0)</f>
        <v>0</v>
      </c>
      <c r="P26" s="9">
        <f>IFERROR(__xludf.DUMMYFUNCTION("""COMPUTED_VALUE"""),0.0)</f>
        <v>0</v>
      </c>
      <c r="Q26" s="9">
        <f>IFERROR(__xludf.DUMMYFUNCTION("""COMPUTED_VALUE"""),0.0)</f>
        <v>0</v>
      </c>
      <c r="R26" s="9">
        <f>IFERROR(__xludf.DUMMYFUNCTION("""COMPUTED_VALUE"""),0.0)</f>
        <v>0</v>
      </c>
      <c r="S26" s="9">
        <f>IFERROR(__xludf.DUMMYFUNCTION("""COMPUTED_VALUE"""),0.0)</f>
        <v>0</v>
      </c>
      <c r="T26" s="9">
        <f>IFERROR(__xludf.DUMMYFUNCTION("""COMPUTED_VALUE"""),0.0)</f>
        <v>0</v>
      </c>
      <c r="U26" s="9">
        <f>IFERROR(__xludf.DUMMYFUNCTION("""COMPUTED_VALUE"""),0.0)</f>
        <v>0</v>
      </c>
      <c r="V26" s="9">
        <f>IFERROR(__xludf.DUMMYFUNCTION("""COMPUTED_VALUE"""),0.0)</f>
        <v>0</v>
      </c>
      <c r="W26" s="9">
        <f>IFERROR(__xludf.DUMMYFUNCTION("""COMPUTED_VALUE"""),0.0)</f>
        <v>0</v>
      </c>
      <c r="X26" s="9">
        <f>IFERROR(__xludf.DUMMYFUNCTION("""COMPUTED_VALUE"""),0.0)</f>
        <v>0</v>
      </c>
      <c r="Y26" s="9">
        <f>IFERROR(__xludf.DUMMYFUNCTION("""COMPUTED_VALUE"""),0.0)</f>
        <v>0</v>
      </c>
      <c r="Z26" s="9">
        <f>IFERROR(__xludf.DUMMYFUNCTION("""COMPUTED_VALUE"""),0.0)</f>
        <v>0</v>
      </c>
      <c r="AA26" s="9">
        <f>IFERROR(__xludf.DUMMYFUNCTION("""COMPUTED_VALUE"""),0.0)</f>
        <v>0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</row>
    <row r="27">
      <c r="A27" s="8">
        <f>IFERROR(__xludf.DUMMYFUNCTION("""COMPUTED_VALUE"""),45145.0)</f>
        <v>45145</v>
      </c>
      <c r="B27" s="9">
        <f>IFERROR(__xludf.DUMMYFUNCTION("""COMPUTED_VALUE"""),57.0)</f>
        <v>57</v>
      </c>
      <c r="C27" s="9">
        <f>IFERROR(__xludf.DUMMYFUNCTION("""COMPUTED_VALUE"""),235.0)</f>
        <v>235</v>
      </c>
      <c r="D27" s="9">
        <f>IFERROR(__xludf.DUMMYFUNCTION("""COMPUTED_VALUE"""),4.0)</f>
        <v>4</v>
      </c>
      <c r="E27" s="9">
        <f>IFERROR(__xludf.DUMMYFUNCTION("""COMPUTED_VALUE"""),4147.0)</f>
        <v>4147</v>
      </c>
      <c r="F27" s="9">
        <f>IFERROR(__xludf.DUMMYFUNCTION("""COMPUTED_VALUE"""),73.0)</f>
        <v>73</v>
      </c>
      <c r="G27" s="9">
        <f>IFERROR(__xludf.DUMMYFUNCTION("""COMPUTED_VALUE"""),0.0)</f>
        <v>0</v>
      </c>
      <c r="H27" s="9"/>
      <c r="I27" s="9">
        <f>IFERROR(__xludf.DUMMYFUNCTION("""COMPUTED_VALUE"""),39.0)</f>
        <v>39</v>
      </c>
      <c r="J27" s="9">
        <f>IFERROR(__xludf.DUMMYFUNCTION("""COMPUTED_VALUE"""),5.0)</f>
        <v>5</v>
      </c>
      <c r="K27" s="9">
        <f>IFERROR(__xludf.DUMMYFUNCTION("""COMPUTED_VALUE"""),1.0)</f>
        <v>1</v>
      </c>
      <c r="L27" s="9">
        <f>IFERROR(__xludf.DUMMYFUNCTION("""COMPUTED_VALUE"""),1.0)</f>
        <v>1</v>
      </c>
      <c r="M27" s="9">
        <f>IFERROR(__xludf.DUMMYFUNCTION("""COMPUTED_VALUE"""),46.0)</f>
        <v>46</v>
      </c>
      <c r="N27" s="9">
        <f>IFERROR(__xludf.DUMMYFUNCTION("""COMPUTED_VALUE"""),44.0)</f>
        <v>44</v>
      </c>
      <c r="O27" s="9">
        <f>IFERROR(__xludf.DUMMYFUNCTION("""COMPUTED_VALUE"""),0.0)</f>
        <v>0</v>
      </c>
      <c r="P27" s="9">
        <f>IFERROR(__xludf.DUMMYFUNCTION("""COMPUTED_VALUE"""),13.0)</f>
        <v>13</v>
      </c>
      <c r="Q27" s="9">
        <f>IFERROR(__xludf.DUMMYFUNCTION("""COMPUTED_VALUE"""),27.0)</f>
        <v>27</v>
      </c>
      <c r="R27" s="9">
        <f>IFERROR(__xludf.DUMMYFUNCTION("""COMPUTED_VALUE"""),8.0)</f>
        <v>8</v>
      </c>
      <c r="S27" s="9">
        <f>IFERROR(__xludf.DUMMYFUNCTION("""COMPUTED_VALUE"""),30.0)</f>
        <v>30</v>
      </c>
      <c r="T27" s="9">
        <f>IFERROR(__xludf.DUMMYFUNCTION("""COMPUTED_VALUE"""),4.0)</f>
        <v>4</v>
      </c>
      <c r="U27" s="9">
        <f>IFERROR(__xludf.DUMMYFUNCTION("""COMPUTED_VALUE"""),0.0)</f>
        <v>0</v>
      </c>
      <c r="V27" s="9">
        <f>IFERROR(__xludf.DUMMYFUNCTION("""COMPUTED_VALUE"""),35.0)</f>
        <v>35</v>
      </c>
      <c r="W27" s="9">
        <f>IFERROR(__xludf.DUMMYFUNCTION("""COMPUTED_VALUE"""),0.0)</f>
        <v>0</v>
      </c>
      <c r="X27" s="9">
        <f>IFERROR(__xludf.DUMMYFUNCTION("""COMPUTED_VALUE"""),32.0)</f>
        <v>32</v>
      </c>
      <c r="Y27" s="9">
        <f>IFERROR(__xludf.DUMMYFUNCTION("""COMPUTED_VALUE"""),44.0)</f>
        <v>44</v>
      </c>
      <c r="Z27" s="9">
        <f>IFERROR(__xludf.DUMMYFUNCTION("""COMPUTED_VALUE"""),4.0)</f>
        <v>4</v>
      </c>
      <c r="AA27" s="9">
        <f>IFERROR(__xludf.DUMMYFUNCTION("""COMPUTED_VALUE"""),0.0)</f>
        <v>0</v>
      </c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</row>
    <row r="28">
      <c r="A28" s="8">
        <f>IFERROR(__xludf.DUMMYFUNCTION("""COMPUTED_VALUE"""),45146.0)</f>
        <v>45146</v>
      </c>
      <c r="B28" s="9">
        <f>IFERROR(__xludf.DUMMYFUNCTION("""COMPUTED_VALUE"""),51.0)</f>
        <v>51</v>
      </c>
      <c r="C28" s="9">
        <f>IFERROR(__xludf.DUMMYFUNCTION("""COMPUTED_VALUE"""),189.0)</f>
        <v>189</v>
      </c>
      <c r="D28" s="9">
        <f>IFERROR(__xludf.DUMMYFUNCTION("""COMPUTED_VALUE"""),4.0)</f>
        <v>4</v>
      </c>
      <c r="E28" s="9">
        <f>IFERROR(__xludf.DUMMYFUNCTION("""COMPUTED_VALUE"""),3448.0)</f>
        <v>3448</v>
      </c>
      <c r="F28" s="9">
        <f>IFERROR(__xludf.DUMMYFUNCTION("""COMPUTED_VALUE"""),68.0)</f>
        <v>68</v>
      </c>
      <c r="G28" s="9">
        <f>IFERROR(__xludf.DUMMYFUNCTION("""COMPUTED_VALUE"""),0.0)</f>
        <v>0</v>
      </c>
      <c r="H28" s="9"/>
      <c r="I28" s="9">
        <f>IFERROR(__xludf.DUMMYFUNCTION("""COMPUTED_VALUE"""),37.0)</f>
        <v>37</v>
      </c>
      <c r="J28" s="9">
        <f>IFERROR(__xludf.DUMMYFUNCTION("""COMPUTED_VALUE"""),5.0)</f>
        <v>5</v>
      </c>
      <c r="K28" s="9">
        <f>IFERROR(__xludf.DUMMYFUNCTION("""COMPUTED_VALUE"""),0.0)</f>
        <v>0</v>
      </c>
      <c r="L28" s="9">
        <f>IFERROR(__xludf.DUMMYFUNCTION("""COMPUTED_VALUE"""),1.0)</f>
        <v>1</v>
      </c>
      <c r="M28" s="9">
        <f>IFERROR(__xludf.DUMMYFUNCTION("""COMPUTED_VALUE"""),43.0)</f>
        <v>43</v>
      </c>
      <c r="N28" s="9">
        <f>IFERROR(__xludf.DUMMYFUNCTION("""COMPUTED_VALUE"""),46.0)</f>
        <v>46</v>
      </c>
      <c r="O28" s="9">
        <f>IFERROR(__xludf.DUMMYFUNCTION("""COMPUTED_VALUE"""),0.0)</f>
        <v>0</v>
      </c>
      <c r="P28" s="9">
        <f>IFERROR(__xludf.DUMMYFUNCTION("""COMPUTED_VALUE"""),5.0)</f>
        <v>5</v>
      </c>
      <c r="Q28" s="9">
        <f>IFERROR(__xludf.DUMMYFUNCTION("""COMPUTED_VALUE"""),23.0)</f>
        <v>23</v>
      </c>
      <c r="R28" s="9">
        <f>IFERROR(__xludf.DUMMYFUNCTION("""COMPUTED_VALUE"""),3.0)</f>
        <v>3</v>
      </c>
      <c r="S28" s="9">
        <f>IFERROR(__xludf.DUMMYFUNCTION("""COMPUTED_VALUE"""),23.0)</f>
        <v>23</v>
      </c>
      <c r="T28" s="9">
        <f>IFERROR(__xludf.DUMMYFUNCTION("""COMPUTED_VALUE"""),4.0)</f>
        <v>4</v>
      </c>
      <c r="U28" s="9">
        <f>IFERROR(__xludf.DUMMYFUNCTION("""COMPUTED_VALUE"""),0.0)</f>
        <v>0</v>
      </c>
      <c r="V28" s="9">
        <f>IFERROR(__xludf.DUMMYFUNCTION("""COMPUTED_VALUE"""),26.0)</f>
        <v>26</v>
      </c>
      <c r="W28" s="9">
        <f>IFERROR(__xludf.DUMMYFUNCTION("""COMPUTED_VALUE"""),0.0)</f>
        <v>0</v>
      </c>
      <c r="X28" s="9">
        <f>IFERROR(__xludf.DUMMYFUNCTION("""COMPUTED_VALUE"""),26.0)</f>
        <v>26</v>
      </c>
      <c r="Y28" s="9">
        <f>IFERROR(__xludf.DUMMYFUNCTION("""COMPUTED_VALUE"""),34.0)</f>
        <v>34</v>
      </c>
      <c r="Z28" s="9">
        <f>IFERROR(__xludf.DUMMYFUNCTION("""COMPUTED_VALUE"""),4.0)</f>
        <v>4</v>
      </c>
      <c r="AA28" s="9">
        <f>IFERROR(__xludf.DUMMYFUNCTION("""COMPUTED_VALUE"""),0.0)</f>
        <v>0</v>
      </c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</row>
    <row r="29">
      <c r="A29" s="8">
        <f>IFERROR(__xludf.DUMMYFUNCTION("""COMPUTED_VALUE"""),45147.0)</f>
        <v>45147</v>
      </c>
      <c r="B29" s="9">
        <f>IFERROR(__xludf.DUMMYFUNCTION("""COMPUTED_VALUE"""),59.0)</f>
        <v>59</v>
      </c>
      <c r="C29" s="9">
        <f>IFERROR(__xludf.DUMMYFUNCTION("""COMPUTED_VALUE"""),216.0)</f>
        <v>216</v>
      </c>
      <c r="D29" s="9">
        <f>IFERROR(__xludf.DUMMYFUNCTION("""COMPUTED_VALUE"""),4.0)</f>
        <v>4</v>
      </c>
      <c r="E29" s="9">
        <f>IFERROR(__xludf.DUMMYFUNCTION("""COMPUTED_VALUE"""),3814.0)</f>
        <v>3814</v>
      </c>
      <c r="F29" s="9">
        <f>IFERROR(__xludf.DUMMYFUNCTION("""COMPUTED_VALUE"""),65.0)</f>
        <v>65</v>
      </c>
      <c r="G29" s="9">
        <f>IFERROR(__xludf.DUMMYFUNCTION("""COMPUTED_VALUE"""),0.0)</f>
        <v>0</v>
      </c>
      <c r="H29" s="9"/>
      <c r="I29" s="9">
        <f>IFERROR(__xludf.DUMMYFUNCTION("""COMPUTED_VALUE"""),43.0)</f>
        <v>43</v>
      </c>
      <c r="J29" s="9">
        <f>IFERROR(__xludf.DUMMYFUNCTION("""COMPUTED_VALUE"""),8.0)</f>
        <v>8</v>
      </c>
      <c r="K29" s="9">
        <f>IFERROR(__xludf.DUMMYFUNCTION("""COMPUTED_VALUE"""),0.0)</f>
        <v>0</v>
      </c>
      <c r="L29" s="9">
        <f>IFERROR(__xludf.DUMMYFUNCTION("""COMPUTED_VALUE"""),0.0)</f>
        <v>0</v>
      </c>
      <c r="M29" s="9">
        <f>IFERROR(__xludf.DUMMYFUNCTION("""COMPUTED_VALUE"""),51.0)</f>
        <v>51</v>
      </c>
      <c r="N29" s="9">
        <f>IFERROR(__xludf.DUMMYFUNCTION("""COMPUTED_VALUE"""),43.0)</f>
        <v>43</v>
      </c>
      <c r="O29" s="9">
        <f>IFERROR(__xludf.DUMMYFUNCTION("""COMPUTED_VALUE"""),0.0)</f>
        <v>0</v>
      </c>
      <c r="P29" s="9">
        <f>IFERROR(__xludf.DUMMYFUNCTION("""COMPUTED_VALUE"""),16.0)</f>
        <v>16</v>
      </c>
      <c r="Q29" s="9">
        <f>IFERROR(__xludf.DUMMYFUNCTION("""COMPUTED_VALUE"""),26.0)</f>
        <v>26</v>
      </c>
      <c r="R29" s="9">
        <f>IFERROR(__xludf.DUMMYFUNCTION("""COMPUTED_VALUE"""),13.0)</f>
        <v>13</v>
      </c>
      <c r="S29" s="9">
        <f>IFERROR(__xludf.DUMMYFUNCTION("""COMPUTED_VALUE"""),18.0)</f>
        <v>18</v>
      </c>
      <c r="T29" s="9">
        <f>IFERROR(__xludf.DUMMYFUNCTION("""COMPUTED_VALUE"""),3.0)</f>
        <v>3</v>
      </c>
      <c r="U29" s="9">
        <f>IFERROR(__xludf.DUMMYFUNCTION("""COMPUTED_VALUE"""),0.0)</f>
        <v>0</v>
      </c>
      <c r="V29" s="9">
        <f>IFERROR(__xludf.DUMMYFUNCTION("""COMPUTED_VALUE"""),39.0)</f>
        <v>39</v>
      </c>
      <c r="W29" s="9">
        <f>IFERROR(__xludf.DUMMYFUNCTION("""COMPUTED_VALUE"""),1.0)</f>
        <v>1</v>
      </c>
      <c r="X29" s="9">
        <f>IFERROR(__xludf.DUMMYFUNCTION("""COMPUTED_VALUE"""),26.0)</f>
        <v>26</v>
      </c>
      <c r="Y29" s="9">
        <f>IFERROR(__xludf.DUMMYFUNCTION("""COMPUTED_VALUE"""),48.0)</f>
        <v>48</v>
      </c>
      <c r="Z29" s="9">
        <f>IFERROR(__xludf.DUMMYFUNCTION("""COMPUTED_VALUE"""),4.0)</f>
        <v>4</v>
      </c>
      <c r="AA29" s="9">
        <f>IFERROR(__xludf.DUMMYFUNCTION("""COMPUTED_VALUE"""),0.0)</f>
        <v>0</v>
      </c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</row>
    <row r="30">
      <c r="A30" s="8">
        <f>IFERROR(__xludf.DUMMYFUNCTION("""COMPUTED_VALUE"""),45148.0)</f>
        <v>45148</v>
      </c>
      <c r="B30" s="9">
        <f>IFERROR(__xludf.DUMMYFUNCTION("""COMPUTED_VALUE"""),62.0)</f>
        <v>62</v>
      </c>
      <c r="C30" s="9">
        <f>IFERROR(__xludf.DUMMYFUNCTION("""COMPUTED_VALUE"""),253.0)</f>
        <v>253</v>
      </c>
      <c r="D30" s="9">
        <f>IFERROR(__xludf.DUMMYFUNCTION("""COMPUTED_VALUE"""),4.0)</f>
        <v>4</v>
      </c>
      <c r="E30" s="9">
        <f>IFERROR(__xludf.DUMMYFUNCTION("""COMPUTED_VALUE"""),4255.0)</f>
        <v>4255</v>
      </c>
      <c r="F30" s="9">
        <f>IFERROR(__xludf.DUMMYFUNCTION("""COMPUTED_VALUE"""),69.0)</f>
        <v>69</v>
      </c>
      <c r="G30" s="9">
        <f>IFERROR(__xludf.DUMMYFUNCTION("""COMPUTED_VALUE"""),0.0)</f>
        <v>0</v>
      </c>
      <c r="H30" s="9"/>
      <c r="I30" s="9">
        <f>IFERROR(__xludf.DUMMYFUNCTION("""COMPUTED_VALUE"""),38.0)</f>
        <v>38</v>
      </c>
      <c r="J30" s="9">
        <f>IFERROR(__xludf.DUMMYFUNCTION("""COMPUTED_VALUE"""),10.0)</f>
        <v>10</v>
      </c>
      <c r="K30" s="9">
        <f>IFERROR(__xludf.DUMMYFUNCTION("""COMPUTED_VALUE"""),0.0)</f>
        <v>0</v>
      </c>
      <c r="L30" s="9">
        <f>IFERROR(__xludf.DUMMYFUNCTION("""COMPUTED_VALUE"""),1.0)</f>
        <v>1</v>
      </c>
      <c r="M30" s="9">
        <f>IFERROR(__xludf.DUMMYFUNCTION("""COMPUTED_VALUE"""),49.0)</f>
        <v>49</v>
      </c>
      <c r="N30" s="9">
        <f>IFERROR(__xludf.DUMMYFUNCTION("""COMPUTED_VALUE"""),48.0)</f>
        <v>48</v>
      </c>
      <c r="O30" s="9">
        <f>IFERROR(__xludf.DUMMYFUNCTION("""COMPUTED_VALUE"""),0.0)</f>
        <v>0</v>
      </c>
      <c r="P30" s="9">
        <f>IFERROR(__xludf.DUMMYFUNCTION("""COMPUTED_VALUE"""),13.0)</f>
        <v>13</v>
      </c>
      <c r="Q30" s="9">
        <f>IFERROR(__xludf.DUMMYFUNCTION("""COMPUTED_VALUE"""),28.0)</f>
        <v>28</v>
      </c>
      <c r="R30" s="9">
        <f>IFERROR(__xludf.DUMMYFUNCTION("""COMPUTED_VALUE"""),11.0)</f>
        <v>11</v>
      </c>
      <c r="S30" s="9">
        <f>IFERROR(__xludf.DUMMYFUNCTION("""COMPUTED_VALUE"""),35.0)</f>
        <v>35</v>
      </c>
      <c r="T30" s="9">
        <f>IFERROR(__xludf.DUMMYFUNCTION("""COMPUTED_VALUE"""),3.0)</f>
        <v>3</v>
      </c>
      <c r="U30" s="9">
        <f>IFERROR(__xludf.DUMMYFUNCTION("""COMPUTED_VALUE"""),0.0)</f>
        <v>0</v>
      </c>
      <c r="V30" s="9">
        <f>IFERROR(__xludf.DUMMYFUNCTION("""COMPUTED_VALUE"""),39.0)</f>
        <v>39</v>
      </c>
      <c r="W30" s="9">
        <f>IFERROR(__xludf.DUMMYFUNCTION("""COMPUTED_VALUE"""),0.0)</f>
        <v>0</v>
      </c>
      <c r="X30" s="9">
        <f>IFERROR(__xludf.DUMMYFUNCTION("""COMPUTED_VALUE"""),24.0)</f>
        <v>24</v>
      </c>
      <c r="Y30" s="9">
        <f>IFERROR(__xludf.DUMMYFUNCTION("""COMPUTED_VALUE"""),45.0)</f>
        <v>45</v>
      </c>
      <c r="Z30" s="9">
        <f>IFERROR(__xludf.DUMMYFUNCTION("""COMPUTED_VALUE"""),3.0)</f>
        <v>3</v>
      </c>
      <c r="AA30" s="9">
        <f>IFERROR(__xludf.DUMMYFUNCTION("""COMPUTED_VALUE"""),0.0)</f>
        <v>0</v>
      </c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</row>
    <row r="31">
      <c r="A31" s="8">
        <f>IFERROR(__xludf.DUMMYFUNCTION("""COMPUTED_VALUE"""),45149.0)</f>
        <v>45149</v>
      </c>
      <c r="B31" s="9">
        <f>IFERROR(__xludf.DUMMYFUNCTION("""COMPUTED_VALUE"""),43.0)</f>
        <v>43</v>
      </c>
      <c r="C31" s="9">
        <f>IFERROR(__xludf.DUMMYFUNCTION("""COMPUTED_VALUE"""),154.0)</f>
        <v>154</v>
      </c>
      <c r="D31" s="9">
        <f>IFERROR(__xludf.DUMMYFUNCTION("""COMPUTED_VALUE"""),4.0)</f>
        <v>4</v>
      </c>
      <c r="E31" s="9">
        <f>IFERROR(__xludf.DUMMYFUNCTION("""COMPUTED_VALUE"""),2604.0)</f>
        <v>2604</v>
      </c>
      <c r="F31" s="9">
        <f>IFERROR(__xludf.DUMMYFUNCTION("""COMPUTED_VALUE"""),61.0)</f>
        <v>61</v>
      </c>
      <c r="G31" s="9">
        <f>IFERROR(__xludf.DUMMYFUNCTION("""COMPUTED_VALUE"""),0.0)</f>
        <v>0</v>
      </c>
      <c r="H31" s="9"/>
      <c r="I31" s="9">
        <f>IFERROR(__xludf.DUMMYFUNCTION("""COMPUTED_VALUE"""),32.0)</f>
        <v>32</v>
      </c>
      <c r="J31" s="9">
        <f>IFERROR(__xludf.DUMMYFUNCTION("""COMPUTED_VALUE"""),4.0)</f>
        <v>4</v>
      </c>
      <c r="K31" s="9">
        <f>IFERROR(__xludf.DUMMYFUNCTION("""COMPUTED_VALUE"""),1.0)</f>
        <v>1</v>
      </c>
      <c r="L31" s="9">
        <f>IFERROR(__xludf.DUMMYFUNCTION("""COMPUTED_VALUE"""),0.0)</f>
        <v>0</v>
      </c>
      <c r="M31" s="9">
        <f>IFERROR(__xludf.DUMMYFUNCTION("""COMPUTED_VALUE"""),37.0)</f>
        <v>37</v>
      </c>
      <c r="N31" s="9">
        <f>IFERROR(__xludf.DUMMYFUNCTION("""COMPUTED_VALUE"""),36.0)</f>
        <v>36</v>
      </c>
      <c r="O31" s="9">
        <f>IFERROR(__xludf.DUMMYFUNCTION("""COMPUTED_VALUE"""),0.0)</f>
        <v>0</v>
      </c>
      <c r="P31" s="9">
        <f>IFERROR(__xludf.DUMMYFUNCTION("""COMPUTED_VALUE"""),7.0)</f>
        <v>7</v>
      </c>
      <c r="Q31" s="9">
        <f>IFERROR(__xludf.DUMMYFUNCTION("""COMPUTED_VALUE"""),21.0)</f>
        <v>21</v>
      </c>
      <c r="R31" s="9">
        <f>IFERROR(__xludf.DUMMYFUNCTION("""COMPUTED_VALUE"""),4.0)</f>
        <v>4</v>
      </c>
      <c r="S31" s="9">
        <f>IFERROR(__xludf.DUMMYFUNCTION("""COMPUTED_VALUE"""),15.0)</f>
        <v>15</v>
      </c>
      <c r="T31" s="9">
        <f>IFERROR(__xludf.DUMMYFUNCTION("""COMPUTED_VALUE"""),2.0)</f>
        <v>2</v>
      </c>
      <c r="U31" s="9">
        <f>IFERROR(__xludf.DUMMYFUNCTION("""COMPUTED_VALUE"""),0.0)</f>
        <v>0</v>
      </c>
      <c r="V31" s="9">
        <f>IFERROR(__xludf.DUMMYFUNCTION("""COMPUTED_VALUE"""),25.0)</f>
        <v>25</v>
      </c>
      <c r="W31" s="9">
        <f>IFERROR(__xludf.DUMMYFUNCTION("""COMPUTED_VALUE"""),1.0)</f>
        <v>1</v>
      </c>
      <c r="X31" s="9">
        <f>IFERROR(__xludf.DUMMYFUNCTION("""COMPUTED_VALUE"""),16.0)</f>
        <v>16</v>
      </c>
      <c r="Y31" s="9">
        <f>IFERROR(__xludf.DUMMYFUNCTION("""COMPUTED_VALUE"""),32.0)</f>
        <v>32</v>
      </c>
      <c r="Z31" s="9">
        <f>IFERROR(__xludf.DUMMYFUNCTION("""COMPUTED_VALUE"""),3.0)</f>
        <v>3</v>
      </c>
      <c r="AA31" s="9">
        <f>IFERROR(__xludf.DUMMYFUNCTION("""COMPUTED_VALUE"""),0.0)</f>
        <v>0</v>
      </c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</row>
    <row r="32">
      <c r="A32" s="8">
        <f>IFERROR(__xludf.DUMMYFUNCTION("""COMPUTED_VALUE"""),45150.0)</f>
        <v>45150</v>
      </c>
      <c r="B32" s="9">
        <f>IFERROR(__xludf.DUMMYFUNCTION("""COMPUTED_VALUE"""),27.0)</f>
        <v>27</v>
      </c>
      <c r="C32" s="9">
        <f>IFERROR(__xludf.DUMMYFUNCTION("""COMPUTED_VALUE"""),101.0)</f>
        <v>101</v>
      </c>
      <c r="D32" s="9">
        <f>IFERROR(__xludf.DUMMYFUNCTION("""COMPUTED_VALUE"""),4.0)</f>
        <v>4</v>
      </c>
      <c r="E32" s="9">
        <f>IFERROR(__xludf.DUMMYFUNCTION("""COMPUTED_VALUE"""),1372.0)</f>
        <v>1372</v>
      </c>
      <c r="F32" s="9">
        <f>IFERROR(__xludf.DUMMYFUNCTION("""COMPUTED_VALUE"""),51.0)</f>
        <v>51</v>
      </c>
      <c r="G32" s="9">
        <f>IFERROR(__xludf.DUMMYFUNCTION("""COMPUTED_VALUE"""),0.0)</f>
        <v>0</v>
      </c>
      <c r="H32" s="9"/>
      <c r="I32" s="9">
        <f>IFERROR(__xludf.DUMMYFUNCTION("""COMPUTED_VALUE"""),10.0)</f>
        <v>10</v>
      </c>
      <c r="J32" s="9">
        <f>IFERROR(__xludf.DUMMYFUNCTION("""COMPUTED_VALUE"""),4.0)</f>
        <v>4</v>
      </c>
      <c r="K32" s="9">
        <f>IFERROR(__xludf.DUMMYFUNCTION("""COMPUTED_VALUE"""),3.0)</f>
        <v>3</v>
      </c>
      <c r="L32" s="9">
        <f>IFERROR(__xludf.DUMMYFUNCTION("""COMPUTED_VALUE"""),0.0)</f>
        <v>0</v>
      </c>
      <c r="M32" s="9">
        <f>IFERROR(__xludf.DUMMYFUNCTION("""COMPUTED_VALUE"""),17.0)</f>
        <v>17</v>
      </c>
      <c r="N32" s="9">
        <f>IFERROR(__xludf.DUMMYFUNCTION("""COMPUTED_VALUE"""),22.0)</f>
        <v>22</v>
      </c>
      <c r="O32" s="9">
        <f>IFERROR(__xludf.DUMMYFUNCTION("""COMPUTED_VALUE"""),0.0)</f>
        <v>0</v>
      </c>
      <c r="P32" s="9">
        <f>IFERROR(__xludf.DUMMYFUNCTION("""COMPUTED_VALUE"""),5.0)</f>
        <v>5</v>
      </c>
      <c r="Q32" s="9">
        <f>IFERROR(__xludf.DUMMYFUNCTION("""COMPUTED_VALUE"""),10.0)</f>
        <v>10</v>
      </c>
      <c r="R32" s="9">
        <f>IFERROR(__xludf.DUMMYFUNCTION("""COMPUTED_VALUE"""),3.0)</f>
        <v>3</v>
      </c>
      <c r="S32" s="9">
        <f>IFERROR(__xludf.DUMMYFUNCTION("""COMPUTED_VALUE"""),9.0)</f>
        <v>9</v>
      </c>
      <c r="T32" s="9">
        <f>IFERROR(__xludf.DUMMYFUNCTION("""COMPUTED_VALUE"""),0.0)</f>
        <v>0</v>
      </c>
      <c r="U32" s="9">
        <f>IFERROR(__xludf.DUMMYFUNCTION("""COMPUTED_VALUE"""),0.0)</f>
        <v>0</v>
      </c>
      <c r="V32" s="9">
        <f>IFERROR(__xludf.DUMMYFUNCTION("""COMPUTED_VALUE"""),13.0)</f>
        <v>13</v>
      </c>
      <c r="W32" s="9">
        <f>IFERROR(__xludf.DUMMYFUNCTION("""COMPUTED_VALUE"""),1.0)</f>
        <v>1</v>
      </c>
      <c r="X32" s="9">
        <f>IFERROR(__xludf.DUMMYFUNCTION("""COMPUTED_VALUE"""),9.0)</f>
        <v>9</v>
      </c>
      <c r="Y32" s="9">
        <f>IFERROR(__xludf.DUMMYFUNCTION("""COMPUTED_VALUE"""),16.0)</f>
        <v>16</v>
      </c>
      <c r="Z32" s="9">
        <f>IFERROR(__xludf.DUMMYFUNCTION("""COMPUTED_VALUE"""),1.0)</f>
        <v>1</v>
      </c>
      <c r="AA32" s="9">
        <f>IFERROR(__xludf.DUMMYFUNCTION("""COMPUTED_VALUE"""),0.0)</f>
        <v>0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</row>
    <row r="33">
      <c r="A33" s="8">
        <f>IFERROR(__xludf.DUMMYFUNCTION("""COMPUTED_VALUE"""),45151.0)</f>
        <v>45151</v>
      </c>
      <c r="B33" s="9">
        <f>IFERROR(__xludf.DUMMYFUNCTION("""COMPUTED_VALUE"""),0.0)</f>
        <v>0</v>
      </c>
      <c r="C33" s="9">
        <f>IFERROR(__xludf.DUMMYFUNCTION("""COMPUTED_VALUE"""),0.0)</f>
        <v>0</v>
      </c>
      <c r="D33" s="9">
        <f>IFERROR(__xludf.DUMMYFUNCTION("""COMPUTED_VALUE"""),0.0)</f>
        <v>0</v>
      </c>
      <c r="E33" s="9">
        <f>IFERROR(__xludf.DUMMYFUNCTION("""COMPUTED_VALUE"""),0.0)</f>
        <v>0</v>
      </c>
      <c r="F33" s="9">
        <f>IFERROR(__xludf.DUMMYFUNCTION("""COMPUTED_VALUE"""),0.0)</f>
        <v>0</v>
      </c>
      <c r="G33" s="9">
        <f>IFERROR(__xludf.DUMMYFUNCTION("""COMPUTED_VALUE"""),0.0)</f>
        <v>0</v>
      </c>
      <c r="H33" s="9"/>
      <c r="I33" s="9">
        <f>IFERROR(__xludf.DUMMYFUNCTION("""COMPUTED_VALUE"""),0.0)</f>
        <v>0</v>
      </c>
      <c r="J33" s="9">
        <f>IFERROR(__xludf.DUMMYFUNCTION("""COMPUTED_VALUE"""),0.0)</f>
        <v>0</v>
      </c>
      <c r="K33" s="9">
        <f>IFERROR(__xludf.DUMMYFUNCTION("""COMPUTED_VALUE"""),0.0)</f>
        <v>0</v>
      </c>
      <c r="L33" s="9">
        <f>IFERROR(__xludf.DUMMYFUNCTION("""COMPUTED_VALUE"""),0.0)</f>
        <v>0</v>
      </c>
      <c r="M33" s="9">
        <f>IFERROR(__xludf.DUMMYFUNCTION("""COMPUTED_VALUE"""),0.0)</f>
        <v>0</v>
      </c>
      <c r="N33" s="9">
        <f>IFERROR(__xludf.DUMMYFUNCTION("""COMPUTED_VALUE"""),0.0)</f>
        <v>0</v>
      </c>
      <c r="O33" s="9">
        <f>IFERROR(__xludf.DUMMYFUNCTION("""COMPUTED_VALUE"""),0.0)</f>
        <v>0</v>
      </c>
      <c r="P33" s="9">
        <f>IFERROR(__xludf.DUMMYFUNCTION("""COMPUTED_VALUE"""),0.0)</f>
        <v>0</v>
      </c>
      <c r="Q33" s="9">
        <f>IFERROR(__xludf.DUMMYFUNCTION("""COMPUTED_VALUE"""),0.0)</f>
        <v>0</v>
      </c>
      <c r="R33" s="9">
        <f>IFERROR(__xludf.DUMMYFUNCTION("""COMPUTED_VALUE"""),0.0)</f>
        <v>0</v>
      </c>
      <c r="S33" s="9">
        <f>IFERROR(__xludf.DUMMYFUNCTION("""COMPUTED_VALUE"""),0.0)</f>
        <v>0</v>
      </c>
      <c r="T33" s="9">
        <f>IFERROR(__xludf.DUMMYFUNCTION("""COMPUTED_VALUE"""),0.0)</f>
        <v>0</v>
      </c>
      <c r="U33" s="9">
        <f>IFERROR(__xludf.DUMMYFUNCTION("""COMPUTED_VALUE"""),0.0)</f>
        <v>0</v>
      </c>
      <c r="V33" s="9">
        <f>IFERROR(__xludf.DUMMYFUNCTION("""COMPUTED_VALUE"""),0.0)</f>
        <v>0</v>
      </c>
      <c r="W33" s="9">
        <f>IFERROR(__xludf.DUMMYFUNCTION("""COMPUTED_VALUE"""),0.0)</f>
        <v>0</v>
      </c>
      <c r="X33" s="9">
        <f>IFERROR(__xludf.DUMMYFUNCTION("""COMPUTED_VALUE"""),0.0)</f>
        <v>0</v>
      </c>
      <c r="Y33" s="9">
        <f>IFERROR(__xludf.DUMMYFUNCTION("""COMPUTED_VALUE"""),0.0)</f>
        <v>0</v>
      </c>
      <c r="Z33" s="9">
        <f>IFERROR(__xludf.DUMMYFUNCTION("""COMPUTED_VALUE"""),0.0)</f>
        <v>0</v>
      </c>
      <c r="AA33" s="9">
        <f>IFERROR(__xludf.DUMMYFUNCTION("""COMPUTED_VALUE"""),0.0)</f>
        <v>0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</row>
    <row r="34">
      <c r="A34" s="8">
        <f>IFERROR(__xludf.DUMMYFUNCTION("""COMPUTED_VALUE"""),45152.0)</f>
        <v>45152</v>
      </c>
      <c r="B34" s="9">
        <f>IFERROR(__xludf.DUMMYFUNCTION("""COMPUTED_VALUE"""),34.0)</f>
        <v>34</v>
      </c>
      <c r="C34" s="9">
        <f>IFERROR(__xludf.DUMMYFUNCTION("""COMPUTED_VALUE"""),120.0)</f>
        <v>120</v>
      </c>
      <c r="D34" s="9">
        <f>IFERROR(__xludf.DUMMYFUNCTION("""COMPUTED_VALUE"""),4.0)</f>
        <v>4</v>
      </c>
      <c r="E34" s="9">
        <f>IFERROR(__xludf.DUMMYFUNCTION("""COMPUTED_VALUE"""),2004.0)</f>
        <v>2004</v>
      </c>
      <c r="F34" s="9">
        <f>IFERROR(__xludf.DUMMYFUNCTION("""COMPUTED_VALUE"""),59.0)</f>
        <v>59</v>
      </c>
      <c r="G34" s="9">
        <f>IFERROR(__xludf.DUMMYFUNCTION("""COMPUTED_VALUE"""),0.0)</f>
        <v>0</v>
      </c>
      <c r="H34" s="9"/>
      <c r="I34" s="9">
        <f>IFERROR(__xludf.DUMMYFUNCTION("""COMPUTED_VALUE"""),22.0)</f>
        <v>22</v>
      </c>
      <c r="J34" s="9">
        <f>IFERROR(__xludf.DUMMYFUNCTION("""COMPUTED_VALUE"""),3.0)</f>
        <v>3</v>
      </c>
      <c r="K34" s="9">
        <f>IFERROR(__xludf.DUMMYFUNCTION("""COMPUTED_VALUE"""),2.0)</f>
        <v>2</v>
      </c>
      <c r="L34" s="9">
        <f>IFERROR(__xludf.DUMMYFUNCTION("""COMPUTED_VALUE"""),0.0)</f>
        <v>0</v>
      </c>
      <c r="M34" s="9">
        <f>IFERROR(__xludf.DUMMYFUNCTION("""COMPUTED_VALUE"""),27.0)</f>
        <v>27</v>
      </c>
      <c r="N34" s="9">
        <f>IFERROR(__xludf.DUMMYFUNCTION("""COMPUTED_VALUE"""),26.0)</f>
        <v>26</v>
      </c>
      <c r="O34" s="9">
        <f>IFERROR(__xludf.DUMMYFUNCTION("""COMPUTED_VALUE"""),0.0)</f>
        <v>0</v>
      </c>
      <c r="P34" s="9">
        <f>IFERROR(__xludf.DUMMYFUNCTION("""COMPUTED_VALUE"""),8.0)</f>
        <v>8</v>
      </c>
      <c r="Q34" s="9">
        <f>IFERROR(__xludf.DUMMYFUNCTION("""COMPUTED_VALUE"""),16.0)</f>
        <v>16</v>
      </c>
      <c r="R34" s="9">
        <f>IFERROR(__xludf.DUMMYFUNCTION("""COMPUTED_VALUE"""),4.0)</f>
        <v>4</v>
      </c>
      <c r="S34" s="9">
        <f>IFERROR(__xludf.DUMMYFUNCTION("""COMPUTED_VALUE"""),6.0)</f>
        <v>6</v>
      </c>
      <c r="T34" s="9">
        <f>IFERROR(__xludf.DUMMYFUNCTION("""COMPUTED_VALUE"""),1.0)</f>
        <v>1</v>
      </c>
      <c r="U34" s="9">
        <f>IFERROR(__xludf.DUMMYFUNCTION("""COMPUTED_VALUE"""),0.0)</f>
        <v>0</v>
      </c>
      <c r="V34" s="9">
        <f>IFERROR(__xludf.DUMMYFUNCTION("""COMPUTED_VALUE"""),20.0)</f>
        <v>20</v>
      </c>
      <c r="W34" s="9">
        <f>IFERROR(__xludf.DUMMYFUNCTION("""COMPUTED_VALUE"""),1.0)</f>
        <v>1</v>
      </c>
      <c r="X34" s="9">
        <f>IFERROR(__xludf.DUMMYFUNCTION("""COMPUTED_VALUE"""),18.0)</f>
        <v>18</v>
      </c>
      <c r="Y34" s="9">
        <f>IFERROR(__xludf.DUMMYFUNCTION("""COMPUTED_VALUE"""),24.0)</f>
        <v>24</v>
      </c>
      <c r="Z34" s="9">
        <f>IFERROR(__xludf.DUMMYFUNCTION("""COMPUTED_VALUE"""),2.0)</f>
        <v>2</v>
      </c>
      <c r="AA34" s="9">
        <f>IFERROR(__xludf.DUMMYFUNCTION("""COMPUTED_VALUE"""),0.0)</f>
        <v>0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</row>
    <row r="35">
      <c r="A35" s="8">
        <f>IFERROR(__xludf.DUMMYFUNCTION("""COMPUTED_VALUE"""),45153.0)</f>
        <v>45153</v>
      </c>
      <c r="B35" s="9">
        <f>IFERROR(__xludf.DUMMYFUNCTION("""COMPUTED_VALUE"""),10.0)</f>
        <v>10</v>
      </c>
      <c r="C35" s="9">
        <f>IFERROR(__xludf.DUMMYFUNCTION("""COMPUTED_VALUE"""),43.0)</f>
        <v>43</v>
      </c>
      <c r="D35" s="9">
        <f>IFERROR(__xludf.DUMMYFUNCTION("""COMPUTED_VALUE"""),4.0)</f>
        <v>4</v>
      </c>
      <c r="E35" s="9">
        <f>IFERROR(__xludf.DUMMYFUNCTION("""COMPUTED_VALUE"""),873.0)</f>
        <v>873</v>
      </c>
      <c r="F35" s="9">
        <f>IFERROR(__xludf.DUMMYFUNCTION("""COMPUTED_VALUE"""),87.0)</f>
        <v>87</v>
      </c>
      <c r="G35" s="9">
        <f>IFERROR(__xludf.DUMMYFUNCTION("""COMPUTED_VALUE"""),0.0)</f>
        <v>0</v>
      </c>
      <c r="H35" s="9"/>
      <c r="I35" s="9">
        <f>IFERROR(__xludf.DUMMYFUNCTION("""COMPUTED_VALUE"""),10.0)</f>
        <v>10</v>
      </c>
      <c r="J35" s="9">
        <f>IFERROR(__xludf.DUMMYFUNCTION("""COMPUTED_VALUE"""),0.0)</f>
        <v>0</v>
      </c>
      <c r="K35" s="9">
        <f>IFERROR(__xludf.DUMMYFUNCTION("""COMPUTED_VALUE"""),0.0)</f>
        <v>0</v>
      </c>
      <c r="L35" s="9">
        <f>IFERROR(__xludf.DUMMYFUNCTION("""COMPUTED_VALUE"""),0.0)</f>
        <v>0</v>
      </c>
      <c r="M35" s="9">
        <f>IFERROR(__xludf.DUMMYFUNCTION("""COMPUTED_VALUE"""),10.0)</f>
        <v>10</v>
      </c>
      <c r="N35" s="9">
        <f>IFERROR(__xludf.DUMMYFUNCTION("""COMPUTED_VALUE"""),7.0)</f>
        <v>7</v>
      </c>
      <c r="O35" s="9">
        <f>IFERROR(__xludf.DUMMYFUNCTION("""COMPUTED_VALUE"""),0.0)</f>
        <v>0</v>
      </c>
      <c r="P35" s="9">
        <f>IFERROR(__xludf.DUMMYFUNCTION("""COMPUTED_VALUE"""),3.0)</f>
        <v>3</v>
      </c>
      <c r="Q35" s="9">
        <f>IFERROR(__xludf.DUMMYFUNCTION("""COMPUTED_VALUE"""),4.0)</f>
        <v>4</v>
      </c>
      <c r="R35" s="9">
        <f>IFERROR(__xludf.DUMMYFUNCTION("""COMPUTED_VALUE"""),3.0)</f>
        <v>3</v>
      </c>
      <c r="S35" s="9">
        <f>IFERROR(__xludf.DUMMYFUNCTION("""COMPUTED_VALUE"""),6.0)</f>
        <v>6</v>
      </c>
      <c r="T35" s="9">
        <f>IFERROR(__xludf.DUMMYFUNCTION("""COMPUTED_VALUE"""),0.0)</f>
        <v>0</v>
      </c>
      <c r="U35" s="9">
        <f>IFERROR(__xludf.DUMMYFUNCTION("""COMPUTED_VALUE"""),0.0)</f>
        <v>0</v>
      </c>
      <c r="V35" s="9">
        <f>IFERROR(__xludf.DUMMYFUNCTION("""COMPUTED_VALUE"""),7.0)</f>
        <v>7</v>
      </c>
      <c r="W35" s="9">
        <f>IFERROR(__xludf.DUMMYFUNCTION("""COMPUTED_VALUE"""),0.0)</f>
        <v>0</v>
      </c>
      <c r="X35" s="9">
        <f>IFERROR(__xludf.DUMMYFUNCTION("""COMPUTED_VALUE"""),9.0)</f>
        <v>9</v>
      </c>
      <c r="Y35" s="9">
        <f>IFERROR(__xludf.DUMMYFUNCTION("""COMPUTED_VALUE"""),8.0)</f>
        <v>8</v>
      </c>
      <c r="Z35" s="9">
        <f>IFERROR(__xludf.DUMMYFUNCTION("""COMPUTED_VALUE"""),0.0)</f>
        <v>0</v>
      </c>
      <c r="AA35" s="9">
        <f>IFERROR(__xludf.DUMMYFUNCTION("""COMPUTED_VALUE"""),0.0)</f>
        <v>0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</row>
    <row r="36">
      <c r="A36" s="8">
        <f>IFERROR(__xludf.DUMMYFUNCTION("""COMPUTED_VALUE"""),45154.0)</f>
        <v>45154</v>
      </c>
      <c r="B36" s="9">
        <f>IFERROR(__xludf.DUMMYFUNCTION("""COMPUTED_VALUE"""),42.0)</f>
        <v>42</v>
      </c>
      <c r="C36" s="9">
        <f>IFERROR(__xludf.DUMMYFUNCTION("""COMPUTED_VALUE"""),161.0)</f>
        <v>161</v>
      </c>
      <c r="D36" s="9">
        <f>IFERROR(__xludf.DUMMYFUNCTION("""COMPUTED_VALUE"""),4.0)</f>
        <v>4</v>
      </c>
      <c r="E36" s="9">
        <f>IFERROR(__xludf.DUMMYFUNCTION("""COMPUTED_VALUE"""),3039.0)</f>
        <v>3039</v>
      </c>
      <c r="F36" s="9">
        <f>IFERROR(__xludf.DUMMYFUNCTION("""COMPUTED_VALUE"""),72.0)</f>
        <v>72</v>
      </c>
      <c r="G36" s="9">
        <f>IFERROR(__xludf.DUMMYFUNCTION("""COMPUTED_VALUE"""),0.0)</f>
        <v>0</v>
      </c>
      <c r="H36" s="9"/>
      <c r="I36" s="9">
        <f>IFERROR(__xludf.DUMMYFUNCTION("""COMPUTED_VALUE"""),26.0)</f>
        <v>26</v>
      </c>
      <c r="J36" s="9">
        <f>IFERROR(__xludf.DUMMYFUNCTION("""COMPUTED_VALUE"""),5.0)</f>
        <v>5</v>
      </c>
      <c r="K36" s="9">
        <f>IFERROR(__xludf.DUMMYFUNCTION("""COMPUTED_VALUE"""),2.0)</f>
        <v>2</v>
      </c>
      <c r="L36" s="9">
        <f>IFERROR(__xludf.DUMMYFUNCTION("""COMPUTED_VALUE"""),0.0)</f>
        <v>0</v>
      </c>
      <c r="M36" s="9">
        <f>IFERROR(__xludf.DUMMYFUNCTION("""COMPUTED_VALUE"""),33.0)</f>
        <v>33</v>
      </c>
      <c r="N36" s="9">
        <f>IFERROR(__xludf.DUMMYFUNCTION("""COMPUTED_VALUE"""),26.0)</f>
        <v>26</v>
      </c>
      <c r="O36" s="9">
        <f>IFERROR(__xludf.DUMMYFUNCTION("""COMPUTED_VALUE"""),0.0)</f>
        <v>0</v>
      </c>
      <c r="P36" s="9">
        <f>IFERROR(__xludf.DUMMYFUNCTION("""COMPUTED_VALUE"""),16.0)</f>
        <v>16</v>
      </c>
      <c r="Q36" s="9">
        <f>IFERROR(__xludf.DUMMYFUNCTION("""COMPUTED_VALUE"""),14.0)</f>
        <v>14</v>
      </c>
      <c r="R36" s="9">
        <f>IFERROR(__xludf.DUMMYFUNCTION("""COMPUTED_VALUE"""),10.0)</f>
        <v>10</v>
      </c>
      <c r="S36" s="9">
        <f>IFERROR(__xludf.DUMMYFUNCTION("""COMPUTED_VALUE"""),10.0)</f>
        <v>10</v>
      </c>
      <c r="T36" s="9">
        <f>IFERROR(__xludf.DUMMYFUNCTION("""COMPUTED_VALUE"""),1.0)</f>
        <v>1</v>
      </c>
      <c r="U36" s="9">
        <f>IFERROR(__xludf.DUMMYFUNCTION("""COMPUTED_VALUE"""),0.0)</f>
        <v>0</v>
      </c>
      <c r="V36" s="9">
        <f>IFERROR(__xludf.DUMMYFUNCTION("""COMPUTED_VALUE"""),24.0)</f>
        <v>24</v>
      </c>
      <c r="W36" s="9">
        <f>IFERROR(__xludf.DUMMYFUNCTION("""COMPUTED_VALUE"""),0.0)</f>
        <v>0</v>
      </c>
      <c r="X36" s="9">
        <f>IFERROR(__xludf.DUMMYFUNCTION("""COMPUTED_VALUE"""),35.0)</f>
        <v>35</v>
      </c>
      <c r="Y36" s="9">
        <f>IFERROR(__xludf.DUMMYFUNCTION("""COMPUTED_VALUE"""),29.0)</f>
        <v>29</v>
      </c>
      <c r="Z36" s="9">
        <f>IFERROR(__xludf.DUMMYFUNCTION("""COMPUTED_VALUE"""),1.0)</f>
        <v>1</v>
      </c>
      <c r="AA36" s="9">
        <f>IFERROR(__xludf.DUMMYFUNCTION("""COMPUTED_VALUE"""),0.0)</f>
        <v>0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</row>
    <row r="37">
      <c r="A37" s="8">
        <f>IFERROR(__xludf.DUMMYFUNCTION("""COMPUTED_VALUE"""),45155.0)</f>
        <v>45155</v>
      </c>
      <c r="B37" s="9">
        <f>IFERROR(__xludf.DUMMYFUNCTION("""COMPUTED_VALUE"""),19.0)</f>
        <v>19</v>
      </c>
      <c r="C37" s="9">
        <f>IFERROR(__xludf.DUMMYFUNCTION("""COMPUTED_VALUE"""),91.0)</f>
        <v>91</v>
      </c>
      <c r="D37" s="9">
        <f>IFERROR(__xludf.DUMMYFUNCTION("""COMPUTED_VALUE"""),5.0)</f>
        <v>5</v>
      </c>
      <c r="E37" s="9">
        <f>IFERROR(__xludf.DUMMYFUNCTION("""COMPUTED_VALUE"""),1879.0)</f>
        <v>1879</v>
      </c>
      <c r="F37" s="9">
        <f>IFERROR(__xludf.DUMMYFUNCTION("""COMPUTED_VALUE"""),99.0)</f>
        <v>99</v>
      </c>
      <c r="G37" s="9">
        <f>IFERROR(__xludf.DUMMYFUNCTION("""COMPUTED_VALUE"""),0.0)</f>
        <v>0</v>
      </c>
      <c r="H37" s="9"/>
      <c r="I37" s="9">
        <f>IFERROR(__xludf.DUMMYFUNCTION("""COMPUTED_VALUE"""),17.0)</f>
        <v>17</v>
      </c>
      <c r="J37" s="9">
        <f>IFERROR(__xludf.DUMMYFUNCTION("""COMPUTED_VALUE"""),1.0)</f>
        <v>1</v>
      </c>
      <c r="K37" s="9">
        <f>IFERROR(__xludf.DUMMYFUNCTION("""COMPUTED_VALUE"""),0.0)</f>
        <v>0</v>
      </c>
      <c r="L37" s="9">
        <f>IFERROR(__xludf.DUMMYFUNCTION("""COMPUTED_VALUE"""),0.0)</f>
        <v>0</v>
      </c>
      <c r="M37" s="9">
        <f>IFERROR(__xludf.DUMMYFUNCTION("""COMPUTED_VALUE"""),18.0)</f>
        <v>18</v>
      </c>
      <c r="N37" s="9">
        <f>IFERROR(__xludf.DUMMYFUNCTION("""COMPUTED_VALUE"""),14.0)</f>
        <v>14</v>
      </c>
      <c r="O37" s="9">
        <f>IFERROR(__xludf.DUMMYFUNCTION("""COMPUTED_VALUE"""),1.0)</f>
        <v>1</v>
      </c>
      <c r="P37" s="9">
        <f>IFERROR(__xludf.DUMMYFUNCTION("""COMPUTED_VALUE"""),4.0)</f>
        <v>4</v>
      </c>
      <c r="Q37" s="9">
        <f>IFERROR(__xludf.DUMMYFUNCTION("""COMPUTED_VALUE"""),8.0)</f>
        <v>8</v>
      </c>
      <c r="R37" s="9">
        <f>IFERROR(__xludf.DUMMYFUNCTION("""COMPUTED_VALUE"""),3.0)</f>
        <v>3</v>
      </c>
      <c r="S37" s="9">
        <f>IFERROR(__xludf.DUMMYFUNCTION("""COMPUTED_VALUE"""),10.0)</f>
        <v>10</v>
      </c>
      <c r="T37" s="9">
        <f>IFERROR(__xludf.DUMMYFUNCTION("""COMPUTED_VALUE"""),1.0)</f>
        <v>1</v>
      </c>
      <c r="U37" s="9">
        <f>IFERROR(__xludf.DUMMYFUNCTION("""COMPUTED_VALUE"""),0.0)</f>
        <v>0</v>
      </c>
      <c r="V37" s="9">
        <f>IFERROR(__xludf.DUMMYFUNCTION("""COMPUTED_VALUE"""),12.0)</f>
        <v>12</v>
      </c>
      <c r="W37" s="9">
        <f>IFERROR(__xludf.DUMMYFUNCTION("""COMPUTED_VALUE"""),3.0)</f>
        <v>3</v>
      </c>
      <c r="X37" s="9">
        <f>IFERROR(__xludf.DUMMYFUNCTION("""COMPUTED_VALUE"""),24.0)</f>
        <v>24</v>
      </c>
      <c r="Y37" s="9">
        <f>IFERROR(__xludf.DUMMYFUNCTION("""COMPUTED_VALUE"""),14.0)</f>
        <v>14</v>
      </c>
      <c r="Z37" s="9">
        <f>IFERROR(__xludf.DUMMYFUNCTION("""COMPUTED_VALUE"""),2.0)</f>
        <v>2</v>
      </c>
      <c r="AA37" s="9">
        <f>IFERROR(__xludf.DUMMYFUNCTION("""COMPUTED_VALUE"""),1.0)</f>
        <v>1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</row>
    <row r="38">
      <c r="A38" s="8">
        <f>IFERROR(__xludf.DUMMYFUNCTION("""COMPUTED_VALUE"""),45156.0)</f>
        <v>45156</v>
      </c>
      <c r="B38" s="9">
        <f>IFERROR(__xludf.DUMMYFUNCTION("""COMPUTED_VALUE"""),25.0)</f>
        <v>25</v>
      </c>
      <c r="C38" s="9">
        <f>IFERROR(__xludf.DUMMYFUNCTION("""COMPUTED_VALUE"""),100.0)</f>
        <v>100</v>
      </c>
      <c r="D38" s="9">
        <f>IFERROR(__xludf.DUMMYFUNCTION("""COMPUTED_VALUE"""),4.0)</f>
        <v>4</v>
      </c>
      <c r="E38" s="9">
        <f>IFERROR(__xludf.DUMMYFUNCTION("""COMPUTED_VALUE"""),2028.0)</f>
        <v>2028</v>
      </c>
      <c r="F38" s="9">
        <f>IFERROR(__xludf.DUMMYFUNCTION("""COMPUTED_VALUE"""),81.0)</f>
        <v>81</v>
      </c>
      <c r="G38" s="9">
        <f>IFERROR(__xludf.DUMMYFUNCTION("""COMPUTED_VALUE"""),0.0)</f>
        <v>0</v>
      </c>
      <c r="H38" s="9"/>
      <c r="I38" s="9">
        <f>IFERROR(__xludf.DUMMYFUNCTION("""COMPUTED_VALUE"""),16.0)</f>
        <v>16</v>
      </c>
      <c r="J38" s="9">
        <f>IFERROR(__xludf.DUMMYFUNCTION("""COMPUTED_VALUE"""),3.0)</f>
        <v>3</v>
      </c>
      <c r="K38" s="9">
        <f>IFERROR(__xludf.DUMMYFUNCTION("""COMPUTED_VALUE"""),1.0)</f>
        <v>1</v>
      </c>
      <c r="L38" s="9">
        <f>IFERROR(__xludf.DUMMYFUNCTION("""COMPUTED_VALUE"""),0.0)</f>
        <v>0</v>
      </c>
      <c r="M38" s="9">
        <f>IFERROR(__xludf.DUMMYFUNCTION("""COMPUTED_VALUE"""),20.0)</f>
        <v>20</v>
      </c>
      <c r="N38" s="9">
        <f>IFERROR(__xludf.DUMMYFUNCTION("""COMPUTED_VALUE"""),12.0)</f>
        <v>12</v>
      </c>
      <c r="O38" s="9">
        <f>IFERROR(__xludf.DUMMYFUNCTION("""COMPUTED_VALUE"""),2.0)</f>
        <v>2</v>
      </c>
      <c r="P38" s="9">
        <f>IFERROR(__xludf.DUMMYFUNCTION("""COMPUTED_VALUE"""),11.0)</f>
        <v>11</v>
      </c>
      <c r="Q38" s="9">
        <f>IFERROR(__xludf.DUMMYFUNCTION("""COMPUTED_VALUE"""),9.0)</f>
        <v>9</v>
      </c>
      <c r="R38" s="9">
        <f>IFERROR(__xludf.DUMMYFUNCTION("""COMPUTED_VALUE"""),6.0)</f>
        <v>6</v>
      </c>
      <c r="S38" s="9">
        <f>IFERROR(__xludf.DUMMYFUNCTION("""COMPUTED_VALUE"""),8.0)</f>
        <v>8</v>
      </c>
      <c r="T38" s="9">
        <f>IFERROR(__xludf.DUMMYFUNCTION("""COMPUTED_VALUE"""),0.0)</f>
        <v>0</v>
      </c>
      <c r="U38" s="9">
        <f>IFERROR(__xludf.DUMMYFUNCTION("""COMPUTED_VALUE"""),0.0)</f>
        <v>0</v>
      </c>
      <c r="V38" s="9">
        <f>IFERROR(__xludf.DUMMYFUNCTION("""COMPUTED_VALUE"""),16.0)</f>
        <v>16</v>
      </c>
      <c r="W38" s="9">
        <f>IFERROR(__xludf.DUMMYFUNCTION("""COMPUTED_VALUE"""),2.0)</f>
        <v>2</v>
      </c>
      <c r="X38" s="9">
        <f>IFERROR(__xludf.DUMMYFUNCTION("""COMPUTED_VALUE"""),22.0)</f>
        <v>22</v>
      </c>
      <c r="Y38" s="9">
        <f>IFERROR(__xludf.DUMMYFUNCTION("""COMPUTED_VALUE"""),19.0)</f>
        <v>19</v>
      </c>
      <c r="Z38" s="9">
        <f>IFERROR(__xludf.DUMMYFUNCTION("""COMPUTED_VALUE"""),2.0)</f>
        <v>2</v>
      </c>
      <c r="AA38" s="9">
        <f>IFERROR(__xludf.DUMMYFUNCTION("""COMPUTED_VALUE"""),1.0)</f>
        <v>1</v>
      </c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</row>
    <row r="39">
      <c r="A39" s="8">
        <f>IFERROR(__xludf.DUMMYFUNCTION("""COMPUTED_VALUE"""),45157.0)</f>
        <v>45157</v>
      </c>
      <c r="B39" s="9">
        <f>IFERROR(__xludf.DUMMYFUNCTION("""COMPUTED_VALUE"""),20.0)</f>
        <v>20</v>
      </c>
      <c r="C39" s="9">
        <f>IFERROR(__xludf.DUMMYFUNCTION("""COMPUTED_VALUE"""),104.0)</f>
        <v>104</v>
      </c>
      <c r="D39" s="9">
        <f>IFERROR(__xludf.DUMMYFUNCTION("""COMPUTED_VALUE"""),5.0)</f>
        <v>5</v>
      </c>
      <c r="E39" s="9">
        <f>IFERROR(__xludf.DUMMYFUNCTION("""COMPUTED_VALUE"""),2511.0)</f>
        <v>2511</v>
      </c>
      <c r="F39" s="9">
        <f>IFERROR(__xludf.DUMMYFUNCTION("""COMPUTED_VALUE"""),126.0)</f>
        <v>126</v>
      </c>
      <c r="G39" s="9">
        <f>IFERROR(__xludf.DUMMYFUNCTION("""COMPUTED_VALUE"""),0.0)</f>
        <v>0</v>
      </c>
      <c r="H39" s="9"/>
      <c r="I39" s="9">
        <f>IFERROR(__xludf.DUMMYFUNCTION("""COMPUTED_VALUE"""),16.0)</f>
        <v>16</v>
      </c>
      <c r="J39" s="9">
        <f>IFERROR(__xludf.DUMMYFUNCTION("""COMPUTED_VALUE"""),2.0)</f>
        <v>2</v>
      </c>
      <c r="K39" s="9">
        <f>IFERROR(__xludf.DUMMYFUNCTION("""COMPUTED_VALUE"""),0.0)</f>
        <v>0</v>
      </c>
      <c r="L39" s="9">
        <f>IFERROR(__xludf.DUMMYFUNCTION("""COMPUTED_VALUE"""),0.0)</f>
        <v>0</v>
      </c>
      <c r="M39" s="9">
        <f>IFERROR(__xludf.DUMMYFUNCTION("""COMPUTED_VALUE"""),18.0)</f>
        <v>18</v>
      </c>
      <c r="N39" s="9">
        <f>IFERROR(__xludf.DUMMYFUNCTION("""COMPUTED_VALUE"""),13.0)</f>
        <v>13</v>
      </c>
      <c r="O39" s="9">
        <f>IFERROR(__xludf.DUMMYFUNCTION("""COMPUTED_VALUE"""),0.0)</f>
        <v>0</v>
      </c>
      <c r="P39" s="9">
        <f>IFERROR(__xludf.DUMMYFUNCTION("""COMPUTED_VALUE"""),7.0)</f>
        <v>7</v>
      </c>
      <c r="Q39" s="9">
        <f>IFERROR(__xludf.DUMMYFUNCTION("""COMPUTED_VALUE"""),9.0)</f>
        <v>9</v>
      </c>
      <c r="R39" s="9">
        <f>IFERROR(__xludf.DUMMYFUNCTION("""COMPUTED_VALUE"""),5.0)</f>
        <v>5</v>
      </c>
      <c r="S39" s="9">
        <f>IFERROR(__xludf.DUMMYFUNCTION("""COMPUTED_VALUE"""),6.0)</f>
        <v>6</v>
      </c>
      <c r="T39" s="9">
        <f>IFERROR(__xludf.DUMMYFUNCTION("""COMPUTED_VALUE"""),0.0)</f>
        <v>0</v>
      </c>
      <c r="U39" s="9">
        <f>IFERROR(__xludf.DUMMYFUNCTION("""COMPUTED_VALUE"""),0.0)</f>
        <v>0</v>
      </c>
      <c r="V39" s="9">
        <f>IFERROR(__xludf.DUMMYFUNCTION("""COMPUTED_VALUE"""),14.0)</f>
        <v>14</v>
      </c>
      <c r="W39" s="9">
        <f>IFERROR(__xludf.DUMMYFUNCTION("""COMPUTED_VALUE"""),0.0)</f>
        <v>0</v>
      </c>
      <c r="X39" s="9">
        <f>IFERROR(__xludf.DUMMYFUNCTION("""COMPUTED_VALUE"""),43.0)</f>
        <v>43</v>
      </c>
      <c r="Y39" s="9">
        <f>IFERROR(__xludf.DUMMYFUNCTION("""COMPUTED_VALUE"""),15.0)</f>
        <v>15</v>
      </c>
      <c r="Z39" s="9">
        <f>IFERROR(__xludf.DUMMYFUNCTION("""COMPUTED_VALUE"""),0.0)</f>
        <v>0</v>
      </c>
      <c r="AA39" s="9">
        <f>IFERROR(__xludf.DUMMYFUNCTION("""COMPUTED_VALUE"""),0.0)</f>
        <v>0</v>
      </c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</row>
    <row r="40">
      <c r="A40" s="8">
        <f>IFERROR(__xludf.DUMMYFUNCTION("""COMPUTED_VALUE"""),45158.0)</f>
        <v>45158</v>
      </c>
      <c r="B40" s="9">
        <f>IFERROR(__xludf.DUMMYFUNCTION("""COMPUTED_VALUE"""),0.0)</f>
        <v>0</v>
      </c>
      <c r="C40" s="9">
        <f>IFERROR(__xludf.DUMMYFUNCTION("""COMPUTED_VALUE"""),0.0)</f>
        <v>0</v>
      </c>
      <c r="D40" s="9">
        <f>IFERROR(__xludf.DUMMYFUNCTION("""COMPUTED_VALUE"""),0.0)</f>
        <v>0</v>
      </c>
      <c r="E40" s="9">
        <f>IFERROR(__xludf.DUMMYFUNCTION("""COMPUTED_VALUE"""),0.0)</f>
        <v>0</v>
      </c>
      <c r="F40" s="9">
        <f>IFERROR(__xludf.DUMMYFUNCTION("""COMPUTED_VALUE"""),0.0)</f>
        <v>0</v>
      </c>
      <c r="G40" s="9">
        <f>IFERROR(__xludf.DUMMYFUNCTION("""COMPUTED_VALUE"""),0.0)</f>
        <v>0</v>
      </c>
      <c r="H40" s="9"/>
      <c r="I40" s="9">
        <f>IFERROR(__xludf.DUMMYFUNCTION("""COMPUTED_VALUE"""),0.0)</f>
        <v>0</v>
      </c>
      <c r="J40" s="9">
        <f>IFERROR(__xludf.DUMMYFUNCTION("""COMPUTED_VALUE"""),0.0)</f>
        <v>0</v>
      </c>
      <c r="K40" s="9">
        <f>IFERROR(__xludf.DUMMYFUNCTION("""COMPUTED_VALUE"""),0.0)</f>
        <v>0</v>
      </c>
      <c r="L40" s="9">
        <f>IFERROR(__xludf.DUMMYFUNCTION("""COMPUTED_VALUE"""),0.0)</f>
        <v>0</v>
      </c>
      <c r="M40" s="9">
        <f>IFERROR(__xludf.DUMMYFUNCTION("""COMPUTED_VALUE"""),0.0)</f>
        <v>0</v>
      </c>
      <c r="N40" s="9">
        <f>IFERROR(__xludf.DUMMYFUNCTION("""COMPUTED_VALUE"""),0.0)</f>
        <v>0</v>
      </c>
      <c r="O40" s="9">
        <f>IFERROR(__xludf.DUMMYFUNCTION("""COMPUTED_VALUE"""),0.0)</f>
        <v>0</v>
      </c>
      <c r="P40" s="9">
        <f>IFERROR(__xludf.DUMMYFUNCTION("""COMPUTED_VALUE"""),0.0)</f>
        <v>0</v>
      </c>
      <c r="Q40" s="9">
        <f>IFERROR(__xludf.DUMMYFUNCTION("""COMPUTED_VALUE"""),0.0)</f>
        <v>0</v>
      </c>
      <c r="R40" s="9">
        <f>IFERROR(__xludf.DUMMYFUNCTION("""COMPUTED_VALUE"""),0.0)</f>
        <v>0</v>
      </c>
      <c r="S40" s="9">
        <f>IFERROR(__xludf.DUMMYFUNCTION("""COMPUTED_VALUE"""),0.0)</f>
        <v>0</v>
      </c>
      <c r="T40" s="9">
        <f>IFERROR(__xludf.DUMMYFUNCTION("""COMPUTED_VALUE"""),0.0)</f>
        <v>0</v>
      </c>
      <c r="U40" s="9">
        <f>IFERROR(__xludf.DUMMYFUNCTION("""COMPUTED_VALUE"""),0.0)</f>
        <v>0</v>
      </c>
      <c r="V40" s="9">
        <f>IFERROR(__xludf.DUMMYFUNCTION("""COMPUTED_VALUE"""),0.0)</f>
        <v>0</v>
      </c>
      <c r="W40" s="9">
        <f>IFERROR(__xludf.DUMMYFUNCTION("""COMPUTED_VALUE"""),0.0)</f>
        <v>0</v>
      </c>
      <c r="X40" s="9">
        <f>IFERROR(__xludf.DUMMYFUNCTION("""COMPUTED_VALUE"""),0.0)</f>
        <v>0</v>
      </c>
      <c r="Y40" s="9">
        <f>IFERROR(__xludf.DUMMYFUNCTION("""COMPUTED_VALUE"""),0.0)</f>
        <v>0</v>
      </c>
      <c r="Z40" s="9">
        <f>IFERROR(__xludf.DUMMYFUNCTION("""COMPUTED_VALUE"""),0.0)</f>
        <v>0</v>
      </c>
      <c r="AA40" s="9">
        <f>IFERROR(__xludf.DUMMYFUNCTION("""COMPUTED_VALUE"""),0.0)</f>
        <v>0</v>
      </c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</row>
    <row r="41">
      <c r="A41" s="8">
        <f>IFERROR(__xludf.DUMMYFUNCTION("""COMPUTED_VALUE"""),45159.0)</f>
        <v>45159</v>
      </c>
      <c r="B41" s="9">
        <f>IFERROR(__xludf.DUMMYFUNCTION("""COMPUTED_VALUE"""),31.0)</f>
        <v>31</v>
      </c>
      <c r="C41" s="9">
        <f>IFERROR(__xludf.DUMMYFUNCTION("""COMPUTED_VALUE"""),139.0)</f>
        <v>139</v>
      </c>
      <c r="D41" s="9">
        <f>IFERROR(__xludf.DUMMYFUNCTION("""COMPUTED_VALUE"""),4.0)</f>
        <v>4</v>
      </c>
      <c r="E41" s="9">
        <f>IFERROR(__xludf.DUMMYFUNCTION("""COMPUTED_VALUE"""),2283.0)</f>
        <v>2283</v>
      </c>
      <c r="F41" s="9">
        <f>IFERROR(__xludf.DUMMYFUNCTION("""COMPUTED_VALUE"""),74.0)</f>
        <v>74</v>
      </c>
      <c r="G41" s="9">
        <f>IFERROR(__xludf.DUMMYFUNCTION("""COMPUTED_VALUE"""),0.0)</f>
        <v>0</v>
      </c>
      <c r="H41" s="9"/>
      <c r="I41" s="9">
        <f>IFERROR(__xludf.DUMMYFUNCTION("""COMPUTED_VALUE"""),23.0)</f>
        <v>23</v>
      </c>
      <c r="J41" s="9">
        <f>IFERROR(__xludf.DUMMYFUNCTION("""COMPUTED_VALUE"""),4.0)</f>
        <v>4</v>
      </c>
      <c r="K41" s="9">
        <f>IFERROR(__xludf.DUMMYFUNCTION("""COMPUTED_VALUE"""),0.0)</f>
        <v>0</v>
      </c>
      <c r="L41" s="9">
        <f>IFERROR(__xludf.DUMMYFUNCTION("""COMPUTED_VALUE"""),0.0)</f>
        <v>0</v>
      </c>
      <c r="M41" s="9">
        <f>IFERROR(__xludf.DUMMYFUNCTION("""COMPUTED_VALUE"""),27.0)</f>
        <v>27</v>
      </c>
      <c r="N41" s="9">
        <f>IFERROR(__xludf.DUMMYFUNCTION("""COMPUTED_VALUE"""),22.0)</f>
        <v>22</v>
      </c>
      <c r="O41" s="9">
        <f>IFERROR(__xludf.DUMMYFUNCTION("""COMPUTED_VALUE"""),1.0)</f>
        <v>1</v>
      </c>
      <c r="P41" s="9">
        <f>IFERROR(__xludf.DUMMYFUNCTION("""COMPUTED_VALUE"""),7.0)</f>
        <v>7</v>
      </c>
      <c r="Q41" s="9">
        <f>IFERROR(__xludf.DUMMYFUNCTION("""COMPUTED_VALUE"""),14.0)</f>
        <v>14</v>
      </c>
      <c r="R41" s="9">
        <f>IFERROR(__xludf.DUMMYFUNCTION("""COMPUTED_VALUE"""),5.0)</f>
        <v>5</v>
      </c>
      <c r="S41" s="9">
        <f>IFERROR(__xludf.DUMMYFUNCTION("""COMPUTED_VALUE"""),12.0)</f>
        <v>12</v>
      </c>
      <c r="T41" s="9">
        <f>IFERROR(__xludf.DUMMYFUNCTION("""COMPUTED_VALUE"""),0.0)</f>
        <v>0</v>
      </c>
      <c r="U41" s="9">
        <f>IFERROR(__xludf.DUMMYFUNCTION("""COMPUTED_VALUE"""),0.0)</f>
        <v>0</v>
      </c>
      <c r="V41" s="9">
        <f>IFERROR(__xludf.DUMMYFUNCTION("""COMPUTED_VALUE"""),19.0)</f>
        <v>19</v>
      </c>
      <c r="W41" s="9">
        <f>IFERROR(__xludf.DUMMYFUNCTION("""COMPUTED_VALUE"""),0.0)</f>
        <v>0</v>
      </c>
      <c r="X41" s="9">
        <f>IFERROR(__xludf.DUMMYFUNCTION("""COMPUTED_VALUE"""),26.0)</f>
        <v>26</v>
      </c>
      <c r="Y41" s="9">
        <f>IFERROR(__xludf.DUMMYFUNCTION("""COMPUTED_VALUE"""),20.0)</f>
        <v>20</v>
      </c>
      <c r="Z41" s="9">
        <f>IFERROR(__xludf.DUMMYFUNCTION("""COMPUTED_VALUE"""),0.0)</f>
        <v>0</v>
      </c>
      <c r="AA41" s="9">
        <f>IFERROR(__xludf.DUMMYFUNCTION("""COMPUTED_VALUE"""),0.0)</f>
        <v>0</v>
      </c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</row>
    <row r="42">
      <c r="A42" s="8">
        <f>IFERROR(__xludf.DUMMYFUNCTION("""COMPUTED_VALUE"""),45160.0)</f>
        <v>45160</v>
      </c>
      <c r="B42" s="9">
        <f>IFERROR(__xludf.DUMMYFUNCTION("""COMPUTED_VALUE"""),29.0)</f>
        <v>29</v>
      </c>
      <c r="C42" s="9">
        <f>IFERROR(__xludf.DUMMYFUNCTION("""COMPUTED_VALUE"""),97.0)</f>
        <v>97</v>
      </c>
      <c r="D42" s="9">
        <f>IFERROR(__xludf.DUMMYFUNCTION("""COMPUTED_VALUE"""),3.0)</f>
        <v>3</v>
      </c>
      <c r="E42" s="9">
        <f>IFERROR(__xludf.DUMMYFUNCTION("""COMPUTED_VALUE"""),1502.0)</f>
        <v>1502</v>
      </c>
      <c r="F42" s="9">
        <f>IFERROR(__xludf.DUMMYFUNCTION("""COMPUTED_VALUE"""),52.0)</f>
        <v>52</v>
      </c>
      <c r="G42" s="9">
        <f>IFERROR(__xludf.DUMMYFUNCTION("""COMPUTED_VALUE"""),0.0)</f>
        <v>0</v>
      </c>
      <c r="H42" s="9"/>
      <c r="I42" s="9">
        <f>IFERROR(__xludf.DUMMYFUNCTION("""COMPUTED_VALUE"""),20.0)</f>
        <v>20</v>
      </c>
      <c r="J42" s="9">
        <f>IFERROR(__xludf.DUMMYFUNCTION("""COMPUTED_VALUE"""),3.0)</f>
        <v>3</v>
      </c>
      <c r="K42" s="9">
        <f>IFERROR(__xludf.DUMMYFUNCTION("""COMPUTED_VALUE"""),1.0)</f>
        <v>1</v>
      </c>
      <c r="L42" s="9">
        <f>IFERROR(__xludf.DUMMYFUNCTION("""COMPUTED_VALUE"""),0.0)</f>
        <v>0</v>
      </c>
      <c r="M42" s="9">
        <f>IFERROR(__xludf.DUMMYFUNCTION("""COMPUTED_VALUE"""),24.0)</f>
        <v>24</v>
      </c>
      <c r="N42" s="9">
        <f>IFERROR(__xludf.DUMMYFUNCTION("""COMPUTED_VALUE"""),17.0)</f>
        <v>17</v>
      </c>
      <c r="O42" s="9">
        <f>IFERROR(__xludf.DUMMYFUNCTION("""COMPUTED_VALUE"""),0.0)</f>
        <v>0</v>
      </c>
      <c r="P42" s="9">
        <f>IFERROR(__xludf.DUMMYFUNCTION("""COMPUTED_VALUE"""),12.0)</f>
        <v>12</v>
      </c>
      <c r="Q42" s="9">
        <f>IFERROR(__xludf.DUMMYFUNCTION("""COMPUTED_VALUE"""),7.0)</f>
        <v>7</v>
      </c>
      <c r="R42" s="9">
        <f>IFERROR(__xludf.DUMMYFUNCTION("""COMPUTED_VALUE"""),6.0)</f>
        <v>6</v>
      </c>
      <c r="S42" s="9">
        <f>IFERROR(__xludf.DUMMYFUNCTION("""COMPUTED_VALUE"""),8.0)</f>
        <v>8</v>
      </c>
      <c r="T42" s="9">
        <f>IFERROR(__xludf.DUMMYFUNCTION("""COMPUTED_VALUE"""),0.0)</f>
        <v>0</v>
      </c>
      <c r="U42" s="9">
        <f>IFERROR(__xludf.DUMMYFUNCTION("""COMPUTED_VALUE"""),0.0)</f>
        <v>0</v>
      </c>
      <c r="V42" s="9">
        <f>IFERROR(__xludf.DUMMYFUNCTION("""COMPUTED_VALUE"""),13.0)</f>
        <v>13</v>
      </c>
      <c r="W42" s="9">
        <f>IFERROR(__xludf.DUMMYFUNCTION("""COMPUTED_VALUE"""),0.0)</f>
        <v>0</v>
      </c>
      <c r="X42" s="9">
        <f>IFERROR(__xludf.DUMMYFUNCTION("""COMPUTED_VALUE"""),9.0)</f>
        <v>9</v>
      </c>
      <c r="Y42" s="9">
        <f>IFERROR(__xludf.DUMMYFUNCTION("""COMPUTED_VALUE"""),17.0)</f>
        <v>17</v>
      </c>
      <c r="Z42" s="9">
        <f>IFERROR(__xludf.DUMMYFUNCTION("""COMPUTED_VALUE"""),0.0)</f>
        <v>0</v>
      </c>
      <c r="AA42" s="9">
        <f>IFERROR(__xludf.DUMMYFUNCTION("""COMPUTED_VALUE"""),0.0)</f>
        <v>0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</row>
    <row r="43">
      <c r="A43" s="8">
        <f>IFERROR(__xludf.DUMMYFUNCTION("""COMPUTED_VALUE"""),45161.0)</f>
        <v>45161</v>
      </c>
      <c r="B43" s="9">
        <f>IFERROR(__xludf.DUMMYFUNCTION("""COMPUTED_VALUE"""),42.0)</f>
        <v>42</v>
      </c>
      <c r="C43" s="9">
        <f>IFERROR(__xludf.DUMMYFUNCTION("""COMPUTED_VALUE"""),155.0)</f>
        <v>155</v>
      </c>
      <c r="D43" s="9">
        <f>IFERROR(__xludf.DUMMYFUNCTION("""COMPUTED_VALUE"""),4.0)</f>
        <v>4</v>
      </c>
      <c r="E43" s="9">
        <f>IFERROR(__xludf.DUMMYFUNCTION("""COMPUTED_VALUE"""),2682.0)</f>
        <v>2682</v>
      </c>
      <c r="F43" s="9">
        <f>IFERROR(__xludf.DUMMYFUNCTION("""COMPUTED_VALUE"""),64.0)</f>
        <v>64</v>
      </c>
      <c r="G43" s="9">
        <f>IFERROR(__xludf.DUMMYFUNCTION("""COMPUTED_VALUE"""),0.0)</f>
        <v>0</v>
      </c>
      <c r="H43" s="9"/>
      <c r="I43" s="9">
        <f>IFERROR(__xludf.DUMMYFUNCTION("""COMPUTED_VALUE"""),24.0)</f>
        <v>24</v>
      </c>
      <c r="J43" s="9">
        <f>IFERROR(__xludf.DUMMYFUNCTION("""COMPUTED_VALUE"""),7.0)</f>
        <v>7</v>
      </c>
      <c r="K43" s="9">
        <f>IFERROR(__xludf.DUMMYFUNCTION("""COMPUTED_VALUE"""),0.0)</f>
        <v>0</v>
      </c>
      <c r="L43" s="9">
        <f>IFERROR(__xludf.DUMMYFUNCTION("""COMPUTED_VALUE"""),1.0)</f>
        <v>1</v>
      </c>
      <c r="M43" s="9">
        <f>IFERROR(__xludf.DUMMYFUNCTION("""COMPUTED_VALUE"""),32.0)</f>
        <v>32</v>
      </c>
      <c r="N43" s="9">
        <f>IFERROR(__xludf.DUMMYFUNCTION("""COMPUTED_VALUE"""),33.0)</f>
        <v>33</v>
      </c>
      <c r="O43" s="9">
        <f>IFERROR(__xludf.DUMMYFUNCTION("""COMPUTED_VALUE"""),0.0)</f>
        <v>0</v>
      </c>
      <c r="P43" s="9">
        <f>IFERROR(__xludf.DUMMYFUNCTION("""COMPUTED_VALUE"""),9.0)</f>
        <v>9</v>
      </c>
      <c r="Q43" s="9">
        <f>IFERROR(__xludf.DUMMYFUNCTION("""COMPUTED_VALUE"""),23.0)</f>
        <v>23</v>
      </c>
      <c r="R43" s="9">
        <f>IFERROR(__xludf.DUMMYFUNCTION("""COMPUTED_VALUE"""),7.0)</f>
        <v>7</v>
      </c>
      <c r="S43" s="9">
        <f>IFERROR(__xludf.DUMMYFUNCTION("""COMPUTED_VALUE"""),16.0)</f>
        <v>16</v>
      </c>
      <c r="T43" s="9">
        <f>IFERROR(__xludf.DUMMYFUNCTION("""COMPUTED_VALUE"""),3.0)</f>
        <v>3</v>
      </c>
      <c r="U43" s="9">
        <f>IFERROR(__xludf.DUMMYFUNCTION("""COMPUTED_VALUE"""),0.0)</f>
        <v>0</v>
      </c>
      <c r="V43" s="9">
        <f>IFERROR(__xludf.DUMMYFUNCTION("""COMPUTED_VALUE"""),30.0)</f>
        <v>30</v>
      </c>
      <c r="W43" s="9">
        <f>IFERROR(__xludf.DUMMYFUNCTION("""COMPUTED_VALUE"""),1.0)</f>
        <v>1</v>
      </c>
      <c r="X43" s="9">
        <f>IFERROR(__xludf.DUMMYFUNCTION("""COMPUTED_VALUE"""),15.0)</f>
        <v>15</v>
      </c>
      <c r="Y43" s="9">
        <f>IFERROR(__xludf.DUMMYFUNCTION("""COMPUTED_VALUE"""),33.0)</f>
        <v>33</v>
      </c>
      <c r="Z43" s="9">
        <f>IFERROR(__xludf.DUMMYFUNCTION("""COMPUTED_VALUE"""),4.0)</f>
        <v>4</v>
      </c>
      <c r="AA43" s="9">
        <f>IFERROR(__xludf.DUMMYFUNCTION("""COMPUTED_VALUE"""),0.0)</f>
        <v>0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</row>
    <row r="44">
      <c r="A44" s="8">
        <f>IFERROR(__xludf.DUMMYFUNCTION("""COMPUTED_VALUE"""),45162.0)</f>
        <v>45162</v>
      </c>
      <c r="B44" s="9">
        <f>IFERROR(__xludf.DUMMYFUNCTION("""COMPUTED_VALUE"""),23.0)</f>
        <v>23</v>
      </c>
      <c r="C44" s="9">
        <f>IFERROR(__xludf.DUMMYFUNCTION("""COMPUTED_VALUE"""),88.0)</f>
        <v>88</v>
      </c>
      <c r="D44" s="9">
        <f>IFERROR(__xludf.DUMMYFUNCTION("""COMPUTED_VALUE"""),4.0)</f>
        <v>4</v>
      </c>
      <c r="E44" s="9">
        <f>IFERROR(__xludf.DUMMYFUNCTION("""COMPUTED_VALUE"""),1527.0)</f>
        <v>1527</v>
      </c>
      <c r="F44" s="9">
        <f>IFERROR(__xludf.DUMMYFUNCTION("""COMPUTED_VALUE"""),66.0)</f>
        <v>66</v>
      </c>
      <c r="G44" s="9">
        <f>IFERROR(__xludf.DUMMYFUNCTION("""COMPUTED_VALUE"""),0.0)</f>
        <v>0</v>
      </c>
      <c r="H44" s="9"/>
      <c r="I44" s="9">
        <f>IFERROR(__xludf.DUMMYFUNCTION("""COMPUTED_VALUE"""),14.0)</f>
        <v>14</v>
      </c>
      <c r="J44" s="9">
        <f>IFERROR(__xludf.DUMMYFUNCTION("""COMPUTED_VALUE"""),3.0)</f>
        <v>3</v>
      </c>
      <c r="K44" s="9">
        <f>IFERROR(__xludf.DUMMYFUNCTION("""COMPUTED_VALUE"""),1.0)</f>
        <v>1</v>
      </c>
      <c r="L44" s="9">
        <f>IFERROR(__xludf.DUMMYFUNCTION("""COMPUTED_VALUE"""),0.0)</f>
        <v>0</v>
      </c>
      <c r="M44" s="9">
        <f>IFERROR(__xludf.DUMMYFUNCTION("""COMPUTED_VALUE"""),18.0)</f>
        <v>18</v>
      </c>
      <c r="N44" s="9">
        <f>IFERROR(__xludf.DUMMYFUNCTION("""COMPUTED_VALUE"""),16.0)</f>
        <v>16</v>
      </c>
      <c r="O44" s="9">
        <f>IFERROR(__xludf.DUMMYFUNCTION("""COMPUTED_VALUE"""),1.0)</f>
        <v>1</v>
      </c>
      <c r="P44" s="9">
        <f>IFERROR(__xludf.DUMMYFUNCTION("""COMPUTED_VALUE"""),6.0)</f>
        <v>6</v>
      </c>
      <c r="Q44" s="9">
        <f>IFERROR(__xludf.DUMMYFUNCTION("""COMPUTED_VALUE"""),11.0)</f>
        <v>11</v>
      </c>
      <c r="R44" s="9">
        <f>IFERROR(__xludf.DUMMYFUNCTION("""COMPUTED_VALUE"""),4.0)</f>
        <v>4</v>
      </c>
      <c r="S44" s="9">
        <f>IFERROR(__xludf.DUMMYFUNCTION("""COMPUTED_VALUE"""),6.0)</f>
        <v>6</v>
      </c>
      <c r="T44" s="9">
        <f>IFERROR(__xludf.DUMMYFUNCTION("""COMPUTED_VALUE"""),0.0)</f>
        <v>0</v>
      </c>
      <c r="U44" s="9">
        <f>IFERROR(__xludf.DUMMYFUNCTION("""COMPUTED_VALUE"""),0.0)</f>
        <v>0</v>
      </c>
      <c r="V44" s="9">
        <f>IFERROR(__xludf.DUMMYFUNCTION("""COMPUTED_VALUE"""),16.0)</f>
        <v>16</v>
      </c>
      <c r="W44" s="9">
        <f>IFERROR(__xludf.DUMMYFUNCTION("""COMPUTED_VALUE"""),0.0)</f>
        <v>0</v>
      </c>
      <c r="X44" s="9">
        <f>IFERROR(__xludf.DUMMYFUNCTION("""COMPUTED_VALUE"""),15.0)</f>
        <v>15</v>
      </c>
      <c r="Y44" s="9">
        <f>IFERROR(__xludf.DUMMYFUNCTION("""COMPUTED_VALUE"""),18.0)</f>
        <v>18</v>
      </c>
      <c r="Z44" s="9">
        <f>IFERROR(__xludf.DUMMYFUNCTION("""COMPUTED_VALUE"""),0.0)</f>
        <v>0</v>
      </c>
      <c r="AA44" s="9">
        <f>IFERROR(__xludf.DUMMYFUNCTION("""COMPUTED_VALUE"""),1.0)</f>
        <v>1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</row>
    <row r="45">
      <c r="A45" s="8">
        <f>IFERROR(__xludf.DUMMYFUNCTION("""COMPUTED_VALUE"""),45163.0)</f>
        <v>45163</v>
      </c>
      <c r="B45" s="9">
        <f>IFERROR(__xludf.DUMMYFUNCTION("""COMPUTED_VALUE"""),35.0)</f>
        <v>35</v>
      </c>
      <c r="C45" s="9">
        <f>IFERROR(__xludf.DUMMYFUNCTION("""COMPUTED_VALUE"""),125.0)</f>
        <v>125</v>
      </c>
      <c r="D45" s="9">
        <f>IFERROR(__xludf.DUMMYFUNCTION("""COMPUTED_VALUE"""),4.0)</f>
        <v>4</v>
      </c>
      <c r="E45" s="9">
        <f>IFERROR(__xludf.DUMMYFUNCTION("""COMPUTED_VALUE"""),3253.0)</f>
        <v>3253</v>
      </c>
      <c r="F45" s="9">
        <f>IFERROR(__xludf.DUMMYFUNCTION("""COMPUTED_VALUE"""),93.0)</f>
        <v>93</v>
      </c>
      <c r="G45" s="9">
        <f>IFERROR(__xludf.DUMMYFUNCTION("""COMPUTED_VALUE"""),0.0)</f>
        <v>0</v>
      </c>
      <c r="H45" s="9"/>
      <c r="I45" s="9">
        <f>IFERROR(__xludf.DUMMYFUNCTION("""COMPUTED_VALUE"""),25.0)</f>
        <v>25</v>
      </c>
      <c r="J45" s="9">
        <f>IFERROR(__xludf.DUMMYFUNCTION("""COMPUTED_VALUE"""),2.0)</f>
        <v>2</v>
      </c>
      <c r="K45" s="9">
        <f>IFERROR(__xludf.DUMMYFUNCTION("""COMPUTED_VALUE"""),2.0)</f>
        <v>2</v>
      </c>
      <c r="L45" s="9">
        <f>IFERROR(__xludf.DUMMYFUNCTION("""COMPUTED_VALUE"""),0.0)</f>
        <v>0</v>
      </c>
      <c r="M45" s="9">
        <f>IFERROR(__xludf.DUMMYFUNCTION("""COMPUTED_VALUE"""),29.0)</f>
        <v>29</v>
      </c>
      <c r="N45" s="9">
        <f>IFERROR(__xludf.DUMMYFUNCTION("""COMPUTED_VALUE"""),19.0)</f>
        <v>19</v>
      </c>
      <c r="O45" s="9">
        <f>IFERROR(__xludf.DUMMYFUNCTION("""COMPUTED_VALUE"""),0.0)</f>
        <v>0</v>
      </c>
      <c r="P45" s="9">
        <f>IFERROR(__xludf.DUMMYFUNCTION("""COMPUTED_VALUE"""),15.0)</f>
        <v>15</v>
      </c>
      <c r="Q45" s="9">
        <f>IFERROR(__xludf.DUMMYFUNCTION("""COMPUTED_VALUE"""),9.0)</f>
        <v>9</v>
      </c>
      <c r="R45" s="9">
        <f>IFERROR(__xludf.DUMMYFUNCTION("""COMPUTED_VALUE"""),7.0)</f>
        <v>7</v>
      </c>
      <c r="S45" s="9">
        <f>IFERROR(__xludf.DUMMYFUNCTION("""COMPUTED_VALUE"""),14.0)</f>
        <v>14</v>
      </c>
      <c r="T45" s="9">
        <f>IFERROR(__xludf.DUMMYFUNCTION("""COMPUTED_VALUE"""),0.0)</f>
        <v>0</v>
      </c>
      <c r="U45" s="9">
        <f>IFERROR(__xludf.DUMMYFUNCTION("""COMPUTED_VALUE"""),0.0)</f>
        <v>0</v>
      </c>
      <c r="V45" s="9">
        <f>IFERROR(__xludf.DUMMYFUNCTION("""COMPUTED_VALUE"""),16.0)</f>
        <v>16</v>
      </c>
      <c r="W45" s="9">
        <f>IFERROR(__xludf.DUMMYFUNCTION("""COMPUTED_VALUE"""),0.0)</f>
        <v>0</v>
      </c>
      <c r="X45" s="9">
        <f>IFERROR(__xludf.DUMMYFUNCTION("""COMPUTED_VALUE"""),19.0)</f>
        <v>19</v>
      </c>
      <c r="Y45" s="9">
        <f>IFERROR(__xludf.DUMMYFUNCTION("""COMPUTED_VALUE"""),19.0)</f>
        <v>19</v>
      </c>
      <c r="Z45" s="9">
        <f>IFERROR(__xludf.DUMMYFUNCTION("""COMPUTED_VALUE"""),0.0)</f>
        <v>0</v>
      </c>
      <c r="AA45" s="9">
        <f>IFERROR(__xludf.DUMMYFUNCTION("""COMPUTED_VALUE"""),0.0)</f>
        <v>0</v>
      </c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</row>
    <row r="46">
      <c r="A46" s="8">
        <f>IFERROR(__xludf.DUMMYFUNCTION("""COMPUTED_VALUE"""),45164.0)</f>
        <v>45164</v>
      </c>
      <c r="B46" s="9">
        <f>IFERROR(__xludf.DUMMYFUNCTION("""COMPUTED_VALUE"""),12.0)</f>
        <v>12</v>
      </c>
      <c r="C46" s="9">
        <f>IFERROR(__xludf.DUMMYFUNCTION("""COMPUTED_VALUE"""),49.0)</f>
        <v>49</v>
      </c>
      <c r="D46" s="9">
        <f>IFERROR(__xludf.DUMMYFUNCTION("""COMPUTED_VALUE"""),4.0)</f>
        <v>4</v>
      </c>
      <c r="E46" s="9">
        <f>IFERROR(__xludf.DUMMYFUNCTION("""COMPUTED_VALUE"""),1074.0)</f>
        <v>1074</v>
      </c>
      <c r="F46" s="9">
        <f>IFERROR(__xludf.DUMMYFUNCTION("""COMPUTED_VALUE"""),90.0)</f>
        <v>90</v>
      </c>
      <c r="G46" s="9">
        <f>IFERROR(__xludf.DUMMYFUNCTION("""COMPUTED_VALUE"""),0.0)</f>
        <v>0</v>
      </c>
      <c r="H46" s="9"/>
      <c r="I46" s="9">
        <f>IFERROR(__xludf.DUMMYFUNCTION("""COMPUTED_VALUE"""),12.0)</f>
        <v>12</v>
      </c>
      <c r="J46" s="9">
        <f>IFERROR(__xludf.DUMMYFUNCTION("""COMPUTED_VALUE"""),0.0)</f>
        <v>0</v>
      </c>
      <c r="K46" s="9">
        <f>IFERROR(__xludf.DUMMYFUNCTION("""COMPUTED_VALUE"""),0.0)</f>
        <v>0</v>
      </c>
      <c r="L46" s="9">
        <f>IFERROR(__xludf.DUMMYFUNCTION("""COMPUTED_VALUE"""),0.0)</f>
        <v>0</v>
      </c>
      <c r="M46" s="9">
        <f>IFERROR(__xludf.DUMMYFUNCTION("""COMPUTED_VALUE"""),12.0)</f>
        <v>12</v>
      </c>
      <c r="N46" s="9">
        <f>IFERROR(__xludf.DUMMYFUNCTION("""COMPUTED_VALUE"""),9.0)</f>
        <v>9</v>
      </c>
      <c r="O46" s="9">
        <f>IFERROR(__xludf.DUMMYFUNCTION("""COMPUTED_VALUE"""),1.0)</f>
        <v>1</v>
      </c>
      <c r="P46" s="9">
        <f>IFERROR(__xludf.DUMMYFUNCTION("""COMPUTED_VALUE"""),2.0)</f>
        <v>2</v>
      </c>
      <c r="Q46" s="9">
        <f>IFERROR(__xludf.DUMMYFUNCTION("""COMPUTED_VALUE"""),5.0)</f>
        <v>5</v>
      </c>
      <c r="R46" s="9">
        <f>IFERROR(__xludf.DUMMYFUNCTION("""COMPUTED_VALUE"""),1.0)</f>
        <v>1</v>
      </c>
      <c r="S46" s="9">
        <f>IFERROR(__xludf.DUMMYFUNCTION("""COMPUTED_VALUE"""),3.0)</f>
        <v>3</v>
      </c>
      <c r="T46" s="9">
        <f>IFERROR(__xludf.DUMMYFUNCTION("""COMPUTED_VALUE"""),0.0)</f>
        <v>0</v>
      </c>
      <c r="U46" s="9">
        <f>IFERROR(__xludf.DUMMYFUNCTION("""COMPUTED_VALUE"""),0.0)</f>
        <v>0</v>
      </c>
      <c r="V46" s="9">
        <f>IFERROR(__xludf.DUMMYFUNCTION("""COMPUTED_VALUE"""),7.0)</f>
        <v>7</v>
      </c>
      <c r="W46" s="9">
        <f>IFERROR(__xludf.DUMMYFUNCTION("""COMPUTED_VALUE"""),0.0)</f>
        <v>0</v>
      </c>
      <c r="X46" s="9">
        <f>IFERROR(__xludf.DUMMYFUNCTION("""COMPUTED_VALUE"""),13.0)</f>
        <v>13</v>
      </c>
      <c r="Y46" s="9">
        <f>IFERROR(__xludf.DUMMYFUNCTION("""COMPUTED_VALUE"""),8.0)</f>
        <v>8</v>
      </c>
      <c r="Z46" s="9">
        <f>IFERROR(__xludf.DUMMYFUNCTION("""COMPUTED_VALUE"""),0.0)</f>
        <v>0</v>
      </c>
      <c r="AA46" s="9">
        <f>IFERROR(__xludf.DUMMYFUNCTION("""COMPUTED_VALUE"""),1.0)</f>
        <v>1</v>
      </c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</row>
    <row r="47">
      <c r="A47" s="8">
        <f>IFERROR(__xludf.DUMMYFUNCTION("""COMPUTED_VALUE"""),45165.0)</f>
        <v>45165</v>
      </c>
      <c r="B47" s="9">
        <f>IFERROR(__xludf.DUMMYFUNCTION("""COMPUTED_VALUE"""),0.0)</f>
        <v>0</v>
      </c>
      <c r="C47" s="9">
        <f>IFERROR(__xludf.DUMMYFUNCTION("""COMPUTED_VALUE"""),0.0)</f>
        <v>0</v>
      </c>
      <c r="D47" s="9">
        <f>IFERROR(__xludf.DUMMYFUNCTION("""COMPUTED_VALUE"""),0.0)</f>
        <v>0</v>
      </c>
      <c r="E47" s="9">
        <f>IFERROR(__xludf.DUMMYFUNCTION("""COMPUTED_VALUE"""),0.0)</f>
        <v>0</v>
      </c>
      <c r="F47" s="9">
        <f>IFERROR(__xludf.DUMMYFUNCTION("""COMPUTED_VALUE"""),0.0)</f>
        <v>0</v>
      </c>
      <c r="G47" s="9">
        <f>IFERROR(__xludf.DUMMYFUNCTION("""COMPUTED_VALUE"""),0.0)</f>
        <v>0</v>
      </c>
      <c r="H47" s="9"/>
      <c r="I47" s="9">
        <f>IFERROR(__xludf.DUMMYFUNCTION("""COMPUTED_VALUE"""),0.0)</f>
        <v>0</v>
      </c>
      <c r="J47" s="9">
        <f>IFERROR(__xludf.DUMMYFUNCTION("""COMPUTED_VALUE"""),0.0)</f>
        <v>0</v>
      </c>
      <c r="K47" s="9">
        <f>IFERROR(__xludf.DUMMYFUNCTION("""COMPUTED_VALUE"""),0.0)</f>
        <v>0</v>
      </c>
      <c r="L47" s="9">
        <f>IFERROR(__xludf.DUMMYFUNCTION("""COMPUTED_VALUE"""),0.0)</f>
        <v>0</v>
      </c>
      <c r="M47" s="9">
        <f>IFERROR(__xludf.DUMMYFUNCTION("""COMPUTED_VALUE"""),0.0)</f>
        <v>0</v>
      </c>
      <c r="N47" s="9">
        <f>IFERROR(__xludf.DUMMYFUNCTION("""COMPUTED_VALUE"""),0.0)</f>
        <v>0</v>
      </c>
      <c r="O47" s="9">
        <f>IFERROR(__xludf.DUMMYFUNCTION("""COMPUTED_VALUE"""),0.0)</f>
        <v>0</v>
      </c>
      <c r="P47" s="9">
        <f>IFERROR(__xludf.DUMMYFUNCTION("""COMPUTED_VALUE"""),0.0)</f>
        <v>0</v>
      </c>
      <c r="Q47" s="9">
        <f>IFERROR(__xludf.DUMMYFUNCTION("""COMPUTED_VALUE"""),0.0)</f>
        <v>0</v>
      </c>
      <c r="R47" s="9">
        <f>IFERROR(__xludf.DUMMYFUNCTION("""COMPUTED_VALUE"""),0.0)</f>
        <v>0</v>
      </c>
      <c r="S47" s="9">
        <f>IFERROR(__xludf.DUMMYFUNCTION("""COMPUTED_VALUE"""),0.0)</f>
        <v>0</v>
      </c>
      <c r="T47" s="9">
        <f>IFERROR(__xludf.DUMMYFUNCTION("""COMPUTED_VALUE"""),0.0)</f>
        <v>0</v>
      </c>
      <c r="U47" s="9">
        <f>IFERROR(__xludf.DUMMYFUNCTION("""COMPUTED_VALUE"""),0.0)</f>
        <v>0</v>
      </c>
      <c r="V47" s="9">
        <f>IFERROR(__xludf.DUMMYFUNCTION("""COMPUTED_VALUE"""),0.0)</f>
        <v>0</v>
      </c>
      <c r="W47" s="9">
        <f>IFERROR(__xludf.DUMMYFUNCTION("""COMPUTED_VALUE"""),0.0)</f>
        <v>0</v>
      </c>
      <c r="X47" s="9">
        <f>IFERROR(__xludf.DUMMYFUNCTION("""COMPUTED_VALUE"""),0.0)</f>
        <v>0</v>
      </c>
      <c r="Y47" s="9">
        <f>IFERROR(__xludf.DUMMYFUNCTION("""COMPUTED_VALUE"""),0.0)</f>
        <v>0</v>
      </c>
      <c r="Z47" s="9">
        <f>IFERROR(__xludf.DUMMYFUNCTION("""COMPUTED_VALUE"""),0.0)</f>
        <v>0</v>
      </c>
      <c r="AA47" s="9">
        <f>IFERROR(__xludf.DUMMYFUNCTION("""COMPUTED_VALUE"""),0.0)</f>
        <v>0</v>
      </c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</row>
    <row r="48">
      <c r="A48" s="8">
        <f>IFERROR(__xludf.DUMMYFUNCTION("""COMPUTED_VALUE"""),45166.0)</f>
        <v>45166</v>
      </c>
      <c r="B48" s="9">
        <f>IFERROR(__xludf.DUMMYFUNCTION("""COMPUTED_VALUE"""),32.0)</f>
        <v>32</v>
      </c>
      <c r="C48" s="9">
        <f>IFERROR(__xludf.DUMMYFUNCTION("""COMPUTED_VALUE"""),133.0)</f>
        <v>133</v>
      </c>
      <c r="D48" s="9">
        <f>IFERROR(__xludf.DUMMYFUNCTION("""COMPUTED_VALUE"""),4.0)</f>
        <v>4</v>
      </c>
      <c r="E48" s="9">
        <f>IFERROR(__xludf.DUMMYFUNCTION("""COMPUTED_VALUE"""),2344.0)</f>
        <v>2344</v>
      </c>
      <c r="F48" s="9">
        <f>IFERROR(__xludf.DUMMYFUNCTION("""COMPUTED_VALUE"""),73.0)</f>
        <v>73</v>
      </c>
      <c r="G48" s="9">
        <f>IFERROR(__xludf.DUMMYFUNCTION("""COMPUTED_VALUE"""),0.0)</f>
        <v>0</v>
      </c>
      <c r="H48" s="9"/>
      <c r="I48" s="9">
        <f>IFERROR(__xludf.DUMMYFUNCTION("""COMPUTED_VALUE"""),21.0)</f>
        <v>21</v>
      </c>
      <c r="J48" s="9">
        <f>IFERROR(__xludf.DUMMYFUNCTION("""COMPUTED_VALUE"""),4.0)</f>
        <v>4</v>
      </c>
      <c r="K48" s="9">
        <f>IFERROR(__xludf.DUMMYFUNCTION("""COMPUTED_VALUE"""),1.0)</f>
        <v>1</v>
      </c>
      <c r="L48" s="9">
        <f>IFERROR(__xludf.DUMMYFUNCTION("""COMPUTED_VALUE"""),0.0)</f>
        <v>0</v>
      </c>
      <c r="M48" s="9">
        <f>IFERROR(__xludf.DUMMYFUNCTION("""COMPUTED_VALUE"""),26.0)</f>
        <v>26</v>
      </c>
      <c r="N48" s="9">
        <f>IFERROR(__xludf.DUMMYFUNCTION("""COMPUTED_VALUE"""),23.0)</f>
        <v>23</v>
      </c>
      <c r="O48" s="9">
        <f>IFERROR(__xludf.DUMMYFUNCTION("""COMPUTED_VALUE"""),0.0)</f>
        <v>0</v>
      </c>
      <c r="P48" s="9">
        <f>IFERROR(__xludf.DUMMYFUNCTION("""COMPUTED_VALUE"""),9.0)</f>
        <v>9</v>
      </c>
      <c r="Q48" s="9">
        <f>IFERROR(__xludf.DUMMYFUNCTION("""COMPUTED_VALUE"""),15.0)</f>
        <v>15</v>
      </c>
      <c r="R48" s="9">
        <f>IFERROR(__xludf.DUMMYFUNCTION("""COMPUTED_VALUE"""),5.0)</f>
        <v>5</v>
      </c>
      <c r="S48" s="9">
        <f>IFERROR(__xludf.DUMMYFUNCTION("""COMPUTED_VALUE"""),21.0)</f>
        <v>21</v>
      </c>
      <c r="T48" s="9">
        <f>IFERROR(__xludf.DUMMYFUNCTION("""COMPUTED_VALUE"""),1.0)</f>
        <v>1</v>
      </c>
      <c r="U48" s="9">
        <f>IFERROR(__xludf.DUMMYFUNCTION("""COMPUTED_VALUE"""),0.0)</f>
        <v>0</v>
      </c>
      <c r="V48" s="9">
        <f>IFERROR(__xludf.DUMMYFUNCTION("""COMPUTED_VALUE"""),20.0)</f>
        <v>20</v>
      </c>
      <c r="W48" s="9">
        <f>IFERROR(__xludf.DUMMYFUNCTION("""COMPUTED_VALUE"""),1.0)</f>
        <v>1</v>
      </c>
      <c r="X48" s="9">
        <f>IFERROR(__xludf.DUMMYFUNCTION("""COMPUTED_VALUE"""),16.0)</f>
        <v>16</v>
      </c>
      <c r="Y48" s="9">
        <f>IFERROR(__xludf.DUMMYFUNCTION("""COMPUTED_VALUE"""),24.0)</f>
        <v>24</v>
      </c>
      <c r="Z48" s="9">
        <f>IFERROR(__xludf.DUMMYFUNCTION("""COMPUTED_VALUE"""),2.0)</f>
        <v>2</v>
      </c>
      <c r="AA48" s="9">
        <f>IFERROR(__xludf.DUMMYFUNCTION("""COMPUTED_VALUE"""),0.0)</f>
        <v>0</v>
      </c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</row>
    <row r="49">
      <c r="A49" s="8">
        <f>IFERROR(__xludf.DUMMYFUNCTION("""COMPUTED_VALUE"""),45167.0)</f>
        <v>45167</v>
      </c>
      <c r="B49" s="9">
        <f>IFERROR(__xludf.DUMMYFUNCTION("""COMPUTED_VALUE"""),30.0)</f>
        <v>30</v>
      </c>
      <c r="C49" s="9">
        <f>IFERROR(__xludf.DUMMYFUNCTION("""COMPUTED_VALUE"""),126.0)</f>
        <v>126</v>
      </c>
      <c r="D49" s="9">
        <f>IFERROR(__xludf.DUMMYFUNCTION("""COMPUTED_VALUE"""),4.0)</f>
        <v>4</v>
      </c>
      <c r="E49" s="9">
        <f>IFERROR(__xludf.DUMMYFUNCTION("""COMPUTED_VALUE"""),2098.0)</f>
        <v>2098</v>
      </c>
      <c r="F49" s="9">
        <f>IFERROR(__xludf.DUMMYFUNCTION("""COMPUTED_VALUE"""),70.0)</f>
        <v>70</v>
      </c>
      <c r="G49" s="9">
        <f>IFERROR(__xludf.DUMMYFUNCTION("""COMPUTED_VALUE"""),0.0)</f>
        <v>0</v>
      </c>
      <c r="H49" s="9"/>
      <c r="I49" s="9">
        <f>IFERROR(__xludf.DUMMYFUNCTION("""COMPUTED_VALUE"""),22.0)</f>
        <v>22</v>
      </c>
      <c r="J49" s="9">
        <f>IFERROR(__xludf.DUMMYFUNCTION("""COMPUTED_VALUE"""),4.0)</f>
        <v>4</v>
      </c>
      <c r="K49" s="9">
        <f>IFERROR(__xludf.DUMMYFUNCTION("""COMPUTED_VALUE"""),0.0)</f>
        <v>0</v>
      </c>
      <c r="L49" s="9">
        <f>IFERROR(__xludf.DUMMYFUNCTION("""COMPUTED_VALUE"""),0.0)</f>
        <v>0</v>
      </c>
      <c r="M49" s="9">
        <f>IFERROR(__xludf.DUMMYFUNCTION("""COMPUTED_VALUE"""),26.0)</f>
        <v>26</v>
      </c>
      <c r="N49" s="9">
        <f>IFERROR(__xludf.DUMMYFUNCTION("""COMPUTED_VALUE"""),21.0)</f>
        <v>21</v>
      </c>
      <c r="O49" s="9">
        <f>IFERROR(__xludf.DUMMYFUNCTION("""COMPUTED_VALUE"""),0.0)</f>
        <v>0</v>
      </c>
      <c r="P49" s="9">
        <f>IFERROR(__xludf.DUMMYFUNCTION("""COMPUTED_VALUE"""),9.0)</f>
        <v>9</v>
      </c>
      <c r="Q49" s="9">
        <f>IFERROR(__xludf.DUMMYFUNCTION("""COMPUTED_VALUE"""),12.0)</f>
        <v>12</v>
      </c>
      <c r="R49" s="9">
        <f>IFERROR(__xludf.DUMMYFUNCTION("""COMPUTED_VALUE"""),6.0)</f>
        <v>6</v>
      </c>
      <c r="S49" s="9">
        <f>IFERROR(__xludf.DUMMYFUNCTION("""COMPUTED_VALUE"""),12.0)</f>
        <v>12</v>
      </c>
      <c r="T49" s="9">
        <f>IFERROR(__xludf.DUMMYFUNCTION("""COMPUTED_VALUE"""),0.0)</f>
        <v>0</v>
      </c>
      <c r="U49" s="9">
        <f>IFERROR(__xludf.DUMMYFUNCTION("""COMPUTED_VALUE"""),0.0)</f>
        <v>0</v>
      </c>
      <c r="V49" s="9">
        <f>IFERROR(__xludf.DUMMYFUNCTION("""COMPUTED_VALUE"""),18.0)</f>
        <v>18</v>
      </c>
      <c r="W49" s="9">
        <f>IFERROR(__xludf.DUMMYFUNCTION("""COMPUTED_VALUE"""),0.0)</f>
        <v>0</v>
      </c>
      <c r="X49" s="9">
        <f>IFERROR(__xludf.DUMMYFUNCTION("""COMPUTED_VALUE"""),19.0)</f>
        <v>19</v>
      </c>
      <c r="Y49" s="9">
        <f>IFERROR(__xludf.DUMMYFUNCTION("""COMPUTED_VALUE"""),22.0)</f>
        <v>22</v>
      </c>
      <c r="Z49" s="9">
        <f>IFERROR(__xludf.DUMMYFUNCTION("""COMPUTED_VALUE"""),0.0)</f>
        <v>0</v>
      </c>
      <c r="AA49" s="9">
        <f>IFERROR(__xludf.DUMMYFUNCTION("""COMPUTED_VALUE"""),0.0)</f>
        <v>0</v>
      </c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</row>
    <row r="50">
      <c r="A50" s="8">
        <f>IFERROR(__xludf.DUMMYFUNCTION("""COMPUTED_VALUE"""),45168.0)</f>
        <v>45168</v>
      </c>
      <c r="B50" s="9">
        <f>IFERROR(__xludf.DUMMYFUNCTION("""COMPUTED_VALUE"""),39.0)</f>
        <v>39</v>
      </c>
      <c r="C50" s="9">
        <f>IFERROR(__xludf.DUMMYFUNCTION("""COMPUTED_VALUE"""),143.0)</f>
        <v>143</v>
      </c>
      <c r="D50" s="9">
        <f>IFERROR(__xludf.DUMMYFUNCTION("""COMPUTED_VALUE"""),4.0)</f>
        <v>4</v>
      </c>
      <c r="E50" s="9">
        <f>IFERROR(__xludf.DUMMYFUNCTION("""COMPUTED_VALUE"""),2637.0)</f>
        <v>2637</v>
      </c>
      <c r="F50" s="9">
        <f>IFERROR(__xludf.DUMMYFUNCTION("""COMPUTED_VALUE"""),68.0)</f>
        <v>68</v>
      </c>
      <c r="G50" s="9">
        <f>IFERROR(__xludf.DUMMYFUNCTION("""COMPUTED_VALUE"""),0.0)</f>
        <v>0</v>
      </c>
      <c r="H50" s="9"/>
      <c r="I50" s="9">
        <f>IFERROR(__xludf.DUMMYFUNCTION("""COMPUTED_VALUE"""),30.0)</f>
        <v>30</v>
      </c>
      <c r="J50" s="9">
        <f>IFERROR(__xludf.DUMMYFUNCTION("""COMPUTED_VALUE"""),3.0)</f>
        <v>3</v>
      </c>
      <c r="K50" s="9">
        <f>IFERROR(__xludf.DUMMYFUNCTION("""COMPUTED_VALUE"""),1.0)</f>
        <v>1</v>
      </c>
      <c r="L50" s="9">
        <f>IFERROR(__xludf.DUMMYFUNCTION("""COMPUTED_VALUE"""),0.0)</f>
        <v>0</v>
      </c>
      <c r="M50" s="9">
        <f>IFERROR(__xludf.DUMMYFUNCTION("""COMPUTED_VALUE"""),34.0)</f>
        <v>34</v>
      </c>
      <c r="N50" s="9">
        <f>IFERROR(__xludf.DUMMYFUNCTION("""COMPUTED_VALUE"""),31.0)</f>
        <v>31</v>
      </c>
      <c r="O50" s="9">
        <f>IFERROR(__xludf.DUMMYFUNCTION("""COMPUTED_VALUE"""),0.0)</f>
        <v>0</v>
      </c>
      <c r="P50" s="9">
        <f>IFERROR(__xludf.DUMMYFUNCTION("""COMPUTED_VALUE"""),8.0)</f>
        <v>8</v>
      </c>
      <c r="Q50" s="9">
        <f>IFERROR(__xludf.DUMMYFUNCTION("""COMPUTED_VALUE"""),20.0)</f>
        <v>20</v>
      </c>
      <c r="R50" s="9">
        <f>IFERROR(__xludf.DUMMYFUNCTION("""COMPUTED_VALUE"""),5.0)</f>
        <v>5</v>
      </c>
      <c r="S50" s="9">
        <f>IFERROR(__xludf.DUMMYFUNCTION("""COMPUTED_VALUE"""),17.0)</f>
        <v>17</v>
      </c>
      <c r="T50" s="9">
        <f>IFERROR(__xludf.DUMMYFUNCTION("""COMPUTED_VALUE"""),1.0)</f>
        <v>1</v>
      </c>
      <c r="U50" s="9">
        <f>IFERROR(__xludf.DUMMYFUNCTION("""COMPUTED_VALUE"""),0.0)</f>
        <v>0</v>
      </c>
      <c r="V50" s="9">
        <f>IFERROR(__xludf.DUMMYFUNCTION("""COMPUTED_VALUE"""),25.0)</f>
        <v>25</v>
      </c>
      <c r="W50" s="9">
        <f>IFERROR(__xludf.DUMMYFUNCTION("""COMPUTED_VALUE"""),0.0)</f>
        <v>0</v>
      </c>
      <c r="X50" s="9">
        <f>IFERROR(__xludf.DUMMYFUNCTION("""COMPUTED_VALUE"""),19.0)</f>
        <v>19</v>
      </c>
      <c r="Y50" s="9">
        <f>IFERROR(__xludf.DUMMYFUNCTION("""COMPUTED_VALUE"""),29.0)</f>
        <v>29</v>
      </c>
      <c r="Z50" s="9">
        <f>IFERROR(__xludf.DUMMYFUNCTION("""COMPUTED_VALUE"""),1.0)</f>
        <v>1</v>
      </c>
      <c r="AA50" s="9">
        <f>IFERROR(__xludf.DUMMYFUNCTION("""COMPUTED_VALUE"""),0.0)</f>
        <v>0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</row>
    <row r="51">
      <c r="A51" s="8">
        <f>IFERROR(__xludf.DUMMYFUNCTION("""COMPUTED_VALUE"""),45169.0)</f>
        <v>45169</v>
      </c>
      <c r="B51" s="9">
        <f>IFERROR(__xludf.DUMMYFUNCTION("""COMPUTED_VALUE"""),37.0)</f>
        <v>37</v>
      </c>
      <c r="C51" s="9">
        <f>IFERROR(__xludf.DUMMYFUNCTION("""COMPUTED_VALUE"""),165.0)</f>
        <v>165</v>
      </c>
      <c r="D51" s="9">
        <f>IFERROR(__xludf.DUMMYFUNCTION("""COMPUTED_VALUE"""),4.0)</f>
        <v>4</v>
      </c>
      <c r="E51" s="9">
        <f>IFERROR(__xludf.DUMMYFUNCTION("""COMPUTED_VALUE"""),3047.0)</f>
        <v>3047</v>
      </c>
      <c r="F51" s="9">
        <f>IFERROR(__xludf.DUMMYFUNCTION("""COMPUTED_VALUE"""),82.0)</f>
        <v>82</v>
      </c>
      <c r="G51" s="9">
        <f>IFERROR(__xludf.DUMMYFUNCTION("""COMPUTED_VALUE"""),0.0)</f>
        <v>0</v>
      </c>
      <c r="H51" s="9"/>
      <c r="I51" s="9">
        <f>IFERROR(__xludf.DUMMYFUNCTION("""COMPUTED_VALUE"""),29.0)</f>
        <v>29</v>
      </c>
      <c r="J51" s="9">
        <f>IFERROR(__xludf.DUMMYFUNCTION("""COMPUTED_VALUE"""),4.0)</f>
        <v>4</v>
      </c>
      <c r="K51" s="9">
        <f>IFERROR(__xludf.DUMMYFUNCTION("""COMPUTED_VALUE"""),0.0)</f>
        <v>0</v>
      </c>
      <c r="L51" s="9">
        <f>IFERROR(__xludf.DUMMYFUNCTION("""COMPUTED_VALUE"""),0.0)</f>
        <v>0</v>
      </c>
      <c r="M51" s="9">
        <f>IFERROR(__xludf.DUMMYFUNCTION("""COMPUTED_VALUE"""),33.0)</f>
        <v>33</v>
      </c>
      <c r="N51" s="9">
        <f>IFERROR(__xludf.DUMMYFUNCTION("""COMPUTED_VALUE"""),21.0)</f>
        <v>21</v>
      </c>
      <c r="O51" s="9">
        <f>IFERROR(__xludf.DUMMYFUNCTION("""COMPUTED_VALUE"""),0.0)</f>
        <v>0</v>
      </c>
      <c r="P51" s="9">
        <f>IFERROR(__xludf.DUMMYFUNCTION("""COMPUTED_VALUE"""),16.0)</f>
        <v>16</v>
      </c>
      <c r="Q51" s="9">
        <f>IFERROR(__xludf.DUMMYFUNCTION("""COMPUTED_VALUE"""),11.0)</f>
        <v>11</v>
      </c>
      <c r="R51" s="9">
        <f>IFERROR(__xludf.DUMMYFUNCTION("""COMPUTED_VALUE"""),8.0)</f>
        <v>8</v>
      </c>
      <c r="S51" s="9">
        <f>IFERROR(__xludf.DUMMYFUNCTION("""COMPUTED_VALUE"""),24.0)</f>
        <v>24</v>
      </c>
      <c r="T51" s="9">
        <f>IFERROR(__xludf.DUMMYFUNCTION("""COMPUTED_VALUE"""),1.0)</f>
        <v>1</v>
      </c>
      <c r="U51" s="9">
        <f>IFERROR(__xludf.DUMMYFUNCTION("""COMPUTED_VALUE"""),0.0)</f>
        <v>0</v>
      </c>
      <c r="V51" s="9">
        <f>IFERROR(__xludf.DUMMYFUNCTION("""COMPUTED_VALUE"""),19.0)</f>
        <v>19</v>
      </c>
      <c r="W51" s="9">
        <f>IFERROR(__xludf.DUMMYFUNCTION("""COMPUTED_VALUE"""),1.0)</f>
        <v>1</v>
      </c>
      <c r="X51" s="9">
        <f>IFERROR(__xludf.DUMMYFUNCTION("""COMPUTED_VALUE"""),32.0)</f>
        <v>32</v>
      </c>
      <c r="Y51" s="9">
        <f>IFERROR(__xludf.DUMMYFUNCTION("""COMPUTED_VALUE"""),24.0)</f>
        <v>24</v>
      </c>
      <c r="Z51" s="9">
        <f>IFERROR(__xludf.DUMMYFUNCTION("""COMPUTED_VALUE"""),2.0)</f>
        <v>2</v>
      </c>
      <c r="AA51" s="9">
        <f>IFERROR(__xludf.DUMMYFUNCTION("""COMPUTED_VALUE"""),0.0)</f>
        <v>0</v>
      </c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</row>
    <row r="52">
      <c r="A52" s="8">
        <f>IFERROR(__xludf.DUMMYFUNCTION("""COMPUTED_VALUE"""),45170.0)</f>
        <v>45170</v>
      </c>
      <c r="B52" s="9">
        <f>IFERROR(__xludf.DUMMYFUNCTION("""COMPUTED_VALUE"""),31.0)</f>
        <v>31</v>
      </c>
      <c r="C52" s="9">
        <f>IFERROR(__xludf.DUMMYFUNCTION("""COMPUTED_VALUE"""),112.0)</f>
        <v>112</v>
      </c>
      <c r="D52" s="9">
        <f>IFERROR(__xludf.DUMMYFUNCTION("""COMPUTED_VALUE"""),4.0)</f>
        <v>4</v>
      </c>
      <c r="E52" s="9">
        <f>IFERROR(__xludf.DUMMYFUNCTION("""COMPUTED_VALUE"""),2003.0)</f>
        <v>2003</v>
      </c>
      <c r="F52" s="9">
        <f>IFERROR(__xludf.DUMMYFUNCTION("""COMPUTED_VALUE"""),65.0)</f>
        <v>65</v>
      </c>
      <c r="G52" s="9">
        <f>IFERROR(__xludf.DUMMYFUNCTION("""COMPUTED_VALUE"""),0.0)</f>
        <v>0</v>
      </c>
      <c r="H52" s="9"/>
      <c r="I52" s="9">
        <f>IFERROR(__xludf.DUMMYFUNCTION("""COMPUTED_VALUE"""),21.0)</f>
        <v>21</v>
      </c>
      <c r="J52" s="9">
        <f>IFERROR(__xludf.DUMMYFUNCTION("""COMPUTED_VALUE"""),3.0)</f>
        <v>3</v>
      </c>
      <c r="K52" s="9">
        <f>IFERROR(__xludf.DUMMYFUNCTION("""COMPUTED_VALUE"""),0.0)</f>
        <v>0</v>
      </c>
      <c r="L52" s="9">
        <f>IFERROR(__xludf.DUMMYFUNCTION("""COMPUTED_VALUE"""),1.0)</f>
        <v>1</v>
      </c>
      <c r="M52" s="9">
        <f>IFERROR(__xludf.DUMMYFUNCTION("""COMPUTED_VALUE"""),25.0)</f>
        <v>25</v>
      </c>
      <c r="N52" s="9">
        <f>IFERROR(__xludf.DUMMYFUNCTION("""COMPUTED_VALUE"""),21.0)</f>
        <v>21</v>
      </c>
      <c r="O52" s="9">
        <f>IFERROR(__xludf.DUMMYFUNCTION("""COMPUTED_VALUE"""),2.0)</f>
        <v>2</v>
      </c>
      <c r="P52" s="9">
        <f>IFERROR(__xludf.DUMMYFUNCTION("""COMPUTED_VALUE"""),8.0)</f>
        <v>8</v>
      </c>
      <c r="Q52" s="9">
        <f>IFERROR(__xludf.DUMMYFUNCTION("""COMPUTED_VALUE"""),17.0)</f>
        <v>17</v>
      </c>
      <c r="R52" s="9">
        <f>IFERROR(__xludf.DUMMYFUNCTION("""COMPUTED_VALUE"""),5.0)</f>
        <v>5</v>
      </c>
      <c r="S52" s="9">
        <f>IFERROR(__xludf.DUMMYFUNCTION("""COMPUTED_VALUE"""),11.0)</f>
        <v>11</v>
      </c>
      <c r="T52" s="9">
        <f>IFERROR(__xludf.DUMMYFUNCTION("""COMPUTED_VALUE"""),0.0)</f>
        <v>0</v>
      </c>
      <c r="U52" s="9">
        <f>IFERROR(__xludf.DUMMYFUNCTION("""COMPUTED_VALUE"""),0.0)</f>
        <v>0</v>
      </c>
      <c r="V52" s="9">
        <f>IFERROR(__xludf.DUMMYFUNCTION("""COMPUTED_VALUE"""),22.0)</f>
        <v>22</v>
      </c>
      <c r="W52" s="9">
        <f>IFERROR(__xludf.DUMMYFUNCTION("""COMPUTED_VALUE"""),0.0)</f>
        <v>0</v>
      </c>
      <c r="X52" s="9">
        <f>IFERROR(__xludf.DUMMYFUNCTION("""COMPUTED_VALUE"""),14.0)</f>
        <v>14</v>
      </c>
      <c r="Y52" s="9">
        <f>IFERROR(__xludf.DUMMYFUNCTION("""COMPUTED_VALUE"""),23.0)</f>
        <v>23</v>
      </c>
      <c r="Z52" s="9">
        <f>IFERROR(__xludf.DUMMYFUNCTION("""COMPUTED_VALUE"""),0.0)</f>
        <v>0</v>
      </c>
      <c r="AA52" s="9">
        <f>IFERROR(__xludf.DUMMYFUNCTION("""COMPUTED_VALUE"""),0.0)</f>
        <v>0</v>
      </c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</row>
    <row r="53">
      <c r="A53" s="8">
        <f>IFERROR(__xludf.DUMMYFUNCTION("""COMPUTED_VALUE"""),45171.0)</f>
        <v>45171</v>
      </c>
      <c r="B53" s="9">
        <f>IFERROR(__xludf.DUMMYFUNCTION("""COMPUTED_VALUE"""),12.0)</f>
        <v>12</v>
      </c>
      <c r="C53" s="9">
        <f>IFERROR(__xludf.DUMMYFUNCTION("""COMPUTED_VALUE"""),40.0)</f>
        <v>40</v>
      </c>
      <c r="D53" s="9">
        <f>IFERROR(__xludf.DUMMYFUNCTION("""COMPUTED_VALUE"""),3.0)</f>
        <v>3</v>
      </c>
      <c r="E53" s="9">
        <f>IFERROR(__xludf.DUMMYFUNCTION("""COMPUTED_VALUE"""),556.0)</f>
        <v>556</v>
      </c>
      <c r="F53" s="9">
        <f>IFERROR(__xludf.DUMMYFUNCTION("""COMPUTED_VALUE"""),46.0)</f>
        <v>46</v>
      </c>
      <c r="G53" s="9">
        <f>IFERROR(__xludf.DUMMYFUNCTION("""COMPUTED_VALUE"""),0.0)</f>
        <v>0</v>
      </c>
      <c r="H53" s="9"/>
      <c r="I53" s="9">
        <f>IFERROR(__xludf.DUMMYFUNCTION("""COMPUTED_VALUE"""),10.0)</f>
        <v>10</v>
      </c>
      <c r="J53" s="9">
        <f>IFERROR(__xludf.DUMMYFUNCTION("""COMPUTED_VALUE"""),1.0)</f>
        <v>1</v>
      </c>
      <c r="K53" s="9">
        <f>IFERROR(__xludf.DUMMYFUNCTION("""COMPUTED_VALUE"""),0.0)</f>
        <v>0</v>
      </c>
      <c r="L53" s="9">
        <f>IFERROR(__xludf.DUMMYFUNCTION("""COMPUTED_VALUE"""),0.0)</f>
        <v>0</v>
      </c>
      <c r="M53" s="9">
        <f>IFERROR(__xludf.DUMMYFUNCTION("""COMPUTED_VALUE"""),11.0)</f>
        <v>11</v>
      </c>
      <c r="N53" s="9">
        <f>IFERROR(__xludf.DUMMYFUNCTION("""COMPUTED_VALUE"""),6.0)</f>
        <v>6</v>
      </c>
      <c r="O53" s="9">
        <f>IFERROR(__xludf.DUMMYFUNCTION("""COMPUTED_VALUE"""),2.0)</f>
        <v>2</v>
      </c>
      <c r="P53" s="9">
        <f>IFERROR(__xludf.DUMMYFUNCTION("""COMPUTED_VALUE"""),4.0)</f>
        <v>4</v>
      </c>
      <c r="Q53" s="9">
        <f>IFERROR(__xludf.DUMMYFUNCTION("""COMPUTED_VALUE"""),0.0)</f>
        <v>0</v>
      </c>
      <c r="R53" s="9">
        <f>IFERROR(__xludf.DUMMYFUNCTION("""COMPUTED_VALUE"""),2.0)</f>
        <v>2</v>
      </c>
      <c r="S53" s="9">
        <f>IFERROR(__xludf.DUMMYFUNCTION("""COMPUTED_VALUE"""),5.0)</f>
        <v>5</v>
      </c>
      <c r="T53" s="9">
        <f>IFERROR(__xludf.DUMMYFUNCTION("""COMPUTED_VALUE"""),1.0)</f>
        <v>1</v>
      </c>
      <c r="U53" s="9">
        <f>IFERROR(__xludf.DUMMYFUNCTION("""COMPUTED_VALUE"""),0.0)</f>
        <v>0</v>
      </c>
      <c r="V53" s="9">
        <f>IFERROR(__xludf.DUMMYFUNCTION("""COMPUTED_VALUE"""),4.0)</f>
        <v>4</v>
      </c>
      <c r="W53" s="9">
        <f>IFERROR(__xludf.DUMMYFUNCTION("""COMPUTED_VALUE"""),1.0)</f>
        <v>1</v>
      </c>
      <c r="X53" s="9">
        <f>IFERROR(__xludf.DUMMYFUNCTION("""COMPUTED_VALUE"""),2.0)</f>
        <v>2</v>
      </c>
      <c r="Y53" s="9">
        <f>IFERROR(__xludf.DUMMYFUNCTION("""COMPUTED_VALUE"""),7.0)</f>
        <v>7</v>
      </c>
      <c r="Z53" s="9">
        <f>IFERROR(__xludf.DUMMYFUNCTION("""COMPUTED_VALUE"""),2.0)</f>
        <v>2</v>
      </c>
      <c r="AA53" s="9">
        <f>IFERROR(__xludf.DUMMYFUNCTION("""COMPUTED_VALUE"""),2.0)</f>
        <v>2</v>
      </c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</row>
    <row r="54">
      <c r="A54" s="8">
        <f>IFERROR(__xludf.DUMMYFUNCTION("""COMPUTED_VALUE"""),45172.0)</f>
        <v>45172</v>
      </c>
      <c r="B54" s="9">
        <f>IFERROR(__xludf.DUMMYFUNCTION("""COMPUTED_VALUE"""),0.0)</f>
        <v>0</v>
      </c>
      <c r="C54" s="9">
        <f>IFERROR(__xludf.DUMMYFUNCTION("""COMPUTED_VALUE"""),0.0)</f>
        <v>0</v>
      </c>
      <c r="D54" s="9">
        <f>IFERROR(__xludf.DUMMYFUNCTION("""COMPUTED_VALUE"""),0.0)</f>
        <v>0</v>
      </c>
      <c r="E54" s="9">
        <f>IFERROR(__xludf.DUMMYFUNCTION("""COMPUTED_VALUE"""),0.0)</f>
        <v>0</v>
      </c>
      <c r="F54" s="9">
        <f>IFERROR(__xludf.DUMMYFUNCTION("""COMPUTED_VALUE"""),0.0)</f>
        <v>0</v>
      </c>
      <c r="G54" s="9">
        <f>IFERROR(__xludf.DUMMYFUNCTION("""COMPUTED_VALUE"""),0.0)</f>
        <v>0</v>
      </c>
      <c r="H54" s="9"/>
      <c r="I54" s="9">
        <f>IFERROR(__xludf.DUMMYFUNCTION("""COMPUTED_VALUE"""),0.0)</f>
        <v>0</v>
      </c>
      <c r="J54" s="9">
        <f>IFERROR(__xludf.DUMMYFUNCTION("""COMPUTED_VALUE"""),0.0)</f>
        <v>0</v>
      </c>
      <c r="K54" s="9">
        <f>IFERROR(__xludf.DUMMYFUNCTION("""COMPUTED_VALUE"""),0.0)</f>
        <v>0</v>
      </c>
      <c r="L54" s="9">
        <f>IFERROR(__xludf.DUMMYFUNCTION("""COMPUTED_VALUE"""),0.0)</f>
        <v>0</v>
      </c>
      <c r="M54" s="9">
        <f>IFERROR(__xludf.DUMMYFUNCTION("""COMPUTED_VALUE"""),0.0)</f>
        <v>0</v>
      </c>
      <c r="N54" s="9">
        <f>IFERROR(__xludf.DUMMYFUNCTION("""COMPUTED_VALUE"""),0.0)</f>
        <v>0</v>
      </c>
      <c r="O54" s="9">
        <f>IFERROR(__xludf.DUMMYFUNCTION("""COMPUTED_VALUE"""),0.0)</f>
        <v>0</v>
      </c>
      <c r="P54" s="9">
        <f>IFERROR(__xludf.DUMMYFUNCTION("""COMPUTED_VALUE"""),0.0)</f>
        <v>0</v>
      </c>
      <c r="Q54" s="9">
        <f>IFERROR(__xludf.DUMMYFUNCTION("""COMPUTED_VALUE"""),0.0)</f>
        <v>0</v>
      </c>
      <c r="R54" s="9">
        <f>IFERROR(__xludf.DUMMYFUNCTION("""COMPUTED_VALUE"""),0.0)</f>
        <v>0</v>
      </c>
      <c r="S54" s="9">
        <f>IFERROR(__xludf.DUMMYFUNCTION("""COMPUTED_VALUE"""),0.0)</f>
        <v>0</v>
      </c>
      <c r="T54" s="9">
        <f>IFERROR(__xludf.DUMMYFUNCTION("""COMPUTED_VALUE"""),0.0)</f>
        <v>0</v>
      </c>
      <c r="U54" s="9">
        <f>IFERROR(__xludf.DUMMYFUNCTION("""COMPUTED_VALUE"""),0.0)</f>
        <v>0</v>
      </c>
      <c r="V54" s="9">
        <f>IFERROR(__xludf.DUMMYFUNCTION("""COMPUTED_VALUE"""),0.0)</f>
        <v>0</v>
      </c>
      <c r="W54" s="9">
        <f>IFERROR(__xludf.DUMMYFUNCTION("""COMPUTED_VALUE"""),0.0)</f>
        <v>0</v>
      </c>
      <c r="X54" s="9">
        <f>IFERROR(__xludf.DUMMYFUNCTION("""COMPUTED_VALUE"""),0.0)</f>
        <v>0</v>
      </c>
      <c r="Y54" s="9">
        <f>IFERROR(__xludf.DUMMYFUNCTION("""COMPUTED_VALUE"""),0.0)</f>
        <v>0</v>
      </c>
      <c r="Z54" s="9">
        <f>IFERROR(__xludf.DUMMYFUNCTION("""COMPUTED_VALUE"""),0.0)</f>
        <v>0</v>
      </c>
      <c r="AA54" s="9">
        <f>IFERROR(__xludf.DUMMYFUNCTION("""COMPUTED_VALUE"""),0.0)</f>
        <v>0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</row>
    <row r="55">
      <c r="A55" s="8">
        <f>IFERROR(__xludf.DUMMYFUNCTION("""COMPUTED_VALUE"""),45173.0)</f>
        <v>45173</v>
      </c>
      <c r="B55" s="9">
        <f>IFERROR(__xludf.DUMMYFUNCTION("""COMPUTED_VALUE"""),36.0)</f>
        <v>36</v>
      </c>
      <c r="C55" s="9">
        <f>IFERROR(__xludf.DUMMYFUNCTION("""COMPUTED_VALUE"""),129.0)</f>
        <v>129</v>
      </c>
      <c r="D55" s="9">
        <f>IFERROR(__xludf.DUMMYFUNCTION("""COMPUTED_VALUE"""),4.0)</f>
        <v>4</v>
      </c>
      <c r="E55" s="9">
        <f>IFERROR(__xludf.DUMMYFUNCTION("""COMPUTED_VALUE"""),2306.0)</f>
        <v>2306</v>
      </c>
      <c r="F55" s="9">
        <f>IFERROR(__xludf.DUMMYFUNCTION("""COMPUTED_VALUE"""),64.0)</f>
        <v>64</v>
      </c>
      <c r="G55" s="9">
        <f>IFERROR(__xludf.DUMMYFUNCTION("""COMPUTED_VALUE"""),0.0)</f>
        <v>0</v>
      </c>
      <c r="H55" s="9"/>
      <c r="I55" s="9">
        <f>IFERROR(__xludf.DUMMYFUNCTION("""COMPUTED_VALUE"""),32.0)</f>
        <v>32</v>
      </c>
      <c r="J55" s="9">
        <f>IFERROR(__xludf.DUMMYFUNCTION("""COMPUTED_VALUE"""),2.0)</f>
        <v>2</v>
      </c>
      <c r="K55" s="9">
        <f>IFERROR(__xludf.DUMMYFUNCTION("""COMPUTED_VALUE"""),0.0)</f>
        <v>0</v>
      </c>
      <c r="L55" s="9">
        <f>IFERROR(__xludf.DUMMYFUNCTION("""COMPUTED_VALUE"""),0.0)</f>
        <v>0</v>
      </c>
      <c r="M55" s="9">
        <f>IFERROR(__xludf.DUMMYFUNCTION("""COMPUTED_VALUE"""),34.0)</f>
        <v>34</v>
      </c>
      <c r="N55" s="9">
        <f>IFERROR(__xludf.DUMMYFUNCTION("""COMPUTED_VALUE"""),24.0)</f>
        <v>24</v>
      </c>
      <c r="O55" s="9">
        <f>IFERROR(__xludf.DUMMYFUNCTION("""COMPUTED_VALUE"""),1.0)</f>
        <v>1</v>
      </c>
      <c r="P55" s="9">
        <f>IFERROR(__xludf.DUMMYFUNCTION("""COMPUTED_VALUE"""),11.0)</f>
        <v>11</v>
      </c>
      <c r="Q55" s="9">
        <f>IFERROR(__xludf.DUMMYFUNCTION("""COMPUTED_VALUE"""),15.0)</f>
        <v>15</v>
      </c>
      <c r="R55" s="9">
        <f>IFERROR(__xludf.DUMMYFUNCTION("""COMPUTED_VALUE"""),3.0)</f>
        <v>3</v>
      </c>
      <c r="S55" s="9">
        <f>IFERROR(__xludf.DUMMYFUNCTION("""COMPUTED_VALUE"""),12.0)</f>
        <v>12</v>
      </c>
      <c r="T55" s="9">
        <f>IFERROR(__xludf.DUMMYFUNCTION("""COMPUTED_VALUE"""),2.0)</f>
        <v>2</v>
      </c>
      <c r="U55" s="9">
        <f>IFERROR(__xludf.DUMMYFUNCTION("""COMPUTED_VALUE"""),0.0)</f>
        <v>0</v>
      </c>
      <c r="V55" s="9">
        <f>IFERROR(__xludf.DUMMYFUNCTION("""COMPUTED_VALUE"""),18.0)</f>
        <v>18</v>
      </c>
      <c r="W55" s="9">
        <f>IFERROR(__xludf.DUMMYFUNCTION("""COMPUTED_VALUE"""),0.0)</f>
        <v>0</v>
      </c>
      <c r="X55" s="9">
        <f>IFERROR(__xludf.DUMMYFUNCTION("""COMPUTED_VALUE"""),16.0)</f>
        <v>16</v>
      </c>
      <c r="Y55" s="9">
        <f>IFERROR(__xludf.DUMMYFUNCTION("""COMPUTED_VALUE"""),26.0)</f>
        <v>26</v>
      </c>
      <c r="Z55" s="9">
        <f>IFERROR(__xludf.DUMMYFUNCTION("""COMPUTED_VALUE"""),2.0)</f>
        <v>2</v>
      </c>
      <c r="AA55" s="9">
        <f>IFERROR(__xludf.DUMMYFUNCTION("""COMPUTED_VALUE"""),0.0)</f>
        <v>0</v>
      </c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</row>
    <row r="56">
      <c r="A56" s="8">
        <f>IFERROR(__xludf.DUMMYFUNCTION("""COMPUTED_VALUE"""),45174.0)</f>
        <v>45174</v>
      </c>
      <c r="B56" s="9">
        <f>IFERROR(__xludf.DUMMYFUNCTION("""COMPUTED_VALUE"""),19.0)</f>
        <v>19</v>
      </c>
      <c r="C56" s="9">
        <f>IFERROR(__xludf.DUMMYFUNCTION("""COMPUTED_VALUE"""),78.0)</f>
        <v>78</v>
      </c>
      <c r="D56" s="9">
        <f>IFERROR(__xludf.DUMMYFUNCTION("""COMPUTED_VALUE"""),4.0)</f>
        <v>4</v>
      </c>
      <c r="E56" s="9">
        <f>IFERROR(__xludf.DUMMYFUNCTION("""COMPUTED_VALUE"""),1582.0)</f>
        <v>1582</v>
      </c>
      <c r="F56" s="9">
        <f>IFERROR(__xludf.DUMMYFUNCTION("""COMPUTED_VALUE"""),83.0)</f>
        <v>83</v>
      </c>
      <c r="G56" s="9">
        <f>IFERROR(__xludf.DUMMYFUNCTION("""COMPUTED_VALUE"""),0.0)</f>
        <v>0</v>
      </c>
      <c r="H56" s="9"/>
      <c r="I56" s="9">
        <f>IFERROR(__xludf.DUMMYFUNCTION("""COMPUTED_VALUE"""),17.0)</f>
        <v>17</v>
      </c>
      <c r="J56" s="9">
        <f>IFERROR(__xludf.DUMMYFUNCTION("""COMPUTED_VALUE"""),1.0)</f>
        <v>1</v>
      </c>
      <c r="K56" s="9">
        <f>IFERROR(__xludf.DUMMYFUNCTION("""COMPUTED_VALUE"""),0.0)</f>
        <v>0</v>
      </c>
      <c r="L56" s="9">
        <f>IFERROR(__xludf.DUMMYFUNCTION("""COMPUTED_VALUE"""),0.0)</f>
        <v>0</v>
      </c>
      <c r="M56" s="9">
        <f>IFERROR(__xludf.DUMMYFUNCTION("""COMPUTED_VALUE"""),18.0)</f>
        <v>18</v>
      </c>
      <c r="N56" s="9">
        <f>IFERROR(__xludf.DUMMYFUNCTION("""COMPUTED_VALUE"""),14.0)</f>
        <v>14</v>
      </c>
      <c r="O56" s="9">
        <f>IFERROR(__xludf.DUMMYFUNCTION("""COMPUTED_VALUE"""),1.0)</f>
        <v>1</v>
      </c>
      <c r="P56" s="9">
        <f>IFERROR(__xludf.DUMMYFUNCTION("""COMPUTED_VALUE"""),4.0)</f>
        <v>4</v>
      </c>
      <c r="Q56" s="9">
        <f>IFERROR(__xludf.DUMMYFUNCTION("""COMPUTED_VALUE"""),10.0)</f>
        <v>10</v>
      </c>
      <c r="R56" s="9">
        <f>IFERROR(__xludf.DUMMYFUNCTION("""COMPUTED_VALUE"""),3.0)</f>
        <v>3</v>
      </c>
      <c r="S56" s="9">
        <f>IFERROR(__xludf.DUMMYFUNCTION("""COMPUTED_VALUE"""),5.0)</f>
        <v>5</v>
      </c>
      <c r="T56" s="9">
        <f>IFERROR(__xludf.DUMMYFUNCTION("""COMPUTED_VALUE"""),0.0)</f>
        <v>0</v>
      </c>
      <c r="U56" s="9">
        <f>IFERROR(__xludf.DUMMYFUNCTION("""COMPUTED_VALUE"""),0.0)</f>
        <v>0</v>
      </c>
      <c r="V56" s="9">
        <f>IFERROR(__xludf.DUMMYFUNCTION("""COMPUTED_VALUE"""),13.0)</f>
        <v>13</v>
      </c>
      <c r="W56" s="9">
        <f>IFERROR(__xludf.DUMMYFUNCTION("""COMPUTED_VALUE"""),1.0)</f>
        <v>1</v>
      </c>
      <c r="X56" s="9">
        <f>IFERROR(__xludf.DUMMYFUNCTION("""COMPUTED_VALUE"""),17.0)</f>
        <v>17</v>
      </c>
      <c r="Y56" s="9">
        <f>IFERROR(__xludf.DUMMYFUNCTION("""COMPUTED_VALUE"""),15.0)</f>
        <v>15</v>
      </c>
      <c r="Z56" s="9">
        <f>IFERROR(__xludf.DUMMYFUNCTION("""COMPUTED_VALUE"""),1.0)</f>
        <v>1</v>
      </c>
      <c r="AA56" s="9">
        <f>IFERROR(__xludf.DUMMYFUNCTION("""COMPUTED_VALUE"""),0.0)</f>
        <v>0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</row>
    <row r="57">
      <c r="A57" s="8">
        <f>IFERROR(__xludf.DUMMYFUNCTION("""COMPUTED_VALUE"""),45175.0)</f>
        <v>45175</v>
      </c>
      <c r="B57" s="9">
        <f>IFERROR(__xludf.DUMMYFUNCTION("""COMPUTED_VALUE"""),22.0)</f>
        <v>22</v>
      </c>
      <c r="C57" s="9">
        <f>IFERROR(__xludf.DUMMYFUNCTION("""COMPUTED_VALUE"""),102.0)</f>
        <v>102</v>
      </c>
      <c r="D57" s="9">
        <f>IFERROR(__xludf.DUMMYFUNCTION("""COMPUTED_VALUE"""),5.0)</f>
        <v>5</v>
      </c>
      <c r="E57" s="9">
        <f>IFERROR(__xludf.DUMMYFUNCTION("""COMPUTED_VALUE"""),1795.0)</f>
        <v>1795</v>
      </c>
      <c r="F57" s="9">
        <f>IFERROR(__xludf.DUMMYFUNCTION("""COMPUTED_VALUE"""),82.0)</f>
        <v>82</v>
      </c>
      <c r="G57" s="9">
        <f>IFERROR(__xludf.DUMMYFUNCTION("""COMPUTED_VALUE"""),0.0)</f>
        <v>0</v>
      </c>
      <c r="H57" s="9"/>
      <c r="I57" s="9">
        <f>IFERROR(__xludf.DUMMYFUNCTION("""COMPUTED_VALUE"""),16.0)</f>
        <v>16</v>
      </c>
      <c r="J57" s="9">
        <f>IFERROR(__xludf.DUMMYFUNCTION("""COMPUTED_VALUE"""),3.0)</f>
        <v>3</v>
      </c>
      <c r="K57" s="9">
        <f>IFERROR(__xludf.DUMMYFUNCTION("""COMPUTED_VALUE"""),0.0)</f>
        <v>0</v>
      </c>
      <c r="L57" s="9">
        <f>IFERROR(__xludf.DUMMYFUNCTION("""COMPUTED_VALUE"""),0.0)</f>
        <v>0</v>
      </c>
      <c r="M57" s="9">
        <f>IFERROR(__xludf.DUMMYFUNCTION("""COMPUTED_VALUE"""),19.0)</f>
        <v>19</v>
      </c>
      <c r="N57" s="9">
        <f>IFERROR(__xludf.DUMMYFUNCTION("""COMPUTED_VALUE"""),16.0)</f>
        <v>16</v>
      </c>
      <c r="O57" s="9">
        <f>IFERROR(__xludf.DUMMYFUNCTION("""COMPUTED_VALUE"""),0.0)</f>
        <v>0</v>
      </c>
      <c r="P57" s="9">
        <f>IFERROR(__xludf.DUMMYFUNCTION("""COMPUTED_VALUE"""),6.0)</f>
        <v>6</v>
      </c>
      <c r="Q57" s="9">
        <f>IFERROR(__xludf.DUMMYFUNCTION("""COMPUTED_VALUE"""),9.0)</f>
        <v>9</v>
      </c>
      <c r="R57" s="9">
        <f>IFERROR(__xludf.DUMMYFUNCTION("""COMPUTED_VALUE"""),6.0)</f>
        <v>6</v>
      </c>
      <c r="S57" s="9">
        <f>IFERROR(__xludf.DUMMYFUNCTION("""COMPUTED_VALUE"""),12.0)</f>
        <v>12</v>
      </c>
      <c r="T57" s="9">
        <f>IFERROR(__xludf.DUMMYFUNCTION("""COMPUTED_VALUE"""),0.0)</f>
        <v>0</v>
      </c>
      <c r="U57" s="9">
        <f>IFERROR(__xludf.DUMMYFUNCTION("""COMPUTED_VALUE"""),0.0)</f>
        <v>0</v>
      </c>
      <c r="V57" s="9">
        <f>IFERROR(__xludf.DUMMYFUNCTION("""COMPUTED_VALUE"""),15.0)</f>
        <v>15</v>
      </c>
      <c r="W57" s="9">
        <f>IFERROR(__xludf.DUMMYFUNCTION("""COMPUTED_VALUE"""),0.0)</f>
        <v>0</v>
      </c>
      <c r="X57" s="9">
        <f>IFERROR(__xludf.DUMMYFUNCTION("""COMPUTED_VALUE"""),14.0)</f>
        <v>14</v>
      </c>
      <c r="Y57" s="9">
        <f>IFERROR(__xludf.DUMMYFUNCTION("""COMPUTED_VALUE"""),19.0)</f>
        <v>19</v>
      </c>
      <c r="Z57" s="9">
        <f>IFERROR(__xludf.DUMMYFUNCTION("""COMPUTED_VALUE"""),0.0)</f>
        <v>0</v>
      </c>
      <c r="AA57" s="9">
        <f>IFERROR(__xludf.DUMMYFUNCTION("""COMPUTED_VALUE"""),0.0)</f>
        <v>0</v>
      </c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</row>
    <row r="58">
      <c r="A58" s="8">
        <f>IFERROR(__xludf.DUMMYFUNCTION("""COMPUTED_VALUE"""),45176.0)</f>
        <v>45176</v>
      </c>
      <c r="B58" s="9">
        <f>IFERROR(__xludf.DUMMYFUNCTION("""COMPUTED_VALUE"""),26.0)</f>
        <v>26</v>
      </c>
      <c r="C58" s="9">
        <f>IFERROR(__xludf.DUMMYFUNCTION("""COMPUTED_VALUE"""),114.0)</f>
        <v>114</v>
      </c>
      <c r="D58" s="9">
        <f>IFERROR(__xludf.DUMMYFUNCTION("""COMPUTED_VALUE"""),4.0)</f>
        <v>4</v>
      </c>
      <c r="E58" s="9">
        <f>IFERROR(__xludf.DUMMYFUNCTION("""COMPUTED_VALUE"""),2297.0)</f>
        <v>2297</v>
      </c>
      <c r="F58" s="9">
        <f>IFERROR(__xludf.DUMMYFUNCTION("""COMPUTED_VALUE"""),88.0)</f>
        <v>88</v>
      </c>
      <c r="G58" s="9">
        <f>IFERROR(__xludf.DUMMYFUNCTION("""COMPUTED_VALUE"""),0.0)</f>
        <v>0</v>
      </c>
      <c r="H58" s="9"/>
      <c r="I58" s="9">
        <f>IFERROR(__xludf.DUMMYFUNCTION("""COMPUTED_VALUE"""),20.0)</f>
        <v>20</v>
      </c>
      <c r="J58" s="9">
        <f>IFERROR(__xludf.DUMMYFUNCTION("""COMPUTED_VALUE"""),3.0)</f>
        <v>3</v>
      </c>
      <c r="K58" s="9">
        <f>IFERROR(__xludf.DUMMYFUNCTION("""COMPUTED_VALUE"""),0.0)</f>
        <v>0</v>
      </c>
      <c r="L58" s="9">
        <f>IFERROR(__xludf.DUMMYFUNCTION("""COMPUTED_VALUE"""),0.0)</f>
        <v>0</v>
      </c>
      <c r="M58" s="9">
        <f>IFERROR(__xludf.DUMMYFUNCTION("""COMPUTED_VALUE"""),23.0)</f>
        <v>23</v>
      </c>
      <c r="N58" s="9">
        <f>IFERROR(__xludf.DUMMYFUNCTION("""COMPUTED_VALUE"""),16.0)</f>
        <v>16</v>
      </c>
      <c r="O58" s="9">
        <f>IFERROR(__xludf.DUMMYFUNCTION("""COMPUTED_VALUE"""),0.0)</f>
        <v>0</v>
      </c>
      <c r="P58" s="9">
        <f>IFERROR(__xludf.DUMMYFUNCTION("""COMPUTED_VALUE"""),10.0)</f>
        <v>10</v>
      </c>
      <c r="Q58" s="9">
        <f>IFERROR(__xludf.DUMMYFUNCTION("""COMPUTED_VALUE"""),11.0)</f>
        <v>11</v>
      </c>
      <c r="R58" s="9">
        <f>IFERROR(__xludf.DUMMYFUNCTION("""COMPUTED_VALUE"""),4.0)</f>
        <v>4</v>
      </c>
      <c r="S58" s="9">
        <f>IFERROR(__xludf.DUMMYFUNCTION("""COMPUTED_VALUE"""),10.0)</f>
        <v>10</v>
      </c>
      <c r="T58" s="9">
        <f>IFERROR(__xludf.DUMMYFUNCTION("""COMPUTED_VALUE"""),0.0)</f>
        <v>0</v>
      </c>
      <c r="U58" s="9">
        <f>IFERROR(__xludf.DUMMYFUNCTION("""COMPUTED_VALUE"""),0.0)</f>
        <v>0</v>
      </c>
      <c r="V58" s="9">
        <f>IFERROR(__xludf.DUMMYFUNCTION("""COMPUTED_VALUE"""),15.0)</f>
        <v>15</v>
      </c>
      <c r="W58" s="9">
        <f>IFERROR(__xludf.DUMMYFUNCTION("""COMPUTED_VALUE"""),1.0)</f>
        <v>1</v>
      </c>
      <c r="X58" s="9">
        <f>IFERROR(__xludf.DUMMYFUNCTION("""COMPUTED_VALUE"""),32.0)</f>
        <v>32</v>
      </c>
      <c r="Y58" s="9">
        <f>IFERROR(__xludf.DUMMYFUNCTION("""COMPUTED_VALUE"""),18.0)</f>
        <v>18</v>
      </c>
      <c r="Z58" s="9">
        <f>IFERROR(__xludf.DUMMYFUNCTION("""COMPUTED_VALUE"""),1.0)</f>
        <v>1</v>
      </c>
      <c r="AA58" s="9">
        <f>IFERROR(__xludf.DUMMYFUNCTION("""COMPUTED_VALUE"""),0.0)</f>
        <v>0</v>
      </c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</row>
    <row r="59">
      <c r="A59" s="8">
        <f>IFERROR(__xludf.DUMMYFUNCTION("""COMPUTED_VALUE"""),45177.0)</f>
        <v>45177</v>
      </c>
      <c r="B59" s="9">
        <f>IFERROR(__xludf.DUMMYFUNCTION("""COMPUTED_VALUE"""),24.0)</f>
        <v>24</v>
      </c>
      <c r="C59" s="9">
        <f>IFERROR(__xludf.DUMMYFUNCTION("""COMPUTED_VALUE"""),86.0)</f>
        <v>86</v>
      </c>
      <c r="D59" s="9">
        <f>IFERROR(__xludf.DUMMYFUNCTION("""COMPUTED_VALUE"""),4.0)</f>
        <v>4</v>
      </c>
      <c r="E59" s="9">
        <f>IFERROR(__xludf.DUMMYFUNCTION("""COMPUTED_VALUE"""),1499.0)</f>
        <v>1499</v>
      </c>
      <c r="F59" s="9">
        <f>IFERROR(__xludf.DUMMYFUNCTION("""COMPUTED_VALUE"""),62.0)</f>
        <v>62</v>
      </c>
      <c r="G59" s="9">
        <f>IFERROR(__xludf.DUMMYFUNCTION("""COMPUTED_VALUE"""),0.0)</f>
        <v>0</v>
      </c>
      <c r="H59" s="9"/>
      <c r="I59" s="9">
        <f>IFERROR(__xludf.DUMMYFUNCTION("""COMPUTED_VALUE"""),20.0)</f>
        <v>20</v>
      </c>
      <c r="J59" s="9">
        <f>IFERROR(__xludf.DUMMYFUNCTION("""COMPUTED_VALUE"""),2.0)</f>
        <v>2</v>
      </c>
      <c r="K59" s="9">
        <f>IFERROR(__xludf.DUMMYFUNCTION("""COMPUTED_VALUE"""),0.0)</f>
        <v>0</v>
      </c>
      <c r="L59" s="9">
        <f>IFERROR(__xludf.DUMMYFUNCTION("""COMPUTED_VALUE"""),0.0)</f>
        <v>0</v>
      </c>
      <c r="M59" s="9">
        <f>IFERROR(__xludf.DUMMYFUNCTION("""COMPUTED_VALUE"""),22.0)</f>
        <v>22</v>
      </c>
      <c r="N59" s="9">
        <f>IFERROR(__xludf.DUMMYFUNCTION("""COMPUTED_VALUE"""),18.0)</f>
        <v>18</v>
      </c>
      <c r="O59" s="9">
        <f>IFERROR(__xludf.DUMMYFUNCTION("""COMPUTED_VALUE"""),0.0)</f>
        <v>0</v>
      </c>
      <c r="P59" s="9">
        <f>IFERROR(__xludf.DUMMYFUNCTION("""COMPUTED_VALUE"""),6.0)</f>
        <v>6</v>
      </c>
      <c r="Q59" s="9">
        <f>IFERROR(__xludf.DUMMYFUNCTION("""COMPUTED_VALUE"""),8.0)</f>
        <v>8</v>
      </c>
      <c r="R59" s="9">
        <f>IFERROR(__xludf.DUMMYFUNCTION("""COMPUTED_VALUE"""),4.0)</f>
        <v>4</v>
      </c>
      <c r="S59" s="9">
        <f>IFERROR(__xludf.DUMMYFUNCTION("""COMPUTED_VALUE"""),5.0)</f>
        <v>5</v>
      </c>
      <c r="T59" s="9">
        <f>IFERROR(__xludf.DUMMYFUNCTION("""COMPUTED_VALUE"""),1.0)</f>
        <v>1</v>
      </c>
      <c r="U59" s="9">
        <f>IFERROR(__xludf.DUMMYFUNCTION("""COMPUTED_VALUE"""),0.0)</f>
        <v>0</v>
      </c>
      <c r="V59" s="9">
        <f>IFERROR(__xludf.DUMMYFUNCTION("""COMPUTED_VALUE"""),12.0)</f>
        <v>12</v>
      </c>
      <c r="W59" s="9">
        <f>IFERROR(__xludf.DUMMYFUNCTION("""COMPUTED_VALUE"""),1.0)</f>
        <v>1</v>
      </c>
      <c r="X59" s="9">
        <f>IFERROR(__xludf.DUMMYFUNCTION("""COMPUTED_VALUE"""),15.0)</f>
        <v>15</v>
      </c>
      <c r="Y59" s="9">
        <f>IFERROR(__xludf.DUMMYFUNCTION("""COMPUTED_VALUE"""),14.0)</f>
        <v>14</v>
      </c>
      <c r="Z59" s="9">
        <f>IFERROR(__xludf.DUMMYFUNCTION("""COMPUTED_VALUE"""),2.0)</f>
        <v>2</v>
      </c>
      <c r="AA59" s="9">
        <f>IFERROR(__xludf.DUMMYFUNCTION("""COMPUTED_VALUE"""),0.0)</f>
        <v>0</v>
      </c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</row>
    <row r="60">
      <c r="A60" s="8">
        <f>IFERROR(__xludf.DUMMYFUNCTION("""COMPUTED_VALUE"""),45178.0)</f>
        <v>45178</v>
      </c>
      <c r="B60" s="9">
        <f>IFERROR(__xludf.DUMMYFUNCTION("""COMPUTED_VALUE"""),8.0)</f>
        <v>8</v>
      </c>
      <c r="C60" s="9">
        <f>IFERROR(__xludf.DUMMYFUNCTION("""COMPUTED_VALUE"""),24.0)</f>
        <v>24</v>
      </c>
      <c r="D60" s="9">
        <f>IFERROR(__xludf.DUMMYFUNCTION("""COMPUTED_VALUE"""),3.0)</f>
        <v>3</v>
      </c>
      <c r="E60" s="9">
        <f>IFERROR(__xludf.DUMMYFUNCTION("""COMPUTED_VALUE"""),349.0)</f>
        <v>349</v>
      </c>
      <c r="F60" s="9">
        <f>IFERROR(__xludf.DUMMYFUNCTION("""COMPUTED_VALUE"""),44.0)</f>
        <v>44</v>
      </c>
      <c r="G60" s="9">
        <f>IFERROR(__xludf.DUMMYFUNCTION("""COMPUTED_VALUE"""),0.0)</f>
        <v>0</v>
      </c>
      <c r="H60" s="9"/>
      <c r="I60" s="9">
        <f>IFERROR(__xludf.DUMMYFUNCTION("""COMPUTED_VALUE"""),8.0)</f>
        <v>8</v>
      </c>
      <c r="J60" s="9">
        <f>IFERROR(__xludf.DUMMYFUNCTION("""COMPUTED_VALUE"""),0.0)</f>
        <v>0</v>
      </c>
      <c r="K60" s="9">
        <f>IFERROR(__xludf.DUMMYFUNCTION("""COMPUTED_VALUE"""),0.0)</f>
        <v>0</v>
      </c>
      <c r="L60" s="9">
        <f>IFERROR(__xludf.DUMMYFUNCTION("""COMPUTED_VALUE"""),0.0)</f>
        <v>0</v>
      </c>
      <c r="M60" s="9">
        <f>IFERROR(__xludf.DUMMYFUNCTION("""COMPUTED_VALUE"""),8.0)</f>
        <v>8</v>
      </c>
      <c r="N60" s="9">
        <f>IFERROR(__xludf.DUMMYFUNCTION("""COMPUTED_VALUE"""),6.0)</f>
        <v>6</v>
      </c>
      <c r="O60" s="9">
        <f>IFERROR(__xludf.DUMMYFUNCTION("""COMPUTED_VALUE"""),1.0)</f>
        <v>1</v>
      </c>
      <c r="P60" s="9">
        <f>IFERROR(__xludf.DUMMYFUNCTION("""COMPUTED_VALUE"""),1.0)</f>
        <v>1</v>
      </c>
      <c r="Q60" s="9">
        <f>IFERROR(__xludf.DUMMYFUNCTION("""COMPUTED_VALUE"""),4.0)</f>
        <v>4</v>
      </c>
      <c r="R60" s="9">
        <f>IFERROR(__xludf.DUMMYFUNCTION("""COMPUTED_VALUE"""),0.0)</f>
        <v>0</v>
      </c>
      <c r="S60" s="9">
        <f>IFERROR(__xludf.DUMMYFUNCTION("""COMPUTED_VALUE"""),3.0)</f>
        <v>3</v>
      </c>
      <c r="T60" s="9">
        <f>IFERROR(__xludf.DUMMYFUNCTION("""COMPUTED_VALUE"""),0.0)</f>
        <v>0</v>
      </c>
      <c r="U60" s="9">
        <f>IFERROR(__xludf.DUMMYFUNCTION("""COMPUTED_VALUE"""),0.0)</f>
        <v>0</v>
      </c>
      <c r="V60" s="9">
        <f>IFERROR(__xludf.DUMMYFUNCTION("""COMPUTED_VALUE"""),5.0)</f>
        <v>5</v>
      </c>
      <c r="W60" s="9">
        <f>IFERROR(__xludf.DUMMYFUNCTION("""COMPUTED_VALUE"""),0.0)</f>
        <v>0</v>
      </c>
      <c r="X60" s="9">
        <f>IFERROR(__xludf.DUMMYFUNCTION("""COMPUTED_VALUE"""),0.0)</f>
        <v>0</v>
      </c>
      <c r="Y60" s="9">
        <f>IFERROR(__xludf.DUMMYFUNCTION("""COMPUTED_VALUE"""),5.0)</f>
        <v>5</v>
      </c>
      <c r="Z60" s="9">
        <f>IFERROR(__xludf.DUMMYFUNCTION("""COMPUTED_VALUE"""),0.0)</f>
        <v>0</v>
      </c>
      <c r="AA60" s="9">
        <f>IFERROR(__xludf.DUMMYFUNCTION("""COMPUTED_VALUE"""),1.0)</f>
        <v>1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</row>
    <row r="61">
      <c r="A61" s="8">
        <f>IFERROR(__xludf.DUMMYFUNCTION("""COMPUTED_VALUE"""),45179.0)</f>
        <v>45179</v>
      </c>
      <c r="B61" s="9">
        <f>IFERROR(__xludf.DUMMYFUNCTION("""COMPUTED_VALUE"""),0.0)</f>
        <v>0</v>
      </c>
      <c r="C61" s="9">
        <f>IFERROR(__xludf.DUMMYFUNCTION("""COMPUTED_VALUE"""),0.0)</f>
        <v>0</v>
      </c>
      <c r="D61" s="9">
        <f>IFERROR(__xludf.DUMMYFUNCTION("""COMPUTED_VALUE"""),0.0)</f>
        <v>0</v>
      </c>
      <c r="E61" s="9">
        <f>IFERROR(__xludf.DUMMYFUNCTION("""COMPUTED_VALUE"""),0.0)</f>
        <v>0</v>
      </c>
      <c r="F61" s="9">
        <f>IFERROR(__xludf.DUMMYFUNCTION("""COMPUTED_VALUE"""),0.0)</f>
        <v>0</v>
      </c>
      <c r="G61" s="9">
        <f>IFERROR(__xludf.DUMMYFUNCTION("""COMPUTED_VALUE"""),0.0)</f>
        <v>0</v>
      </c>
      <c r="H61" s="9"/>
      <c r="I61" s="9">
        <f>IFERROR(__xludf.DUMMYFUNCTION("""COMPUTED_VALUE"""),0.0)</f>
        <v>0</v>
      </c>
      <c r="J61" s="9">
        <f>IFERROR(__xludf.DUMMYFUNCTION("""COMPUTED_VALUE"""),0.0)</f>
        <v>0</v>
      </c>
      <c r="K61" s="9">
        <f>IFERROR(__xludf.DUMMYFUNCTION("""COMPUTED_VALUE"""),0.0)</f>
        <v>0</v>
      </c>
      <c r="L61" s="9">
        <f>IFERROR(__xludf.DUMMYFUNCTION("""COMPUTED_VALUE"""),0.0)</f>
        <v>0</v>
      </c>
      <c r="M61" s="9">
        <f>IFERROR(__xludf.DUMMYFUNCTION("""COMPUTED_VALUE"""),0.0)</f>
        <v>0</v>
      </c>
      <c r="N61" s="9">
        <f>IFERROR(__xludf.DUMMYFUNCTION("""COMPUTED_VALUE"""),0.0)</f>
        <v>0</v>
      </c>
      <c r="O61" s="9">
        <f>IFERROR(__xludf.DUMMYFUNCTION("""COMPUTED_VALUE"""),0.0)</f>
        <v>0</v>
      </c>
      <c r="P61" s="9">
        <f>IFERROR(__xludf.DUMMYFUNCTION("""COMPUTED_VALUE"""),0.0)</f>
        <v>0</v>
      </c>
      <c r="Q61" s="9">
        <f>IFERROR(__xludf.DUMMYFUNCTION("""COMPUTED_VALUE"""),0.0)</f>
        <v>0</v>
      </c>
      <c r="R61" s="9">
        <f>IFERROR(__xludf.DUMMYFUNCTION("""COMPUTED_VALUE"""),0.0)</f>
        <v>0</v>
      </c>
      <c r="S61" s="9">
        <f>IFERROR(__xludf.DUMMYFUNCTION("""COMPUTED_VALUE"""),0.0)</f>
        <v>0</v>
      </c>
      <c r="T61" s="9">
        <f>IFERROR(__xludf.DUMMYFUNCTION("""COMPUTED_VALUE"""),0.0)</f>
        <v>0</v>
      </c>
      <c r="U61" s="9">
        <f>IFERROR(__xludf.DUMMYFUNCTION("""COMPUTED_VALUE"""),0.0)</f>
        <v>0</v>
      </c>
      <c r="V61" s="9">
        <f>IFERROR(__xludf.DUMMYFUNCTION("""COMPUTED_VALUE"""),0.0)</f>
        <v>0</v>
      </c>
      <c r="W61" s="9">
        <f>IFERROR(__xludf.DUMMYFUNCTION("""COMPUTED_VALUE"""),0.0)</f>
        <v>0</v>
      </c>
      <c r="X61" s="9">
        <f>IFERROR(__xludf.DUMMYFUNCTION("""COMPUTED_VALUE"""),0.0)</f>
        <v>0</v>
      </c>
      <c r="Y61" s="9">
        <f>IFERROR(__xludf.DUMMYFUNCTION("""COMPUTED_VALUE"""),0.0)</f>
        <v>0</v>
      </c>
      <c r="Z61" s="9">
        <f>IFERROR(__xludf.DUMMYFUNCTION("""COMPUTED_VALUE"""),0.0)</f>
        <v>0</v>
      </c>
      <c r="AA61" s="9">
        <f>IFERROR(__xludf.DUMMYFUNCTION("""COMPUTED_VALUE"""),0.0)</f>
        <v>0</v>
      </c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</row>
    <row r="62">
      <c r="A62" s="8">
        <f>IFERROR(__xludf.DUMMYFUNCTION("""COMPUTED_VALUE"""),45180.0)</f>
        <v>45180</v>
      </c>
      <c r="B62" s="9">
        <f>IFERROR(__xludf.DUMMYFUNCTION("""COMPUTED_VALUE"""),24.0)</f>
        <v>24</v>
      </c>
      <c r="C62" s="9">
        <f>IFERROR(__xludf.DUMMYFUNCTION("""COMPUTED_VALUE"""),86.0)</f>
        <v>86</v>
      </c>
      <c r="D62" s="9">
        <f>IFERROR(__xludf.DUMMYFUNCTION("""COMPUTED_VALUE"""),4.0)</f>
        <v>4</v>
      </c>
      <c r="E62" s="9">
        <f>IFERROR(__xludf.DUMMYFUNCTION("""COMPUTED_VALUE"""),1607.0)</f>
        <v>1607</v>
      </c>
      <c r="F62" s="9">
        <f>IFERROR(__xludf.DUMMYFUNCTION("""COMPUTED_VALUE"""),67.0)</f>
        <v>67</v>
      </c>
      <c r="G62" s="9">
        <f>IFERROR(__xludf.DUMMYFUNCTION("""COMPUTED_VALUE"""),0.0)</f>
        <v>0</v>
      </c>
      <c r="H62" s="9"/>
      <c r="I62" s="9">
        <f>IFERROR(__xludf.DUMMYFUNCTION("""COMPUTED_VALUE"""),18.0)</f>
        <v>18</v>
      </c>
      <c r="J62" s="9">
        <f>IFERROR(__xludf.DUMMYFUNCTION("""COMPUTED_VALUE"""),3.0)</f>
        <v>3</v>
      </c>
      <c r="K62" s="9">
        <f>IFERROR(__xludf.DUMMYFUNCTION("""COMPUTED_VALUE"""),0.0)</f>
        <v>0</v>
      </c>
      <c r="L62" s="9">
        <f>IFERROR(__xludf.DUMMYFUNCTION("""COMPUTED_VALUE"""),0.0)</f>
        <v>0</v>
      </c>
      <c r="M62" s="9">
        <f>IFERROR(__xludf.DUMMYFUNCTION("""COMPUTED_VALUE"""),21.0)</f>
        <v>21</v>
      </c>
      <c r="N62" s="9">
        <f>IFERROR(__xludf.DUMMYFUNCTION("""COMPUTED_VALUE"""),15.0)</f>
        <v>15</v>
      </c>
      <c r="O62" s="9">
        <f>IFERROR(__xludf.DUMMYFUNCTION("""COMPUTED_VALUE"""),2.0)</f>
        <v>2</v>
      </c>
      <c r="P62" s="9">
        <f>IFERROR(__xludf.DUMMYFUNCTION("""COMPUTED_VALUE"""),7.0)</f>
        <v>7</v>
      </c>
      <c r="Q62" s="9">
        <f>IFERROR(__xludf.DUMMYFUNCTION("""COMPUTED_VALUE"""),9.0)</f>
        <v>9</v>
      </c>
      <c r="R62" s="9">
        <f>IFERROR(__xludf.DUMMYFUNCTION("""COMPUTED_VALUE"""),6.0)</f>
        <v>6</v>
      </c>
      <c r="S62" s="9">
        <f>IFERROR(__xludf.DUMMYFUNCTION("""COMPUTED_VALUE"""),6.0)</f>
        <v>6</v>
      </c>
      <c r="T62" s="9">
        <f>IFERROR(__xludf.DUMMYFUNCTION("""COMPUTED_VALUE"""),0.0)</f>
        <v>0</v>
      </c>
      <c r="U62" s="9">
        <f>IFERROR(__xludf.DUMMYFUNCTION("""COMPUTED_VALUE"""),0.0)</f>
        <v>0</v>
      </c>
      <c r="V62" s="9">
        <f>IFERROR(__xludf.DUMMYFUNCTION("""COMPUTED_VALUE"""),16.0)</f>
        <v>16</v>
      </c>
      <c r="W62" s="9">
        <f>IFERROR(__xludf.DUMMYFUNCTION("""COMPUTED_VALUE"""),0.0)</f>
        <v>0</v>
      </c>
      <c r="X62" s="9">
        <f>IFERROR(__xludf.DUMMYFUNCTION("""COMPUTED_VALUE"""),11.0)</f>
        <v>11</v>
      </c>
      <c r="Y62" s="9">
        <f>IFERROR(__xludf.DUMMYFUNCTION("""COMPUTED_VALUE"""),18.0)</f>
        <v>18</v>
      </c>
      <c r="Z62" s="9">
        <f>IFERROR(__xludf.DUMMYFUNCTION("""COMPUTED_VALUE"""),0.0)</f>
        <v>0</v>
      </c>
      <c r="AA62" s="9">
        <f>IFERROR(__xludf.DUMMYFUNCTION("""COMPUTED_VALUE"""),1.0)</f>
        <v>1</v>
      </c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</row>
    <row r="63">
      <c r="A63" s="8">
        <f>IFERROR(__xludf.DUMMYFUNCTION("""COMPUTED_VALUE"""),45181.0)</f>
        <v>45181</v>
      </c>
      <c r="B63" s="9">
        <f>IFERROR(__xludf.DUMMYFUNCTION("""COMPUTED_VALUE"""),23.0)</f>
        <v>23</v>
      </c>
      <c r="C63" s="9">
        <f>IFERROR(__xludf.DUMMYFUNCTION("""COMPUTED_VALUE"""),89.0)</f>
        <v>89</v>
      </c>
      <c r="D63" s="9">
        <f>IFERROR(__xludf.DUMMYFUNCTION("""COMPUTED_VALUE"""),4.0)</f>
        <v>4</v>
      </c>
      <c r="E63" s="9">
        <f>IFERROR(__xludf.DUMMYFUNCTION("""COMPUTED_VALUE"""),1582.0)</f>
        <v>1582</v>
      </c>
      <c r="F63" s="9">
        <f>IFERROR(__xludf.DUMMYFUNCTION("""COMPUTED_VALUE"""),69.0)</f>
        <v>69</v>
      </c>
      <c r="G63" s="9">
        <f>IFERROR(__xludf.DUMMYFUNCTION("""COMPUTED_VALUE"""),0.0)</f>
        <v>0</v>
      </c>
      <c r="H63" s="9"/>
      <c r="I63" s="9">
        <f>IFERROR(__xludf.DUMMYFUNCTION("""COMPUTED_VALUE"""),19.0)</f>
        <v>19</v>
      </c>
      <c r="J63" s="9">
        <f>IFERROR(__xludf.DUMMYFUNCTION("""COMPUTED_VALUE"""),2.0)</f>
        <v>2</v>
      </c>
      <c r="K63" s="9">
        <f>IFERROR(__xludf.DUMMYFUNCTION("""COMPUTED_VALUE"""),0.0)</f>
        <v>0</v>
      </c>
      <c r="L63" s="9">
        <f>IFERROR(__xludf.DUMMYFUNCTION("""COMPUTED_VALUE"""),0.0)</f>
        <v>0</v>
      </c>
      <c r="M63" s="9">
        <f>IFERROR(__xludf.DUMMYFUNCTION("""COMPUTED_VALUE"""),21.0)</f>
        <v>21</v>
      </c>
      <c r="N63" s="9">
        <f>IFERROR(__xludf.DUMMYFUNCTION("""COMPUTED_VALUE"""),13.0)</f>
        <v>13</v>
      </c>
      <c r="O63" s="9">
        <f>IFERROR(__xludf.DUMMYFUNCTION("""COMPUTED_VALUE"""),0.0)</f>
        <v>0</v>
      </c>
      <c r="P63" s="9">
        <f>IFERROR(__xludf.DUMMYFUNCTION("""COMPUTED_VALUE"""),10.0)</f>
        <v>10</v>
      </c>
      <c r="Q63" s="9">
        <f>IFERROR(__xludf.DUMMYFUNCTION("""COMPUTED_VALUE"""),7.0)</f>
        <v>7</v>
      </c>
      <c r="R63" s="9">
        <f>IFERROR(__xludf.DUMMYFUNCTION("""COMPUTED_VALUE"""),6.0)</f>
        <v>6</v>
      </c>
      <c r="S63" s="9">
        <f>IFERROR(__xludf.DUMMYFUNCTION("""COMPUTED_VALUE"""),7.0)</f>
        <v>7</v>
      </c>
      <c r="T63" s="9">
        <f>IFERROR(__xludf.DUMMYFUNCTION("""COMPUTED_VALUE"""),2.0)</f>
        <v>2</v>
      </c>
      <c r="U63" s="9">
        <f>IFERROR(__xludf.DUMMYFUNCTION("""COMPUTED_VALUE"""),0.0)</f>
        <v>0</v>
      </c>
      <c r="V63" s="9">
        <f>IFERROR(__xludf.DUMMYFUNCTION("""COMPUTED_VALUE"""),13.0)</f>
        <v>13</v>
      </c>
      <c r="W63" s="9">
        <f>IFERROR(__xludf.DUMMYFUNCTION("""COMPUTED_VALUE"""),0.0)</f>
        <v>0</v>
      </c>
      <c r="X63" s="9">
        <f>IFERROR(__xludf.DUMMYFUNCTION("""COMPUTED_VALUE"""),12.0)</f>
        <v>12</v>
      </c>
      <c r="Y63" s="9">
        <f>IFERROR(__xludf.DUMMYFUNCTION("""COMPUTED_VALUE"""),17.0)</f>
        <v>17</v>
      </c>
      <c r="Z63" s="9">
        <f>IFERROR(__xludf.DUMMYFUNCTION("""COMPUTED_VALUE"""),2.0)</f>
        <v>2</v>
      </c>
      <c r="AA63" s="9">
        <f>IFERROR(__xludf.DUMMYFUNCTION("""COMPUTED_VALUE"""),0.0)</f>
        <v>0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</row>
    <row r="64">
      <c r="A64" s="8">
        <f>IFERROR(__xludf.DUMMYFUNCTION("""COMPUTED_VALUE"""),45182.0)</f>
        <v>45182</v>
      </c>
      <c r="B64" s="9">
        <f>IFERROR(__xludf.DUMMYFUNCTION("""COMPUTED_VALUE"""),25.0)</f>
        <v>25</v>
      </c>
      <c r="C64" s="9">
        <f>IFERROR(__xludf.DUMMYFUNCTION("""COMPUTED_VALUE"""),115.0)</f>
        <v>115</v>
      </c>
      <c r="D64" s="9">
        <f>IFERROR(__xludf.DUMMYFUNCTION("""COMPUTED_VALUE"""),5.0)</f>
        <v>5</v>
      </c>
      <c r="E64" s="9">
        <f>IFERROR(__xludf.DUMMYFUNCTION("""COMPUTED_VALUE"""),2269.0)</f>
        <v>2269</v>
      </c>
      <c r="F64" s="9">
        <f>IFERROR(__xludf.DUMMYFUNCTION("""COMPUTED_VALUE"""),91.0)</f>
        <v>91</v>
      </c>
      <c r="G64" s="9">
        <f>IFERROR(__xludf.DUMMYFUNCTION("""COMPUTED_VALUE"""),0.0)</f>
        <v>0</v>
      </c>
      <c r="H64" s="9"/>
      <c r="I64" s="9">
        <f>IFERROR(__xludf.DUMMYFUNCTION("""COMPUTED_VALUE"""),19.0)</f>
        <v>19</v>
      </c>
      <c r="J64" s="9">
        <f>IFERROR(__xludf.DUMMYFUNCTION("""COMPUTED_VALUE"""),3.0)</f>
        <v>3</v>
      </c>
      <c r="K64" s="9">
        <f>IFERROR(__xludf.DUMMYFUNCTION("""COMPUTED_VALUE"""),0.0)</f>
        <v>0</v>
      </c>
      <c r="L64" s="9">
        <f>IFERROR(__xludf.DUMMYFUNCTION("""COMPUTED_VALUE"""),0.0)</f>
        <v>0</v>
      </c>
      <c r="M64" s="9">
        <f>IFERROR(__xludf.DUMMYFUNCTION("""COMPUTED_VALUE"""),22.0)</f>
        <v>22</v>
      </c>
      <c r="N64" s="9">
        <f>IFERROR(__xludf.DUMMYFUNCTION("""COMPUTED_VALUE"""),20.0)</f>
        <v>20</v>
      </c>
      <c r="O64" s="9">
        <f>IFERROR(__xludf.DUMMYFUNCTION("""COMPUTED_VALUE"""),0.0)</f>
        <v>0</v>
      </c>
      <c r="P64" s="9">
        <f>IFERROR(__xludf.DUMMYFUNCTION("""COMPUTED_VALUE"""),5.0)</f>
        <v>5</v>
      </c>
      <c r="Q64" s="9">
        <f>IFERROR(__xludf.DUMMYFUNCTION("""COMPUTED_VALUE"""),10.0)</f>
        <v>10</v>
      </c>
      <c r="R64" s="9">
        <f>IFERROR(__xludf.DUMMYFUNCTION("""COMPUTED_VALUE"""),0.0)</f>
        <v>0</v>
      </c>
      <c r="S64" s="9">
        <f>IFERROR(__xludf.DUMMYFUNCTION("""COMPUTED_VALUE"""),26.0)</f>
        <v>26</v>
      </c>
      <c r="T64" s="9">
        <f>IFERROR(__xludf.DUMMYFUNCTION("""COMPUTED_VALUE"""),0.0)</f>
        <v>0</v>
      </c>
      <c r="U64" s="9">
        <f>IFERROR(__xludf.DUMMYFUNCTION("""COMPUTED_VALUE"""),0.0)</f>
        <v>0</v>
      </c>
      <c r="V64" s="9">
        <f>IFERROR(__xludf.DUMMYFUNCTION("""COMPUTED_VALUE"""),10.0)</f>
        <v>10</v>
      </c>
      <c r="W64" s="9">
        <f>IFERROR(__xludf.DUMMYFUNCTION("""COMPUTED_VALUE"""),0.0)</f>
        <v>0</v>
      </c>
      <c r="X64" s="9">
        <f>IFERROR(__xludf.DUMMYFUNCTION("""COMPUTED_VALUE"""),26.0)</f>
        <v>26</v>
      </c>
      <c r="Y64" s="9">
        <f>IFERROR(__xludf.DUMMYFUNCTION("""COMPUTED_VALUE"""),10.0)</f>
        <v>10</v>
      </c>
      <c r="Z64" s="9">
        <f>IFERROR(__xludf.DUMMYFUNCTION("""COMPUTED_VALUE"""),0.0)</f>
        <v>0</v>
      </c>
      <c r="AA64" s="9">
        <f>IFERROR(__xludf.DUMMYFUNCTION("""COMPUTED_VALUE"""),0.0)</f>
        <v>0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</row>
    <row r="65">
      <c r="A65" s="8">
        <f>IFERROR(__xludf.DUMMYFUNCTION("""COMPUTED_VALUE"""),45183.0)</f>
        <v>45183</v>
      </c>
      <c r="B65" s="9">
        <f>IFERROR(__xludf.DUMMYFUNCTION("""COMPUTED_VALUE"""),33.0)</f>
        <v>33</v>
      </c>
      <c r="C65" s="9">
        <f>IFERROR(__xludf.DUMMYFUNCTION("""COMPUTED_VALUE"""),120.0)</f>
        <v>120</v>
      </c>
      <c r="D65" s="9">
        <f>IFERROR(__xludf.DUMMYFUNCTION("""COMPUTED_VALUE"""),4.0)</f>
        <v>4</v>
      </c>
      <c r="E65" s="9">
        <f>IFERROR(__xludf.DUMMYFUNCTION("""COMPUTED_VALUE"""),2154.0)</f>
        <v>2154</v>
      </c>
      <c r="F65" s="9">
        <f>IFERROR(__xludf.DUMMYFUNCTION("""COMPUTED_VALUE"""),65.0)</f>
        <v>65</v>
      </c>
      <c r="G65" s="9">
        <f>IFERROR(__xludf.DUMMYFUNCTION("""COMPUTED_VALUE"""),0.0)</f>
        <v>0</v>
      </c>
      <c r="H65" s="9"/>
      <c r="I65" s="9">
        <f>IFERROR(__xludf.DUMMYFUNCTION("""COMPUTED_VALUE"""),19.0)</f>
        <v>19</v>
      </c>
      <c r="J65" s="9">
        <f>IFERROR(__xludf.DUMMYFUNCTION("""COMPUTED_VALUE"""),5.0)</f>
        <v>5</v>
      </c>
      <c r="K65" s="9">
        <f>IFERROR(__xludf.DUMMYFUNCTION("""COMPUTED_VALUE"""),0.0)</f>
        <v>0</v>
      </c>
      <c r="L65" s="9">
        <f>IFERROR(__xludf.DUMMYFUNCTION("""COMPUTED_VALUE"""),1.0)</f>
        <v>1</v>
      </c>
      <c r="M65" s="9">
        <f>IFERROR(__xludf.DUMMYFUNCTION("""COMPUTED_VALUE"""),25.0)</f>
        <v>25</v>
      </c>
      <c r="N65" s="9">
        <f>IFERROR(__xludf.DUMMYFUNCTION("""COMPUTED_VALUE"""),26.0)</f>
        <v>26</v>
      </c>
      <c r="O65" s="9">
        <f>IFERROR(__xludf.DUMMYFUNCTION("""COMPUTED_VALUE"""),0.0)</f>
        <v>0</v>
      </c>
      <c r="P65" s="9">
        <f>IFERROR(__xludf.DUMMYFUNCTION("""COMPUTED_VALUE"""),7.0)</f>
        <v>7</v>
      </c>
      <c r="Q65" s="9">
        <f>IFERROR(__xludf.DUMMYFUNCTION("""COMPUTED_VALUE"""),15.0)</f>
        <v>15</v>
      </c>
      <c r="R65" s="9">
        <f>IFERROR(__xludf.DUMMYFUNCTION("""COMPUTED_VALUE"""),6.0)</f>
        <v>6</v>
      </c>
      <c r="S65" s="9">
        <f>IFERROR(__xludf.DUMMYFUNCTION("""COMPUTED_VALUE"""),8.0)</f>
        <v>8</v>
      </c>
      <c r="T65" s="9">
        <f>IFERROR(__xludf.DUMMYFUNCTION("""COMPUTED_VALUE"""),1.0)</f>
        <v>1</v>
      </c>
      <c r="U65" s="9">
        <f>IFERROR(__xludf.DUMMYFUNCTION("""COMPUTED_VALUE"""),0.0)</f>
        <v>0</v>
      </c>
      <c r="V65" s="9">
        <f>IFERROR(__xludf.DUMMYFUNCTION("""COMPUTED_VALUE"""),21.0)</f>
        <v>21</v>
      </c>
      <c r="W65" s="9">
        <f>IFERROR(__xludf.DUMMYFUNCTION("""COMPUTED_VALUE"""),0.0)</f>
        <v>0</v>
      </c>
      <c r="X65" s="9">
        <f>IFERROR(__xludf.DUMMYFUNCTION("""COMPUTED_VALUE"""),19.0)</f>
        <v>19</v>
      </c>
      <c r="Y65" s="9">
        <f>IFERROR(__xludf.DUMMYFUNCTION("""COMPUTED_VALUE"""),23.0)</f>
        <v>23</v>
      </c>
      <c r="Z65" s="9">
        <f>IFERROR(__xludf.DUMMYFUNCTION("""COMPUTED_VALUE"""),1.0)</f>
        <v>1</v>
      </c>
      <c r="AA65" s="9">
        <f>IFERROR(__xludf.DUMMYFUNCTION("""COMPUTED_VALUE"""),0.0)</f>
        <v>0</v>
      </c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</row>
    <row r="66">
      <c r="A66" s="8">
        <f>IFERROR(__xludf.DUMMYFUNCTION("""COMPUTED_VALUE"""),45184.0)</f>
        <v>45184</v>
      </c>
      <c r="B66" s="9">
        <f>IFERROR(__xludf.DUMMYFUNCTION("""COMPUTED_VALUE"""),40.0)</f>
        <v>40</v>
      </c>
      <c r="C66" s="9">
        <f>IFERROR(__xludf.DUMMYFUNCTION("""COMPUTED_VALUE"""),166.0)</f>
        <v>166</v>
      </c>
      <c r="D66" s="9">
        <f>IFERROR(__xludf.DUMMYFUNCTION("""COMPUTED_VALUE"""),4.0)</f>
        <v>4</v>
      </c>
      <c r="E66" s="9">
        <f>IFERROR(__xludf.DUMMYFUNCTION("""COMPUTED_VALUE"""),3056.0)</f>
        <v>3056</v>
      </c>
      <c r="F66" s="9">
        <f>IFERROR(__xludf.DUMMYFUNCTION("""COMPUTED_VALUE"""),76.0)</f>
        <v>76</v>
      </c>
      <c r="G66" s="9">
        <f>IFERROR(__xludf.DUMMYFUNCTION("""COMPUTED_VALUE"""),0.0)</f>
        <v>0</v>
      </c>
      <c r="H66" s="9"/>
      <c r="I66" s="9">
        <f>IFERROR(__xludf.DUMMYFUNCTION("""COMPUTED_VALUE"""),23.0)</f>
        <v>23</v>
      </c>
      <c r="J66" s="9">
        <f>IFERROR(__xludf.DUMMYFUNCTION("""COMPUTED_VALUE"""),5.0)</f>
        <v>5</v>
      </c>
      <c r="K66" s="9">
        <f>IFERROR(__xludf.DUMMYFUNCTION("""COMPUTED_VALUE"""),1.0)</f>
        <v>1</v>
      </c>
      <c r="L66" s="9">
        <f>IFERROR(__xludf.DUMMYFUNCTION("""COMPUTED_VALUE"""),1.0)</f>
        <v>1</v>
      </c>
      <c r="M66" s="9">
        <f>IFERROR(__xludf.DUMMYFUNCTION("""COMPUTED_VALUE"""),30.0)</f>
        <v>30</v>
      </c>
      <c r="N66" s="9">
        <f>IFERROR(__xludf.DUMMYFUNCTION("""COMPUTED_VALUE"""),27.0)</f>
        <v>27</v>
      </c>
      <c r="O66" s="9">
        <f>IFERROR(__xludf.DUMMYFUNCTION("""COMPUTED_VALUE"""),1.0)</f>
        <v>1</v>
      </c>
      <c r="P66" s="9">
        <f>IFERROR(__xludf.DUMMYFUNCTION("""COMPUTED_VALUE"""),12.0)</f>
        <v>12</v>
      </c>
      <c r="Q66" s="9">
        <f>IFERROR(__xludf.DUMMYFUNCTION("""COMPUTED_VALUE"""),19.0)</f>
        <v>19</v>
      </c>
      <c r="R66" s="9">
        <f>IFERROR(__xludf.DUMMYFUNCTION("""COMPUTED_VALUE"""),6.0)</f>
        <v>6</v>
      </c>
      <c r="S66" s="9">
        <f>IFERROR(__xludf.DUMMYFUNCTION("""COMPUTED_VALUE"""),23.0)</f>
        <v>23</v>
      </c>
      <c r="T66" s="9">
        <f>IFERROR(__xludf.DUMMYFUNCTION("""COMPUTED_VALUE"""),0.0)</f>
        <v>0</v>
      </c>
      <c r="U66" s="9">
        <f>IFERROR(__xludf.DUMMYFUNCTION("""COMPUTED_VALUE"""),0.0)</f>
        <v>0</v>
      </c>
      <c r="V66" s="9">
        <f>IFERROR(__xludf.DUMMYFUNCTION("""COMPUTED_VALUE"""),26.0)</f>
        <v>26</v>
      </c>
      <c r="W66" s="9">
        <f>IFERROR(__xludf.DUMMYFUNCTION("""COMPUTED_VALUE"""),0.0)</f>
        <v>0</v>
      </c>
      <c r="X66" s="9">
        <f>IFERROR(__xludf.DUMMYFUNCTION("""COMPUTED_VALUE"""),30.0)</f>
        <v>30</v>
      </c>
      <c r="Y66" s="9">
        <f>IFERROR(__xludf.DUMMYFUNCTION("""COMPUTED_VALUE"""),27.0)</f>
        <v>27</v>
      </c>
      <c r="Z66" s="9">
        <f>IFERROR(__xludf.DUMMYFUNCTION("""COMPUTED_VALUE"""),0.0)</f>
        <v>0</v>
      </c>
      <c r="AA66" s="9">
        <f>IFERROR(__xludf.DUMMYFUNCTION("""COMPUTED_VALUE"""),1.0)</f>
        <v>1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</row>
    <row r="67">
      <c r="A67" s="8">
        <f>IFERROR(__xludf.DUMMYFUNCTION("""COMPUTED_VALUE"""),45185.0)</f>
        <v>45185</v>
      </c>
      <c r="B67" s="9">
        <f>IFERROR(__xludf.DUMMYFUNCTION("""COMPUTED_VALUE"""),19.0)</f>
        <v>19</v>
      </c>
      <c r="C67" s="9">
        <f>IFERROR(__xludf.DUMMYFUNCTION("""COMPUTED_VALUE"""),74.0)</f>
        <v>74</v>
      </c>
      <c r="D67" s="9">
        <f>IFERROR(__xludf.DUMMYFUNCTION("""COMPUTED_VALUE"""),4.0)</f>
        <v>4</v>
      </c>
      <c r="E67" s="9">
        <f>IFERROR(__xludf.DUMMYFUNCTION("""COMPUTED_VALUE"""),1362.0)</f>
        <v>1362</v>
      </c>
      <c r="F67" s="9">
        <f>IFERROR(__xludf.DUMMYFUNCTION("""COMPUTED_VALUE"""),72.0)</f>
        <v>72</v>
      </c>
      <c r="G67" s="9">
        <f>IFERROR(__xludf.DUMMYFUNCTION("""COMPUTED_VALUE"""),0.0)</f>
        <v>0</v>
      </c>
      <c r="H67" s="9"/>
      <c r="I67" s="9">
        <f>IFERROR(__xludf.DUMMYFUNCTION("""COMPUTED_VALUE"""),13.0)</f>
        <v>13</v>
      </c>
      <c r="J67" s="9">
        <f>IFERROR(__xludf.DUMMYFUNCTION("""COMPUTED_VALUE"""),3.0)</f>
        <v>3</v>
      </c>
      <c r="K67" s="9">
        <f>IFERROR(__xludf.DUMMYFUNCTION("""COMPUTED_VALUE"""),0.0)</f>
        <v>0</v>
      </c>
      <c r="L67" s="9">
        <f>IFERROR(__xludf.DUMMYFUNCTION("""COMPUTED_VALUE"""),0.0)</f>
        <v>0</v>
      </c>
      <c r="M67" s="9">
        <f>IFERROR(__xludf.DUMMYFUNCTION("""COMPUTED_VALUE"""),16.0)</f>
        <v>16</v>
      </c>
      <c r="N67" s="9">
        <f>IFERROR(__xludf.DUMMYFUNCTION("""COMPUTED_VALUE"""),13.0)</f>
        <v>13</v>
      </c>
      <c r="O67" s="9">
        <f>IFERROR(__xludf.DUMMYFUNCTION("""COMPUTED_VALUE"""),0.0)</f>
        <v>0</v>
      </c>
      <c r="P67" s="9">
        <f>IFERROR(__xludf.DUMMYFUNCTION("""COMPUTED_VALUE"""),6.0)</f>
        <v>6</v>
      </c>
      <c r="Q67" s="9">
        <f>IFERROR(__xludf.DUMMYFUNCTION("""COMPUTED_VALUE"""),5.0)</f>
        <v>5</v>
      </c>
      <c r="R67" s="9">
        <f>IFERROR(__xludf.DUMMYFUNCTION("""COMPUTED_VALUE"""),1.0)</f>
        <v>1</v>
      </c>
      <c r="S67" s="9">
        <f>IFERROR(__xludf.DUMMYFUNCTION("""COMPUTED_VALUE"""),11.0)</f>
        <v>11</v>
      </c>
      <c r="T67" s="9">
        <f>IFERROR(__xludf.DUMMYFUNCTION("""COMPUTED_VALUE"""),0.0)</f>
        <v>0</v>
      </c>
      <c r="U67" s="9">
        <f>IFERROR(__xludf.DUMMYFUNCTION("""COMPUTED_VALUE"""),0.0)</f>
        <v>0</v>
      </c>
      <c r="V67" s="9">
        <f>IFERROR(__xludf.DUMMYFUNCTION("""COMPUTED_VALUE"""),6.0)</f>
        <v>6</v>
      </c>
      <c r="W67" s="9">
        <f>IFERROR(__xludf.DUMMYFUNCTION("""COMPUTED_VALUE"""),0.0)</f>
        <v>0</v>
      </c>
      <c r="X67" s="9">
        <f>IFERROR(__xludf.DUMMYFUNCTION("""COMPUTED_VALUE"""),16.0)</f>
        <v>16</v>
      </c>
      <c r="Y67" s="9">
        <f>IFERROR(__xludf.DUMMYFUNCTION("""COMPUTED_VALUE"""),9.0)</f>
        <v>9</v>
      </c>
      <c r="Z67" s="9">
        <f>IFERROR(__xludf.DUMMYFUNCTION("""COMPUTED_VALUE"""),0.0)</f>
        <v>0</v>
      </c>
      <c r="AA67" s="9">
        <f>IFERROR(__xludf.DUMMYFUNCTION("""COMPUTED_VALUE"""),0.0)</f>
        <v>0</v>
      </c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</row>
    <row r="68">
      <c r="A68" s="8">
        <f>IFERROR(__xludf.DUMMYFUNCTION("""COMPUTED_VALUE"""),45186.0)</f>
        <v>45186</v>
      </c>
      <c r="B68" s="9">
        <f>IFERROR(__xludf.DUMMYFUNCTION("""COMPUTED_VALUE"""),0.0)</f>
        <v>0</v>
      </c>
      <c r="C68" s="9">
        <f>IFERROR(__xludf.DUMMYFUNCTION("""COMPUTED_VALUE"""),0.0)</f>
        <v>0</v>
      </c>
      <c r="D68" s="9">
        <f>IFERROR(__xludf.DUMMYFUNCTION("""COMPUTED_VALUE"""),0.0)</f>
        <v>0</v>
      </c>
      <c r="E68" s="9">
        <f>IFERROR(__xludf.DUMMYFUNCTION("""COMPUTED_VALUE"""),0.0)</f>
        <v>0</v>
      </c>
      <c r="F68" s="9">
        <f>IFERROR(__xludf.DUMMYFUNCTION("""COMPUTED_VALUE"""),0.0)</f>
        <v>0</v>
      </c>
      <c r="G68" s="9">
        <f>IFERROR(__xludf.DUMMYFUNCTION("""COMPUTED_VALUE"""),0.0)</f>
        <v>0</v>
      </c>
      <c r="H68" s="9"/>
      <c r="I68" s="9">
        <f>IFERROR(__xludf.DUMMYFUNCTION("""COMPUTED_VALUE"""),0.0)</f>
        <v>0</v>
      </c>
      <c r="J68" s="9">
        <f>IFERROR(__xludf.DUMMYFUNCTION("""COMPUTED_VALUE"""),0.0)</f>
        <v>0</v>
      </c>
      <c r="K68" s="9">
        <f>IFERROR(__xludf.DUMMYFUNCTION("""COMPUTED_VALUE"""),0.0)</f>
        <v>0</v>
      </c>
      <c r="L68" s="9">
        <f>IFERROR(__xludf.DUMMYFUNCTION("""COMPUTED_VALUE"""),0.0)</f>
        <v>0</v>
      </c>
      <c r="M68" s="9">
        <f>IFERROR(__xludf.DUMMYFUNCTION("""COMPUTED_VALUE"""),0.0)</f>
        <v>0</v>
      </c>
      <c r="N68" s="9">
        <f>IFERROR(__xludf.DUMMYFUNCTION("""COMPUTED_VALUE"""),0.0)</f>
        <v>0</v>
      </c>
      <c r="O68" s="9">
        <f>IFERROR(__xludf.DUMMYFUNCTION("""COMPUTED_VALUE"""),0.0)</f>
        <v>0</v>
      </c>
      <c r="P68" s="9">
        <f>IFERROR(__xludf.DUMMYFUNCTION("""COMPUTED_VALUE"""),0.0)</f>
        <v>0</v>
      </c>
      <c r="Q68" s="9">
        <f>IFERROR(__xludf.DUMMYFUNCTION("""COMPUTED_VALUE"""),0.0)</f>
        <v>0</v>
      </c>
      <c r="R68" s="9">
        <f>IFERROR(__xludf.DUMMYFUNCTION("""COMPUTED_VALUE"""),0.0)</f>
        <v>0</v>
      </c>
      <c r="S68" s="9">
        <f>IFERROR(__xludf.DUMMYFUNCTION("""COMPUTED_VALUE"""),0.0)</f>
        <v>0</v>
      </c>
      <c r="T68" s="9">
        <f>IFERROR(__xludf.DUMMYFUNCTION("""COMPUTED_VALUE"""),0.0)</f>
        <v>0</v>
      </c>
      <c r="U68" s="9">
        <f>IFERROR(__xludf.DUMMYFUNCTION("""COMPUTED_VALUE"""),0.0)</f>
        <v>0</v>
      </c>
      <c r="V68" s="9">
        <f>IFERROR(__xludf.DUMMYFUNCTION("""COMPUTED_VALUE"""),0.0)</f>
        <v>0</v>
      </c>
      <c r="W68" s="9">
        <f>IFERROR(__xludf.DUMMYFUNCTION("""COMPUTED_VALUE"""),0.0)</f>
        <v>0</v>
      </c>
      <c r="X68" s="9">
        <f>IFERROR(__xludf.DUMMYFUNCTION("""COMPUTED_VALUE"""),0.0)</f>
        <v>0</v>
      </c>
      <c r="Y68" s="9">
        <f>IFERROR(__xludf.DUMMYFUNCTION("""COMPUTED_VALUE"""),0.0)</f>
        <v>0</v>
      </c>
      <c r="Z68" s="9">
        <f>IFERROR(__xludf.DUMMYFUNCTION("""COMPUTED_VALUE"""),0.0)</f>
        <v>0</v>
      </c>
      <c r="AA68" s="9">
        <f>IFERROR(__xludf.DUMMYFUNCTION("""COMPUTED_VALUE"""),0.0)</f>
        <v>0</v>
      </c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</row>
    <row r="69">
      <c r="A69" s="8">
        <f>IFERROR(__xludf.DUMMYFUNCTION("""COMPUTED_VALUE"""),45187.0)</f>
        <v>45187</v>
      </c>
      <c r="B69" s="9">
        <f>IFERROR(__xludf.DUMMYFUNCTION("""COMPUTED_VALUE"""),24.0)</f>
        <v>24</v>
      </c>
      <c r="C69" s="9">
        <f>IFERROR(__xludf.DUMMYFUNCTION("""COMPUTED_VALUE"""),103.0)</f>
        <v>103</v>
      </c>
      <c r="D69" s="9">
        <f>IFERROR(__xludf.DUMMYFUNCTION("""COMPUTED_VALUE"""),4.0)</f>
        <v>4</v>
      </c>
      <c r="E69" s="9">
        <f>IFERROR(__xludf.DUMMYFUNCTION("""COMPUTED_VALUE"""),2088.0)</f>
        <v>2088</v>
      </c>
      <c r="F69" s="9">
        <f>IFERROR(__xludf.DUMMYFUNCTION("""COMPUTED_VALUE"""),87.0)</f>
        <v>87</v>
      </c>
      <c r="G69" s="9">
        <f>IFERROR(__xludf.DUMMYFUNCTION("""COMPUTED_VALUE"""),0.0)</f>
        <v>0</v>
      </c>
      <c r="H69" s="9"/>
      <c r="I69" s="9">
        <f>IFERROR(__xludf.DUMMYFUNCTION("""COMPUTED_VALUE"""),15.0)</f>
        <v>15</v>
      </c>
      <c r="J69" s="9">
        <f>IFERROR(__xludf.DUMMYFUNCTION("""COMPUTED_VALUE"""),3.0)</f>
        <v>3</v>
      </c>
      <c r="K69" s="9">
        <f>IFERROR(__xludf.DUMMYFUNCTION("""COMPUTED_VALUE"""),1.0)</f>
        <v>1</v>
      </c>
      <c r="L69" s="9">
        <f>IFERROR(__xludf.DUMMYFUNCTION("""COMPUTED_VALUE"""),0.0)</f>
        <v>0</v>
      </c>
      <c r="M69" s="9">
        <f>IFERROR(__xludf.DUMMYFUNCTION("""COMPUTED_VALUE"""),19.0)</f>
        <v>19</v>
      </c>
      <c r="N69" s="9">
        <f>IFERROR(__xludf.DUMMYFUNCTION("""COMPUTED_VALUE"""),15.0)</f>
        <v>15</v>
      </c>
      <c r="O69" s="9">
        <f>IFERROR(__xludf.DUMMYFUNCTION("""COMPUTED_VALUE"""),0.0)</f>
        <v>0</v>
      </c>
      <c r="P69" s="9">
        <f>IFERROR(__xludf.DUMMYFUNCTION("""COMPUTED_VALUE"""),9.0)</f>
        <v>9</v>
      </c>
      <c r="Q69" s="9">
        <f>IFERROR(__xludf.DUMMYFUNCTION("""COMPUTED_VALUE"""),8.0)</f>
        <v>8</v>
      </c>
      <c r="R69" s="9">
        <f>IFERROR(__xludf.DUMMYFUNCTION("""COMPUTED_VALUE"""),6.0)</f>
        <v>6</v>
      </c>
      <c r="S69" s="9">
        <f>IFERROR(__xludf.DUMMYFUNCTION("""COMPUTED_VALUE"""),17.0)</f>
        <v>17</v>
      </c>
      <c r="T69" s="9">
        <f>IFERROR(__xludf.DUMMYFUNCTION("""COMPUTED_VALUE"""),0.0)</f>
        <v>0</v>
      </c>
      <c r="U69" s="9">
        <f>IFERROR(__xludf.DUMMYFUNCTION("""COMPUTED_VALUE"""),0.0)</f>
        <v>0</v>
      </c>
      <c r="V69" s="9">
        <f>IFERROR(__xludf.DUMMYFUNCTION("""COMPUTED_VALUE"""),14.0)</f>
        <v>14</v>
      </c>
      <c r="W69" s="9">
        <f>IFERROR(__xludf.DUMMYFUNCTION("""COMPUTED_VALUE"""),0.0)</f>
        <v>0</v>
      </c>
      <c r="X69" s="9">
        <f>IFERROR(__xludf.DUMMYFUNCTION("""COMPUTED_VALUE"""),21.0)</f>
        <v>21</v>
      </c>
      <c r="Y69" s="9">
        <f>IFERROR(__xludf.DUMMYFUNCTION("""COMPUTED_VALUE"""),16.0)</f>
        <v>16</v>
      </c>
      <c r="Z69" s="9">
        <f>IFERROR(__xludf.DUMMYFUNCTION("""COMPUTED_VALUE"""),0.0)</f>
        <v>0</v>
      </c>
      <c r="AA69" s="9">
        <f>IFERROR(__xludf.DUMMYFUNCTION("""COMPUTED_VALUE"""),0.0)</f>
        <v>0</v>
      </c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</row>
    <row r="70">
      <c r="A70" s="8">
        <f>IFERROR(__xludf.DUMMYFUNCTION("""COMPUTED_VALUE"""),45188.0)</f>
        <v>45188</v>
      </c>
      <c r="B70" s="9">
        <f>IFERROR(__xludf.DUMMYFUNCTION("""COMPUTED_VALUE"""),23.0)</f>
        <v>23</v>
      </c>
      <c r="C70" s="9">
        <f>IFERROR(__xludf.DUMMYFUNCTION("""COMPUTED_VALUE"""),86.0)</f>
        <v>86</v>
      </c>
      <c r="D70" s="9">
        <f>IFERROR(__xludf.DUMMYFUNCTION("""COMPUTED_VALUE"""),4.0)</f>
        <v>4</v>
      </c>
      <c r="E70" s="9">
        <f>IFERROR(__xludf.DUMMYFUNCTION("""COMPUTED_VALUE"""),1632.0)</f>
        <v>1632</v>
      </c>
      <c r="F70" s="9">
        <f>IFERROR(__xludf.DUMMYFUNCTION("""COMPUTED_VALUE"""),71.0)</f>
        <v>71</v>
      </c>
      <c r="G70" s="9">
        <f>IFERROR(__xludf.DUMMYFUNCTION("""COMPUTED_VALUE"""),0.0)</f>
        <v>0</v>
      </c>
      <c r="H70" s="9"/>
      <c r="I70" s="9">
        <f>IFERROR(__xludf.DUMMYFUNCTION("""COMPUTED_VALUE"""),18.0)</f>
        <v>18</v>
      </c>
      <c r="J70" s="9">
        <f>IFERROR(__xludf.DUMMYFUNCTION("""COMPUTED_VALUE"""),1.0)</f>
        <v>1</v>
      </c>
      <c r="K70" s="9">
        <f>IFERROR(__xludf.DUMMYFUNCTION("""COMPUTED_VALUE"""),1.0)</f>
        <v>1</v>
      </c>
      <c r="L70" s="9">
        <f>IFERROR(__xludf.DUMMYFUNCTION("""COMPUTED_VALUE"""),0.0)</f>
        <v>0</v>
      </c>
      <c r="M70" s="9">
        <f>IFERROR(__xludf.DUMMYFUNCTION("""COMPUTED_VALUE"""),20.0)</f>
        <v>20</v>
      </c>
      <c r="N70" s="9">
        <f>IFERROR(__xludf.DUMMYFUNCTION("""COMPUTED_VALUE"""),16.0)</f>
        <v>16</v>
      </c>
      <c r="O70" s="9">
        <f>IFERROR(__xludf.DUMMYFUNCTION("""COMPUTED_VALUE"""),1.0)</f>
        <v>1</v>
      </c>
      <c r="P70" s="9">
        <f>IFERROR(__xludf.DUMMYFUNCTION("""COMPUTED_VALUE"""),6.0)</f>
        <v>6</v>
      </c>
      <c r="Q70" s="9">
        <f>IFERROR(__xludf.DUMMYFUNCTION("""COMPUTED_VALUE"""),5.0)</f>
        <v>5</v>
      </c>
      <c r="R70" s="9">
        <f>IFERROR(__xludf.DUMMYFUNCTION("""COMPUTED_VALUE"""),5.0)</f>
        <v>5</v>
      </c>
      <c r="S70" s="9">
        <f>IFERROR(__xludf.DUMMYFUNCTION("""COMPUTED_VALUE"""),4.0)</f>
        <v>4</v>
      </c>
      <c r="T70" s="9">
        <f>IFERROR(__xludf.DUMMYFUNCTION("""COMPUTED_VALUE"""),0.0)</f>
        <v>0</v>
      </c>
      <c r="U70" s="9">
        <f>IFERROR(__xludf.DUMMYFUNCTION("""COMPUTED_VALUE"""),1.0)</f>
        <v>1</v>
      </c>
      <c r="V70" s="9">
        <f>IFERROR(__xludf.DUMMYFUNCTION("""COMPUTED_VALUE"""),10.0)</f>
        <v>10</v>
      </c>
      <c r="W70" s="9">
        <f>IFERROR(__xludf.DUMMYFUNCTION("""COMPUTED_VALUE"""),1.0)</f>
        <v>1</v>
      </c>
      <c r="X70" s="9">
        <f>IFERROR(__xludf.DUMMYFUNCTION("""COMPUTED_VALUE"""),21.0)</f>
        <v>21</v>
      </c>
      <c r="Y70" s="9">
        <f>IFERROR(__xludf.DUMMYFUNCTION("""COMPUTED_VALUE"""),13.0)</f>
        <v>13</v>
      </c>
      <c r="Z70" s="9">
        <f>IFERROR(__xludf.DUMMYFUNCTION("""COMPUTED_VALUE"""),2.0)</f>
        <v>2</v>
      </c>
      <c r="AA70" s="9">
        <f>IFERROR(__xludf.DUMMYFUNCTION("""COMPUTED_VALUE"""),0.0)</f>
        <v>0</v>
      </c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</row>
    <row r="71">
      <c r="A71" s="8">
        <f>IFERROR(__xludf.DUMMYFUNCTION("""COMPUTED_VALUE"""),45189.0)</f>
        <v>45189</v>
      </c>
      <c r="B71" s="9">
        <f>IFERROR(__xludf.DUMMYFUNCTION("""COMPUTED_VALUE"""),14.0)</f>
        <v>14</v>
      </c>
      <c r="C71" s="9">
        <f>IFERROR(__xludf.DUMMYFUNCTION("""COMPUTED_VALUE"""),54.0)</f>
        <v>54</v>
      </c>
      <c r="D71" s="9">
        <f>IFERROR(__xludf.DUMMYFUNCTION("""COMPUTED_VALUE"""),4.0)</f>
        <v>4</v>
      </c>
      <c r="E71" s="9">
        <f>IFERROR(__xludf.DUMMYFUNCTION("""COMPUTED_VALUE"""),976.0)</f>
        <v>976</v>
      </c>
      <c r="F71" s="9">
        <f>IFERROR(__xludf.DUMMYFUNCTION("""COMPUTED_VALUE"""),70.0)</f>
        <v>70</v>
      </c>
      <c r="G71" s="9">
        <f>IFERROR(__xludf.DUMMYFUNCTION("""COMPUTED_VALUE"""),0.0)</f>
        <v>0</v>
      </c>
      <c r="H71" s="9"/>
      <c r="I71" s="9">
        <f>IFERROR(__xludf.DUMMYFUNCTION("""COMPUTED_VALUE"""),12.0)</f>
        <v>12</v>
      </c>
      <c r="J71" s="9">
        <f>IFERROR(__xludf.DUMMYFUNCTION("""COMPUTED_VALUE"""),1.0)</f>
        <v>1</v>
      </c>
      <c r="K71" s="9">
        <f>IFERROR(__xludf.DUMMYFUNCTION("""COMPUTED_VALUE"""),0.0)</f>
        <v>0</v>
      </c>
      <c r="L71" s="9">
        <f>IFERROR(__xludf.DUMMYFUNCTION("""COMPUTED_VALUE"""),0.0)</f>
        <v>0</v>
      </c>
      <c r="M71" s="9">
        <f>IFERROR(__xludf.DUMMYFUNCTION("""COMPUTED_VALUE"""),13.0)</f>
        <v>13</v>
      </c>
      <c r="N71" s="9">
        <f>IFERROR(__xludf.DUMMYFUNCTION("""COMPUTED_VALUE"""),8.0)</f>
        <v>8</v>
      </c>
      <c r="O71" s="9">
        <f>IFERROR(__xludf.DUMMYFUNCTION("""COMPUTED_VALUE"""),0.0)</f>
        <v>0</v>
      </c>
      <c r="P71" s="9">
        <f>IFERROR(__xludf.DUMMYFUNCTION("""COMPUTED_VALUE"""),6.0)</f>
        <v>6</v>
      </c>
      <c r="Q71" s="9">
        <f>IFERROR(__xludf.DUMMYFUNCTION("""COMPUTED_VALUE"""),1.0)</f>
        <v>1</v>
      </c>
      <c r="R71" s="9">
        <f>IFERROR(__xludf.DUMMYFUNCTION("""COMPUTED_VALUE"""),3.0)</f>
        <v>3</v>
      </c>
      <c r="S71" s="9">
        <f>IFERROR(__xludf.DUMMYFUNCTION("""COMPUTED_VALUE"""),8.0)</f>
        <v>8</v>
      </c>
      <c r="T71" s="9">
        <f>IFERROR(__xludf.DUMMYFUNCTION("""COMPUTED_VALUE"""),0.0)</f>
        <v>0</v>
      </c>
      <c r="U71" s="9">
        <f>IFERROR(__xludf.DUMMYFUNCTION("""COMPUTED_VALUE"""),0.0)</f>
        <v>0</v>
      </c>
      <c r="V71" s="9">
        <f>IFERROR(__xludf.DUMMYFUNCTION("""COMPUTED_VALUE"""),4.0)</f>
        <v>4</v>
      </c>
      <c r="W71" s="9">
        <f>IFERROR(__xludf.DUMMYFUNCTION("""COMPUTED_VALUE"""),0.0)</f>
        <v>0</v>
      </c>
      <c r="X71" s="9">
        <f>IFERROR(__xludf.DUMMYFUNCTION("""COMPUTED_VALUE"""),13.0)</f>
        <v>13</v>
      </c>
      <c r="Y71" s="9">
        <f>IFERROR(__xludf.DUMMYFUNCTION("""COMPUTED_VALUE"""),4.0)</f>
        <v>4</v>
      </c>
      <c r="Z71" s="9">
        <f>IFERROR(__xludf.DUMMYFUNCTION("""COMPUTED_VALUE"""),0.0)</f>
        <v>0</v>
      </c>
      <c r="AA71" s="9">
        <f>IFERROR(__xludf.DUMMYFUNCTION("""COMPUTED_VALUE"""),0.0)</f>
        <v>0</v>
      </c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</row>
    <row r="72">
      <c r="A72" s="8">
        <f>IFERROR(__xludf.DUMMYFUNCTION("""COMPUTED_VALUE"""),45190.0)</f>
        <v>45190</v>
      </c>
      <c r="B72" s="9">
        <f>IFERROR(__xludf.DUMMYFUNCTION("""COMPUTED_VALUE"""),19.0)</f>
        <v>19</v>
      </c>
      <c r="C72" s="9">
        <f>IFERROR(__xludf.DUMMYFUNCTION("""COMPUTED_VALUE"""),65.0)</f>
        <v>65</v>
      </c>
      <c r="D72" s="9">
        <f>IFERROR(__xludf.DUMMYFUNCTION("""COMPUTED_VALUE"""),3.0)</f>
        <v>3</v>
      </c>
      <c r="E72" s="9">
        <f>IFERROR(__xludf.DUMMYFUNCTION("""COMPUTED_VALUE"""),1139.0)</f>
        <v>1139</v>
      </c>
      <c r="F72" s="9">
        <f>IFERROR(__xludf.DUMMYFUNCTION("""COMPUTED_VALUE"""),60.0)</f>
        <v>60</v>
      </c>
      <c r="G72" s="9">
        <f>IFERROR(__xludf.DUMMYFUNCTION("""COMPUTED_VALUE"""),0.0)</f>
        <v>0</v>
      </c>
      <c r="H72" s="9"/>
      <c r="I72" s="9">
        <f>IFERROR(__xludf.DUMMYFUNCTION("""COMPUTED_VALUE"""),13.0)</f>
        <v>13</v>
      </c>
      <c r="J72" s="9">
        <f>IFERROR(__xludf.DUMMYFUNCTION("""COMPUTED_VALUE"""),3.0)</f>
        <v>3</v>
      </c>
      <c r="K72" s="9">
        <f>IFERROR(__xludf.DUMMYFUNCTION("""COMPUTED_VALUE"""),0.0)</f>
        <v>0</v>
      </c>
      <c r="L72" s="9">
        <f>IFERROR(__xludf.DUMMYFUNCTION("""COMPUTED_VALUE"""),0.0)</f>
        <v>0</v>
      </c>
      <c r="M72" s="9">
        <f>IFERROR(__xludf.DUMMYFUNCTION("""COMPUTED_VALUE"""),16.0)</f>
        <v>16</v>
      </c>
      <c r="N72" s="9">
        <f>IFERROR(__xludf.DUMMYFUNCTION("""COMPUTED_VALUE"""),11.0)</f>
        <v>11</v>
      </c>
      <c r="O72" s="9">
        <f>IFERROR(__xludf.DUMMYFUNCTION("""COMPUTED_VALUE"""),0.0)</f>
        <v>0</v>
      </c>
      <c r="P72" s="9">
        <f>IFERROR(__xludf.DUMMYFUNCTION("""COMPUTED_VALUE"""),8.0)</f>
        <v>8</v>
      </c>
      <c r="Q72" s="9">
        <f>IFERROR(__xludf.DUMMYFUNCTION("""COMPUTED_VALUE"""),5.0)</f>
        <v>5</v>
      </c>
      <c r="R72" s="9">
        <f>IFERROR(__xludf.DUMMYFUNCTION("""COMPUTED_VALUE"""),7.0)</f>
        <v>7</v>
      </c>
      <c r="S72" s="9">
        <f>IFERROR(__xludf.DUMMYFUNCTION("""COMPUTED_VALUE"""),7.0)</f>
        <v>7</v>
      </c>
      <c r="T72" s="9">
        <f>IFERROR(__xludf.DUMMYFUNCTION("""COMPUTED_VALUE"""),0.0)</f>
        <v>0</v>
      </c>
      <c r="U72" s="9">
        <f>IFERROR(__xludf.DUMMYFUNCTION("""COMPUTED_VALUE"""),0.0)</f>
        <v>0</v>
      </c>
      <c r="V72" s="9">
        <f>IFERROR(__xludf.DUMMYFUNCTION("""COMPUTED_VALUE"""),12.0)</f>
        <v>12</v>
      </c>
      <c r="W72" s="9">
        <f>IFERROR(__xludf.DUMMYFUNCTION("""COMPUTED_VALUE"""),0.0)</f>
        <v>0</v>
      </c>
      <c r="X72" s="9">
        <f>IFERROR(__xludf.DUMMYFUNCTION("""COMPUTED_VALUE"""),7.0)</f>
        <v>7</v>
      </c>
      <c r="Y72" s="9">
        <f>IFERROR(__xludf.DUMMYFUNCTION("""COMPUTED_VALUE"""),12.0)</f>
        <v>12</v>
      </c>
      <c r="Z72" s="9">
        <f>IFERROR(__xludf.DUMMYFUNCTION("""COMPUTED_VALUE"""),0.0)</f>
        <v>0</v>
      </c>
      <c r="AA72" s="9">
        <f>IFERROR(__xludf.DUMMYFUNCTION("""COMPUTED_VALUE"""),0.0)</f>
        <v>0</v>
      </c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</row>
    <row r="73">
      <c r="A73" s="8">
        <f>IFERROR(__xludf.DUMMYFUNCTION("""COMPUTED_VALUE"""),45191.0)</f>
        <v>45191</v>
      </c>
      <c r="B73" s="9">
        <f>IFERROR(__xludf.DUMMYFUNCTION("""COMPUTED_VALUE"""),24.0)</f>
        <v>24</v>
      </c>
      <c r="C73" s="9">
        <f>IFERROR(__xludf.DUMMYFUNCTION("""COMPUTED_VALUE"""),91.0)</f>
        <v>91</v>
      </c>
      <c r="D73" s="9">
        <f>IFERROR(__xludf.DUMMYFUNCTION("""COMPUTED_VALUE"""),4.0)</f>
        <v>4</v>
      </c>
      <c r="E73" s="9">
        <f>IFERROR(__xludf.DUMMYFUNCTION("""COMPUTED_VALUE"""),1609.0)</f>
        <v>1609</v>
      </c>
      <c r="F73" s="9">
        <f>IFERROR(__xludf.DUMMYFUNCTION("""COMPUTED_VALUE"""),67.0)</f>
        <v>67</v>
      </c>
      <c r="G73" s="9">
        <f>IFERROR(__xludf.DUMMYFUNCTION("""COMPUTED_VALUE"""),0.0)</f>
        <v>0</v>
      </c>
      <c r="H73" s="9"/>
      <c r="I73" s="9">
        <f>IFERROR(__xludf.DUMMYFUNCTION("""COMPUTED_VALUE"""),22.0)</f>
        <v>22</v>
      </c>
      <c r="J73" s="9">
        <f>IFERROR(__xludf.DUMMYFUNCTION("""COMPUTED_VALUE"""),1.0)</f>
        <v>1</v>
      </c>
      <c r="K73" s="9">
        <f>IFERROR(__xludf.DUMMYFUNCTION("""COMPUTED_VALUE"""),0.0)</f>
        <v>0</v>
      </c>
      <c r="L73" s="9">
        <f>IFERROR(__xludf.DUMMYFUNCTION("""COMPUTED_VALUE"""),0.0)</f>
        <v>0</v>
      </c>
      <c r="M73" s="9">
        <f>IFERROR(__xludf.DUMMYFUNCTION("""COMPUTED_VALUE"""),23.0)</f>
        <v>23</v>
      </c>
      <c r="N73" s="9">
        <f>IFERROR(__xludf.DUMMYFUNCTION("""COMPUTED_VALUE"""),20.0)</f>
        <v>20</v>
      </c>
      <c r="O73" s="9">
        <f>IFERROR(__xludf.DUMMYFUNCTION("""COMPUTED_VALUE"""),0.0)</f>
        <v>0</v>
      </c>
      <c r="P73" s="9">
        <f>IFERROR(__xludf.DUMMYFUNCTION("""COMPUTED_VALUE"""),4.0)</f>
        <v>4</v>
      </c>
      <c r="Q73" s="9">
        <f>IFERROR(__xludf.DUMMYFUNCTION("""COMPUTED_VALUE"""),8.0)</f>
        <v>8</v>
      </c>
      <c r="R73" s="9">
        <f>IFERROR(__xludf.DUMMYFUNCTION("""COMPUTED_VALUE"""),4.0)</f>
        <v>4</v>
      </c>
      <c r="S73" s="9">
        <f>IFERROR(__xludf.DUMMYFUNCTION("""COMPUTED_VALUE"""),13.0)</f>
        <v>13</v>
      </c>
      <c r="T73" s="9">
        <f>IFERROR(__xludf.DUMMYFUNCTION("""COMPUTED_VALUE"""),2.0)</f>
        <v>2</v>
      </c>
      <c r="U73" s="9">
        <f>IFERROR(__xludf.DUMMYFUNCTION("""COMPUTED_VALUE"""),0.0)</f>
        <v>0</v>
      </c>
      <c r="V73" s="9">
        <f>IFERROR(__xludf.DUMMYFUNCTION("""COMPUTED_VALUE"""),12.0)</f>
        <v>12</v>
      </c>
      <c r="W73" s="9">
        <f>IFERROR(__xludf.DUMMYFUNCTION("""COMPUTED_VALUE"""),0.0)</f>
        <v>0</v>
      </c>
      <c r="X73" s="9">
        <f>IFERROR(__xludf.DUMMYFUNCTION("""COMPUTED_VALUE"""),13.0)</f>
        <v>13</v>
      </c>
      <c r="Y73" s="9">
        <f>IFERROR(__xludf.DUMMYFUNCTION("""COMPUTED_VALUE"""),14.0)</f>
        <v>14</v>
      </c>
      <c r="Z73" s="9">
        <f>IFERROR(__xludf.DUMMYFUNCTION("""COMPUTED_VALUE"""),2.0)</f>
        <v>2</v>
      </c>
      <c r="AA73" s="9">
        <f>IFERROR(__xludf.DUMMYFUNCTION("""COMPUTED_VALUE"""),0.0)</f>
        <v>0</v>
      </c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</row>
    <row r="74">
      <c r="A74" s="8">
        <f>IFERROR(__xludf.DUMMYFUNCTION("""COMPUTED_VALUE"""),45192.0)</f>
        <v>45192</v>
      </c>
      <c r="B74" s="9">
        <f>IFERROR(__xludf.DUMMYFUNCTION("""COMPUTED_VALUE"""),6.0)</f>
        <v>6</v>
      </c>
      <c r="C74" s="9">
        <f>IFERROR(__xludf.DUMMYFUNCTION("""COMPUTED_VALUE"""),20.0)</f>
        <v>20</v>
      </c>
      <c r="D74" s="9">
        <f>IFERROR(__xludf.DUMMYFUNCTION("""COMPUTED_VALUE"""),3.0)</f>
        <v>3</v>
      </c>
      <c r="E74" s="9">
        <f>IFERROR(__xludf.DUMMYFUNCTION("""COMPUTED_VALUE"""),300.0)</f>
        <v>300</v>
      </c>
      <c r="F74" s="9">
        <f>IFERROR(__xludf.DUMMYFUNCTION("""COMPUTED_VALUE"""),50.0)</f>
        <v>50</v>
      </c>
      <c r="G74" s="9">
        <f>IFERROR(__xludf.DUMMYFUNCTION("""COMPUTED_VALUE"""),0.0)</f>
        <v>0</v>
      </c>
      <c r="H74" s="9"/>
      <c r="I74" s="9">
        <f>IFERROR(__xludf.DUMMYFUNCTION("""COMPUTED_VALUE"""),6.0)</f>
        <v>6</v>
      </c>
      <c r="J74" s="9">
        <f>IFERROR(__xludf.DUMMYFUNCTION("""COMPUTED_VALUE"""),0.0)</f>
        <v>0</v>
      </c>
      <c r="K74" s="9">
        <f>IFERROR(__xludf.DUMMYFUNCTION("""COMPUTED_VALUE"""),0.0)</f>
        <v>0</v>
      </c>
      <c r="L74" s="9">
        <f>IFERROR(__xludf.DUMMYFUNCTION("""COMPUTED_VALUE"""),0.0)</f>
        <v>0</v>
      </c>
      <c r="M74" s="9">
        <f>IFERROR(__xludf.DUMMYFUNCTION("""COMPUTED_VALUE"""),6.0)</f>
        <v>6</v>
      </c>
      <c r="N74" s="9">
        <f>IFERROR(__xludf.DUMMYFUNCTION("""COMPUTED_VALUE"""),5.0)</f>
        <v>5</v>
      </c>
      <c r="O74" s="9">
        <f>IFERROR(__xludf.DUMMYFUNCTION("""COMPUTED_VALUE"""),0.0)</f>
        <v>0</v>
      </c>
      <c r="P74" s="9">
        <f>IFERROR(__xludf.DUMMYFUNCTION("""COMPUTED_VALUE"""),1.0)</f>
        <v>1</v>
      </c>
      <c r="Q74" s="9">
        <f>IFERROR(__xludf.DUMMYFUNCTION("""COMPUTED_VALUE"""),3.0)</f>
        <v>3</v>
      </c>
      <c r="R74" s="9">
        <f>IFERROR(__xludf.DUMMYFUNCTION("""COMPUTED_VALUE"""),0.0)</f>
        <v>0</v>
      </c>
      <c r="S74" s="9">
        <f>IFERROR(__xludf.DUMMYFUNCTION("""COMPUTED_VALUE"""),4.0)</f>
        <v>4</v>
      </c>
      <c r="T74" s="9">
        <f>IFERROR(__xludf.DUMMYFUNCTION("""COMPUTED_VALUE"""),0.0)</f>
        <v>0</v>
      </c>
      <c r="U74" s="9">
        <f>IFERROR(__xludf.DUMMYFUNCTION("""COMPUTED_VALUE"""),0.0)</f>
        <v>0</v>
      </c>
      <c r="V74" s="9">
        <f>IFERROR(__xludf.DUMMYFUNCTION("""COMPUTED_VALUE"""),3.0)</f>
        <v>3</v>
      </c>
      <c r="W74" s="9">
        <f>IFERROR(__xludf.DUMMYFUNCTION("""COMPUTED_VALUE"""),0.0)</f>
        <v>0</v>
      </c>
      <c r="X74" s="9">
        <f>IFERROR(__xludf.DUMMYFUNCTION("""COMPUTED_VALUE"""),1.0)</f>
        <v>1</v>
      </c>
      <c r="Y74" s="9">
        <f>IFERROR(__xludf.DUMMYFUNCTION("""COMPUTED_VALUE"""),3.0)</f>
        <v>3</v>
      </c>
      <c r="Z74" s="9">
        <f>IFERROR(__xludf.DUMMYFUNCTION("""COMPUTED_VALUE"""),0.0)</f>
        <v>0</v>
      </c>
      <c r="AA74" s="9">
        <f>IFERROR(__xludf.DUMMYFUNCTION("""COMPUTED_VALUE"""),0.0)</f>
        <v>0</v>
      </c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</row>
    <row r="75">
      <c r="A75" s="8">
        <f>IFERROR(__xludf.DUMMYFUNCTION("""COMPUTED_VALUE"""),45193.0)</f>
        <v>45193</v>
      </c>
      <c r="B75" s="9">
        <f>IFERROR(__xludf.DUMMYFUNCTION("""COMPUTED_VALUE"""),0.0)</f>
        <v>0</v>
      </c>
      <c r="C75" s="9">
        <f>IFERROR(__xludf.DUMMYFUNCTION("""COMPUTED_VALUE"""),0.0)</f>
        <v>0</v>
      </c>
      <c r="D75" s="9">
        <f>IFERROR(__xludf.DUMMYFUNCTION("""COMPUTED_VALUE"""),0.0)</f>
        <v>0</v>
      </c>
      <c r="E75" s="9">
        <f>IFERROR(__xludf.DUMMYFUNCTION("""COMPUTED_VALUE"""),0.0)</f>
        <v>0</v>
      </c>
      <c r="F75" s="9">
        <f>IFERROR(__xludf.DUMMYFUNCTION("""COMPUTED_VALUE"""),0.0)</f>
        <v>0</v>
      </c>
      <c r="G75" s="9">
        <f>IFERROR(__xludf.DUMMYFUNCTION("""COMPUTED_VALUE"""),0.0)</f>
        <v>0</v>
      </c>
      <c r="H75" s="9"/>
      <c r="I75" s="9">
        <f>IFERROR(__xludf.DUMMYFUNCTION("""COMPUTED_VALUE"""),0.0)</f>
        <v>0</v>
      </c>
      <c r="J75" s="9">
        <f>IFERROR(__xludf.DUMMYFUNCTION("""COMPUTED_VALUE"""),0.0)</f>
        <v>0</v>
      </c>
      <c r="K75" s="9">
        <f>IFERROR(__xludf.DUMMYFUNCTION("""COMPUTED_VALUE"""),0.0)</f>
        <v>0</v>
      </c>
      <c r="L75" s="9">
        <f>IFERROR(__xludf.DUMMYFUNCTION("""COMPUTED_VALUE"""),0.0)</f>
        <v>0</v>
      </c>
      <c r="M75" s="9">
        <f>IFERROR(__xludf.DUMMYFUNCTION("""COMPUTED_VALUE"""),0.0)</f>
        <v>0</v>
      </c>
      <c r="N75" s="9">
        <f>IFERROR(__xludf.DUMMYFUNCTION("""COMPUTED_VALUE"""),0.0)</f>
        <v>0</v>
      </c>
      <c r="O75" s="9">
        <f>IFERROR(__xludf.DUMMYFUNCTION("""COMPUTED_VALUE"""),0.0)</f>
        <v>0</v>
      </c>
      <c r="P75" s="9">
        <f>IFERROR(__xludf.DUMMYFUNCTION("""COMPUTED_VALUE"""),0.0)</f>
        <v>0</v>
      </c>
      <c r="Q75" s="9">
        <f>IFERROR(__xludf.DUMMYFUNCTION("""COMPUTED_VALUE"""),0.0)</f>
        <v>0</v>
      </c>
      <c r="R75" s="9">
        <f>IFERROR(__xludf.DUMMYFUNCTION("""COMPUTED_VALUE"""),0.0)</f>
        <v>0</v>
      </c>
      <c r="S75" s="9">
        <f>IFERROR(__xludf.DUMMYFUNCTION("""COMPUTED_VALUE"""),0.0)</f>
        <v>0</v>
      </c>
      <c r="T75" s="9">
        <f>IFERROR(__xludf.DUMMYFUNCTION("""COMPUTED_VALUE"""),0.0)</f>
        <v>0</v>
      </c>
      <c r="U75" s="9">
        <f>IFERROR(__xludf.DUMMYFUNCTION("""COMPUTED_VALUE"""),0.0)</f>
        <v>0</v>
      </c>
      <c r="V75" s="9">
        <f>IFERROR(__xludf.DUMMYFUNCTION("""COMPUTED_VALUE"""),0.0)</f>
        <v>0</v>
      </c>
      <c r="W75" s="9">
        <f>IFERROR(__xludf.DUMMYFUNCTION("""COMPUTED_VALUE"""),0.0)</f>
        <v>0</v>
      </c>
      <c r="X75" s="9">
        <f>IFERROR(__xludf.DUMMYFUNCTION("""COMPUTED_VALUE"""),0.0)</f>
        <v>0</v>
      </c>
      <c r="Y75" s="9">
        <f>IFERROR(__xludf.DUMMYFUNCTION("""COMPUTED_VALUE"""),0.0)</f>
        <v>0</v>
      </c>
      <c r="Z75" s="9">
        <f>IFERROR(__xludf.DUMMYFUNCTION("""COMPUTED_VALUE"""),0.0)</f>
        <v>0</v>
      </c>
      <c r="AA75" s="9">
        <f>IFERROR(__xludf.DUMMYFUNCTION("""COMPUTED_VALUE"""),0.0)</f>
        <v>0</v>
      </c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</row>
    <row r="76">
      <c r="A76" s="8">
        <f>IFERROR(__xludf.DUMMYFUNCTION("""COMPUTED_VALUE"""),45194.0)</f>
        <v>45194</v>
      </c>
      <c r="B76" s="9">
        <f>IFERROR(__xludf.DUMMYFUNCTION("""COMPUTED_VALUE"""),29.0)</f>
        <v>29</v>
      </c>
      <c r="C76" s="9">
        <f>IFERROR(__xludf.DUMMYFUNCTION("""COMPUTED_VALUE"""),121.0)</f>
        <v>121</v>
      </c>
      <c r="D76" s="9">
        <f>IFERROR(__xludf.DUMMYFUNCTION("""COMPUTED_VALUE"""),4.0)</f>
        <v>4</v>
      </c>
      <c r="E76" s="9">
        <f>IFERROR(__xludf.DUMMYFUNCTION("""COMPUTED_VALUE"""),2297.0)</f>
        <v>2297</v>
      </c>
      <c r="F76" s="9">
        <f>IFERROR(__xludf.DUMMYFUNCTION("""COMPUTED_VALUE"""),79.0)</f>
        <v>79</v>
      </c>
      <c r="G76" s="9">
        <f>IFERROR(__xludf.DUMMYFUNCTION("""COMPUTED_VALUE"""),0.0)</f>
        <v>0</v>
      </c>
      <c r="H76" s="9"/>
      <c r="I76" s="9">
        <f>IFERROR(__xludf.DUMMYFUNCTION("""COMPUTED_VALUE"""),17.0)</f>
        <v>17</v>
      </c>
      <c r="J76" s="9">
        <f>IFERROR(__xludf.DUMMYFUNCTION("""COMPUTED_VALUE"""),4.0)</f>
        <v>4</v>
      </c>
      <c r="K76" s="9">
        <f>IFERROR(__xludf.DUMMYFUNCTION("""COMPUTED_VALUE"""),0.0)</f>
        <v>0</v>
      </c>
      <c r="L76" s="9">
        <f>IFERROR(__xludf.DUMMYFUNCTION("""COMPUTED_VALUE"""),1.0)</f>
        <v>1</v>
      </c>
      <c r="M76" s="9">
        <f>IFERROR(__xludf.DUMMYFUNCTION("""COMPUTED_VALUE"""),22.0)</f>
        <v>22</v>
      </c>
      <c r="N76" s="9">
        <f>IFERROR(__xludf.DUMMYFUNCTION("""COMPUTED_VALUE"""),24.0)</f>
        <v>24</v>
      </c>
      <c r="O76" s="9">
        <f>IFERROR(__xludf.DUMMYFUNCTION("""COMPUTED_VALUE"""),0.0)</f>
        <v>0</v>
      </c>
      <c r="P76" s="9">
        <f>IFERROR(__xludf.DUMMYFUNCTION("""COMPUTED_VALUE"""),5.0)</f>
        <v>5</v>
      </c>
      <c r="Q76" s="9">
        <f>IFERROR(__xludf.DUMMYFUNCTION("""COMPUTED_VALUE"""),13.0)</f>
        <v>13</v>
      </c>
      <c r="R76" s="9">
        <f>IFERROR(__xludf.DUMMYFUNCTION("""COMPUTED_VALUE"""),4.0)</f>
        <v>4</v>
      </c>
      <c r="S76" s="9">
        <f>IFERROR(__xludf.DUMMYFUNCTION("""COMPUTED_VALUE"""),20.0)</f>
        <v>20</v>
      </c>
      <c r="T76" s="9">
        <f>IFERROR(__xludf.DUMMYFUNCTION("""COMPUTED_VALUE"""),1.0)</f>
        <v>1</v>
      </c>
      <c r="U76" s="9">
        <f>IFERROR(__xludf.DUMMYFUNCTION("""COMPUTED_VALUE"""),0.0)</f>
        <v>0</v>
      </c>
      <c r="V76" s="9">
        <f>IFERROR(__xludf.DUMMYFUNCTION("""COMPUTED_VALUE"""),17.0)</f>
        <v>17</v>
      </c>
      <c r="W76" s="9">
        <f>IFERROR(__xludf.DUMMYFUNCTION("""COMPUTED_VALUE"""),0.0)</f>
        <v>0</v>
      </c>
      <c r="X76" s="9">
        <f>IFERROR(__xludf.DUMMYFUNCTION("""COMPUTED_VALUE"""),21.0)</f>
        <v>21</v>
      </c>
      <c r="Y76" s="9">
        <f>IFERROR(__xludf.DUMMYFUNCTION("""COMPUTED_VALUE"""),19.0)</f>
        <v>19</v>
      </c>
      <c r="Z76" s="9">
        <f>IFERROR(__xludf.DUMMYFUNCTION("""COMPUTED_VALUE"""),1.0)</f>
        <v>1</v>
      </c>
      <c r="AA76" s="9">
        <f>IFERROR(__xludf.DUMMYFUNCTION("""COMPUTED_VALUE"""),0.0)</f>
        <v>0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</row>
    <row r="77">
      <c r="A77" s="8">
        <f>IFERROR(__xludf.DUMMYFUNCTION("""COMPUTED_VALUE"""),45195.0)</f>
        <v>45195</v>
      </c>
      <c r="B77" s="9">
        <f>IFERROR(__xludf.DUMMYFUNCTION("""COMPUTED_VALUE"""),17.0)</f>
        <v>17</v>
      </c>
      <c r="C77" s="9">
        <f>IFERROR(__xludf.DUMMYFUNCTION("""COMPUTED_VALUE"""),83.0)</f>
        <v>83</v>
      </c>
      <c r="D77" s="9">
        <f>IFERROR(__xludf.DUMMYFUNCTION("""COMPUTED_VALUE"""),5.0)</f>
        <v>5</v>
      </c>
      <c r="E77" s="9">
        <f>IFERROR(__xludf.DUMMYFUNCTION("""COMPUTED_VALUE"""),1712.0)</f>
        <v>1712</v>
      </c>
      <c r="F77" s="9">
        <f>IFERROR(__xludf.DUMMYFUNCTION("""COMPUTED_VALUE"""),101.0)</f>
        <v>101</v>
      </c>
      <c r="G77" s="9">
        <f>IFERROR(__xludf.DUMMYFUNCTION("""COMPUTED_VALUE"""),0.0)</f>
        <v>0</v>
      </c>
      <c r="H77" s="9"/>
      <c r="I77" s="9">
        <f>IFERROR(__xludf.DUMMYFUNCTION("""COMPUTED_VALUE"""),15.0)</f>
        <v>15</v>
      </c>
      <c r="J77" s="9">
        <f>IFERROR(__xludf.DUMMYFUNCTION("""COMPUTED_VALUE"""),1.0)</f>
        <v>1</v>
      </c>
      <c r="K77" s="9">
        <f>IFERROR(__xludf.DUMMYFUNCTION("""COMPUTED_VALUE"""),0.0)</f>
        <v>0</v>
      </c>
      <c r="L77" s="9">
        <f>IFERROR(__xludf.DUMMYFUNCTION("""COMPUTED_VALUE"""),0.0)</f>
        <v>0</v>
      </c>
      <c r="M77" s="9">
        <f>IFERROR(__xludf.DUMMYFUNCTION("""COMPUTED_VALUE"""),16.0)</f>
        <v>16</v>
      </c>
      <c r="N77" s="9">
        <f>IFERROR(__xludf.DUMMYFUNCTION("""COMPUTED_VALUE"""),11.0)</f>
        <v>11</v>
      </c>
      <c r="O77" s="9">
        <f>IFERROR(__xludf.DUMMYFUNCTION("""COMPUTED_VALUE"""),0.0)</f>
        <v>0</v>
      </c>
      <c r="P77" s="9">
        <f>IFERROR(__xludf.DUMMYFUNCTION("""COMPUTED_VALUE"""),6.0)</f>
        <v>6</v>
      </c>
      <c r="Q77" s="9">
        <f>IFERROR(__xludf.DUMMYFUNCTION("""COMPUTED_VALUE"""),3.0)</f>
        <v>3</v>
      </c>
      <c r="R77" s="9">
        <f>IFERROR(__xludf.DUMMYFUNCTION("""COMPUTED_VALUE"""),5.0)</f>
        <v>5</v>
      </c>
      <c r="S77" s="9">
        <f>IFERROR(__xludf.DUMMYFUNCTION("""COMPUTED_VALUE"""),11.0)</f>
        <v>11</v>
      </c>
      <c r="T77" s="9">
        <f>IFERROR(__xludf.DUMMYFUNCTION("""COMPUTED_VALUE"""),0.0)</f>
        <v>0</v>
      </c>
      <c r="U77" s="9">
        <f>IFERROR(__xludf.DUMMYFUNCTION("""COMPUTED_VALUE"""),0.0)</f>
        <v>0</v>
      </c>
      <c r="V77" s="9">
        <f>IFERROR(__xludf.DUMMYFUNCTION("""COMPUTED_VALUE"""),8.0)</f>
        <v>8</v>
      </c>
      <c r="W77" s="9">
        <f>IFERROR(__xludf.DUMMYFUNCTION("""COMPUTED_VALUE"""),0.0)</f>
        <v>0</v>
      </c>
      <c r="X77" s="9">
        <f>IFERROR(__xludf.DUMMYFUNCTION("""COMPUTED_VALUE"""),25.0)</f>
        <v>25</v>
      </c>
      <c r="Y77" s="9">
        <f>IFERROR(__xludf.DUMMYFUNCTION("""COMPUTED_VALUE"""),11.0)</f>
        <v>11</v>
      </c>
      <c r="Z77" s="9">
        <f>IFERROR(__xludf.DUMMYFUNCTION("""COMPUTED_VALUE"""),0.0)</f>
        <v>0</v>
      </c>
      <c r="AA77" s="9">
        <f>IFERROR(__xludf.DUMMYFUNCTION("""COMPUTED_VALUE"""),0.0)</f>
        <v>0</v>
      </c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</row>
    <row r="78">
      <c r="A78" s="8">
        <f>IFERROR(__xludf.DUMMYFUNCTION("""COMPUTED_VALUE"""),45196.0)</f>
        <v>45196</v>
      </c>
      <c r="B78" s="9">
        <f>IFERROR(__xludf.DUMMYFUNCTION("""COMPUTED_VALUE"""),34.0)</f>
        <v>34</v>
      </c>
      <c r="C78" s="9">
        <f>IFERROR(__xludf.DUMMYFUNCTION("""COMPUTED_VALUE"""),124.0)</f>
        <v>124</v>
      </c>
      <c r="D78" s="9">
        <f>IFERROR(__xludf.DUMMYFUNCTION("""COMPUTED_VALUE"""),4.0)</f>
        <v>4</v>
      </c>
      <c r="E78" s="9">
        <f>IFERROR(__xludf.DUMMYFUNCTION("""COMPUTED_VALUE"""),2045.0)</f>
        <v>2045</v>
      </c>
      <c r="F78" s="9">
        <f>IFERROR(__xludf.DUMMYFUNCTION("""COMPUTED_VALUE"""),60.0)</f>
        <v>60</v>
      </c>
      <c r="G78" s="9">
        <f>IFERROR(__xludf.DUMMYFUNCTION("""COMPUTED_VALUE"""),0.0)</f>
        <v>0</v>
      </c>
      <c r="H78" s="9"/>
      <c r="I78" s="9">
        <f>IFERROR(__xludf.DUMMYFUNCTION("""COMPUTED_VALUE"""),25.0)</f>
        <v>25</v>
      </c>
      <c r="J78" s="9">
        <f>IFERROR(__xludf.DUMMYFUNCTION("""COMPUTED_VALUE"""),3.0)</f>
        <v>3</v>
      </c>
      <c r="K78" s="9">
        <f>IFERROR(__xludf.DUMMYFUNCTION("""COMPUTED_VALUE"""),1.0)</f>
        <v>1</v>
      </c>
      <c r="L78" s="9">
        <f>IFERROR(__xludf.DUMMYFUNCTION("""COMPUTED_VALUE"""),0.0)</f>
        <v>0</v>
      </c>
      <c r="M78" s="9">
        <f>IFERROR(__xludf.DUMMYFUNCTION("""COMPUTED_VALUE"""),29.0)</f>
        <v>29</v>
      </c>
      <c r="N78" s="9">
        <f>IFERROR(__xludf.DUMMYFUNCTION("""COMPUTED_VALUE"""),28.0)</f>
        <v>28</v>
      </c>
      <c r="O78" s="9">
        <f>IFERROR(__xludf.DUMMYFUNCTION("""COMPUTED_VALUE"""),2.0)</f>
        <v>2</v>
      </c>
      <c r="P78" s="9">
        <f>IFERROR(__xludf.DUMMYFUNCTION("""COMPUTED_VALUE"""),4.0)</f>
        <v>4</v>
      </c>
      <c r="Q78" s="9">
        <f>IFERROR(__xludf.DUMMYFUNCTION("""COMPUTED_VALUE"""),13.0)</f>
        <v>13</v>
      </c>
      <c r="R78" s="9">
        <f>IFERROR(__xludf.DUMMYFUNCTION("""COMPUTED_VALUE"""),4.0)</f>
        <v>4</v>
      </c>
      <c r="S78" s="9">
        <f>IFERROR(__xludf.DUMMYFUNCTION("""COMPUTED_VALUE"""),13.0)</f>
        <v>13</v>
      </c>
      <c r="T78" s="9">
        <f>IFERROR(__xludf.DUMMYFUNCTION("""COMPUTED_VALUE"""),3.0)</f>
        <v>3</v>
      </c>
      <c r="U78" s="9">
        <f>IFERROR(__xludf.DUMMYFUNCTION("""COMPUTED_VALUE"""),1.0)</f>
        <v>1</v>
      </c>
      <c r="V78" s="9">
        <f>IFERROR(__xludf.DUMMYFUNCTION("""COMPUTED_VALUE"""),18.0)</f>
        <v>18</v>
      </c>
      <c r="W78" s="9">
        <f>IFERROR(__xludf.DUMMYFUNCTION("""COMPUTED_VALUE"""),0.0)</f>
        <v>0</v>
      </c>
      <c r="X78" s="9">
        <f>IFERROR(__xludf.DUMMYFUNCTION("""COMPUTED_VALUE"""),12.0)</f>
        <v>12</v>
      </c>
      <c r="Y78" s="9">
        <f>IFERROR(__xludf.DUMMYFUNCTION("""COMPUTED_VALUE"""),24.0)</f>
        <v>24</v>
      </c>
      <c r="Z78" s="9">
        <f>IFERROR(__xludf.DUMMYFUNCTION("""COMPUTED_VALUE"""),4.0)</f>
        <v>4</v>
      </c>
      <c r="AA78" s="9">
        <f>IFERROR(__xludf.DUMMYFUNCTION("""COMPUTED_VALUE"""),1.0)</f>
        <v>1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</row>
    <row r="79">
      <c r="A79" s="8">
        <f>IFERROR(__xludf.DUMMYFUNCTION("""COMPUTED_VALUE"""),45197.0)</f>
        <v>45197</v>
      </c>
      <c r="B79" s="9">
        <f>IFERROR(__xludf.DUMMYFUNCTION("""COMPUTED_VALUE"""),43.0)</f>
        <v>43</v>
      </c>
      <c r="C79" s="9">
        <f>IFERROR(__xludf.DUMMYFUNCTION("""COMPUTED_VALUE"""),154.0)</f>
        <v>154</v>
      </c>
      <c r="D79" s="9">
        <f>IFERROR(__xludf.DUMMYFUNCTION("""COMPUTED_VALUE"""),4.0)</f>
        <v>4</v>
      </c>
      <c r="E79" s="9">
        <f>IFERROR(__xludf.DUMMYFUNCTION("""COMPUTED_VALUE"""),2647.0)</f>
        <v>2647</v>
      </c>
      <c r="F79" s="9">
        <f>IFERROR(__xludf.DUMMYFUNCTION("""COMPUTED_VALUE"""),62.0)</f>
        <v>62</v>
      </c>
      <c r="G79" s="9">
        <f>IFERROR(__xludf.DUMMYFUNCTION("""COMPUTED_VALUE"""),0.0)</f>
        <v>0</v>
      </c>
      <c r="H79" s="9"/>
      <c r="I79" s="9">
        <f>IFERROR(__xludf.DUMMYFUNCTION("""COMPUTED_VALUE"""),26.0)</f>
        <v>26</v>
      </c>
      <c r="J79" s="9">
        <f>IFERROR(__xludf.DUMMYFUNCTION("""COMPUTED_VALUE"""),7.0)</f>
        <v>7</v>
      </c>
      <c r="K79" s="9">
        <f>IFERROR(__xludf.DUMMYFUNCTION("""COMPUTED_VALUE"""),1.0)</f>
        <v>1</v>
      </c>
      <c r="L79" s="9">
        <f>IFERROR(__xludf.DUMMYFUNCTION("""COMPUTED_VALUE"""),0.0)</f>
        <v>0</v>
      </c>
      <c r="M79" s="9">
        <f>IFERROR(__xludf.DUMMYFUNCTION("""COMPUTED_VALUE"""),34.0)</f>
        <v>34</v>
      </c>
      <c r="N79" s="9">
        <f>IFERROR(__xludf.DUMMYFUNCTION("""COMPUTED_VALUE"""),33.0)</f>
        <v>33</v>
      </c>
      <c r="O79" s="9">
        <f>IFERROR(__xludf.DUMMYFUNCTION("""COMPUTED_VALUE"""),3.0)</f>
        <v>3</v>
      </c>
      <c r="P79" s="9">
        <f>IFERROR(__xludf.DUMMYFUNCTION("""COMPUTED_VALUE"""),7.0)</f>
        <v>7</v>
      </c>
      <c r="Q79" s="9">
        <f>IFERROR(__xludf.DUMMYFUNCTION("""COMPUTED_VALUE"""),16.0)</f>
        <v>16</v>
      </c>
      <c r="R79" s="9">
        <f>IFERROR(__xludf.DUMMYFUNCTION("""COMPUTED_VALUE"""),2.0)</f>
        <v>2</v>
      </c>
      <c r="S79" s="9">
        <f>IFERROR(__xludf.DUMMYFUNCTION("""COMPUTED_VALUE"""),20.0)</f>
        <v>20</v>
      </c>
      <c r="T79" s="9">
        <f>IFERROR(__xludf.DUMMYFUNCTION("""COMPUTED_VALUE"""),1.0)</f>
        <v>1</v>
      </c>
      <c r="U79" s="9">
        <f>IFERROR(__xludf.DUMMYFUNCTION("""COMPUTED_VALUE"""),0.0)</f>
        <v>0</v>
      </c>
      <c r="V79" s="9">
        <f>IFERROR(__xludf.DUMMYFUNCTION("""COMPUTED_VALUE"""),21.0)</f>
        <v>21</v>
      </c>
      <c r="W79" s="9">
        <f>IFERROR(__xludf.DUMMYFUNCTION("""COMPUTED_VALUE"""),0.0)</f>
        <v>0</v>
      </c>
      <c r="X79" s="9">
        <f>IFERROR(__xludf.DUMMYFUNCTION("""COMPUTED_VALUE"""),17.0)</f>
        <v>17</v>
      </c>
      <c r="Y79" s="9">
        <f>IFERROR(__xludf.DUMMYFUNCTION("""COMPUTED_VALUE"""),28.0)</f>
        <v>28</v>
      </c>
      <c r="Z79" s="9">
        <f>IFERROR(__xludf.DUMMYFUNCTION("""COMPUTED_VALUE"""),1.0)</f>
        <v>1</v>
      </c>
      <c r="AA79" s="9">
        <f>IFERROR(__xludf.DUMMYFUNCTION("""COMPUTED_VALUE"""),3.0)</f>
        <v>3</v>
      </c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</row>
    <row r="80">
      <c r="A80" s="8">
        <f>IFERROR(__xludf.DUMMYFUNCTION("""COMPUTED_VALUE"""),45198.0)</f>
        <v>45198</v>
      </c>
      <c r="B80" s="9">
        <f>IFERROR(__xludf.DUMMYFUNCTION("""COMPUTED_VALUE"""),43.0)</f>
        <v>43</v>
      </c>
      <c r="C80" s="9">
        <f>IFERROR(__xludf.DUMMYFUNCTION("""COMPUTED_VALUE"""),167.0)</f>
        <v>167</v>
      </c>
      <c r="D80" s="9">
        <f>IFERROR(__xludf.DUMMYFUNCTION("""COMPUTED_VALUE"""),4.0)</f>
        <v>4</v>
      </c>
      <c r="E80" s="9">
        <f>IFERROR(__xludf.DUMMYFUNCTION("""COMPUTED_VALUE"""),2514.0)</f>
        <v>2514</v>
      </c>
      <c r="F80" s="9">
        <f>IFERROR(__xludf.DUMMYFUNCTION("""COMPUTED_VALUE"""),58.0)</f>
        <v>58</v>
      </c>
      <c r="G80" s="9">
        <f>IFERROR(__xludf.DUMMYFUNCTION("""COMPUTED_VALUE"""),0.0)</f>
        <v>0</v>
      </c>
      <c r="H80" s="9"/>
      <c r="I80" s="9">
        <f>IFERROR(__xludf.DUMMYFUNCTION("""COMPUTED_VALUE"""),18.0)</f>
        <v>18</v>
      </c>
      <c r="J80" s="9">
        <f>IFERROR(__xludf.DUMMYFUNCTION("""COMPUTED_VALUE"""),8.0)</f>
        <v>8</v>
      </c>
      <c r="K80" s="9">
        <f>IFERROR(__xludf.DUMMYFUNCTION("""COMPUTED_VALUE"""),1.0)</f>
        <v>1</v>
      </c>
      <c r="L80" s="9">
        <f>IFERROR(__xludf.DUMMYFUNCTION("""COMPUTED_VALUE"""),1.0)</f>
        <v>1</v>
      </c>
      <c r="M80" s="9">
        <f>IFERROR(__xludf.DUMMYFUNCTION("""COMPUTED_VALUE"""),28.0)</f>
        <v>28</v>
      </c>
      <c r="N80" s="9">
        <f>IFERROR(__xludf.DUMMYFUNCTION("""COMPUTED_VALUE"""),32.0)</f>
        <v>32</v>
      </c>
      <c r="O80" s="9">
        <f>IFERROR(__xludf.DUMMYFUNCTION("""COMPUTED_VALUE"""),6.0)</f>
        <v>6</v>
      </c>
      <c r="P80" s="9">
        <f>IFERROR(__xludf.DUMMYFUNCTION("""COMPUTED_VALUE"""),5.0)</f>
        <v>5</v>
      </c>
      <c r="Q80" s="9">
        <f>IFERROR(__xludf.DUMMYFUNCTION("""COMPUTED_VALUE"""),16.0)</f>
        <v>16</v>
      </c>
      <c r="R80" s="9">
        <f>IFERROR(__xludf.DUMMYFUNCTION("""COMPUTED_VALUE"""),2.0)</f>
        <v>2</v>
      </c>
      <c r="S80" s="9">
        <f>IFERROR(__xludf.DUMMYFUNCTION("""COMPUTED_VALUE"""),18.0)</f>
        <v>18</v>
      </c>
      <c r="T80" s="9">
        <f>IFERROR(__xludf.DUMMYFUNCTION("""COMPUTED_VALUE"""),1.0)</f>
        <v>1</v>
      </c>
      <c r="U80" s="9">
        <f>IFERROR(__xludf.DUMMYFUNCTION("""COMPUTED_VALUE"""),0.0)</f>
        <v>0</v>
      </c>
      <c r="V80" s="9">
        <f>IFERROR(__xludf.DUMMYFUNCTION("""COMPUTED_VALUE"""),23.0)</f>
        <v>23</v>
      </c>
      <c r="W80" s="9">
        <f>IFERROR(__xludf.DUMMYFUNCTION("""COMPUTED_VALUE"""),0.0)</f>
        <v>0</v>
      </c>
      <c r="X80" s="9">
        <f>IFERROR(__xludf.DUMMYFUNCTION("""COMPUTED_VALUE"""),17.0)</f>
        <v>17</v>
      </c>
      <c r="Y80" s="9">
        <f>IFERROR(__xludf.DUMMYFUNCTION("""COMPUTED_VALUE"""),27.0)</f>
        <v>27</v>
      </c>
      <c r="Z80" s="9">
        <f>IFERROR(__xludf.DUMMYFUNCTION("""COMPUTED_VALUE"""),1.0)</f>
        <v>1</v>
      </c>
      <c r="AA80" s="9">
        <f>IFERROR(__xludf.DUMMYFUNCTION("""COMPUTED_VALUE"""),5.0)</f>
        <v>5</v>
      </c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</row>
    <row r="81">
      <c r="A81" s="8">
        <f>IFERROR(__xludf.DUMMYFUNCTION("""COMPUTED_VALUE"""),45199.0)</f>
        <v>45199</v>
      </c>
      <c r="B81" s="9">
        <f>IFERROR(__xludf.DUMMYFUNCTION("""COMPUTED_VALUE"""),22.0)</f>
        <v>22</v>
      </c>
      <c r="C81" s="9">
        <f>IFERROR(__xludf.DUMMYFUNCTION("""COMPUTED_VALUE"""),97.0)</f>
        <v>97</v>
      </c>
      <c r="D81" s="9">
        <f>IFERROR(__xludf.DUMMYFUNCTION("""COMPUTED_VALUE"""),4.0)</f>
        <v>4</v>
      </c>
      <c r="E81" s="9">
        <f>IFERROR(__xludf.DUMMYFUNCTION("""COMPUTED_VALUE"""),1413.0)</f>
        <v>1413</v>
      </c>
      <c r="F81" s="9">
        <f>IFERROR(__xludf.DUMMYFUNCTION("""COMPUTED_VALUE"""),64.0)</f>
        <v>64</v>
      </c>
      <c r="G81" s="9">
        <f>IFERROR(__xludf.DUMMYFUNCTION("""COMPUTED_VALUE"""),0.0)</f>
        <v>0</v>
      </c>
      <c r="H81" s="9"/>
      <c r="I81" s="9">
        <f>IFERROR(__xludf.DUMMYFUNCTION("""COMPUTED_VALUE"""),12.0)</f>
        <v>12</v>
      </c>
      <c r="J81" s="9">
        <f>IFERROR(__xludf.DUMMYFUNCTION("""COMPUTED_VALUE"""),5.0)</f>
        <v>5</v>
      </c>
      <c r="K81" s="9">
        <f>IFERROR(__xludf.DUMMYFUNCTION("""COMPUTED_VALUE"""),0.0)</f>
        <v>0</v>
      </c>
      <c r="L81" s="9">
        <f>IFERROR(__xludf.DUMMYFUNCTION("""COMPUTED_VALUE"""),0.0)</f>
        <v>0</v>
      </c>
      <c r="M81" s="9">
        <f>IFERROR(__xludf.DUMMYFUNCTION("""COMPUTED_VALUE"""),17.0)</f>
        <v>17</v>
      </c>
      <c r="N81" s="9">
        <f>IFERROR(__xludf.DUMMYFUNCTION("""COMPUTED_VALUE"""),18.0)</f>
        <v>18</v>
      </c>
      <c r="O81" s="9">
        <f>IFERROR(__xludf.DUMMYFUNCTION("""COMPUTED_VALUE"""),2.0)</f>
        <v>2</v>
      </c>
      <c r="P81" s="9">
        <f>IFERROR(__xludf.DUMMYFUNCTION("""COMPUTED_VALUE"""),2.0)</f>
        <v>2</v>
      </c>
      <c r="Q81" s="9">
        <f>IFERROR(__xludf.DUMMYFUNCTION("""COMPUTED_VALUE"""),7.0)</f>
        <v>7</v>
      </c>
      <c r="R81" s="9">
        <f>IFERROR(__xludf.DUMMYFUNCTION("""COMPUTED_VALUE"""),1.0)</f>
        <v>1</v>
      </c>
      <c r="S81" s="9">
        <f>IFERROR(__xludf.DUMMYFUNCTION("""COMPUTED_VALUE"""),20.0)</f>
        <v>20</v>
      </c>
      <c r="T81" s="9">
        <f>IFERROR(__xludf.DUMMYFUNCTION("""COMPUTED_VALUE"""),2.0)</f>
        <v>2</v>
      </c>
      <c r="U81" s="9">
        <f>IFERROR(__xludf.DUMMYFUNCTION("""COMPUTED_VALUE"""),0.0)</f>
        <v>0</v>
      </c>
      <c r="V81" s="9">
        <f>IFERROR(__xludf.DUMMYFUNCTION("""COMPUTED_VALUE"""),10.0)</f>
        <v>10</v>
      </c>
      <c r="W81" s="9">
        <f>IFERROR(__xludf.DUMMYFUNCTION("""COMPUTED_VALUE"""),0.0)</f>
        <v>0</v>
      </c>
      <c r="X81" s="9">
        <f>IFERROR(__xludf.DUMMYFUNCTION("""COMPUTED_VALUE"""),14.0)</f>
        <v>14</v>
      </c>
      <c r="Y81" s="9">
        <f>IFERROR(__xludf.DUMMYFUNCTION("""COMPUTED_VALUE"""),13.0)</f>
        <v>13</v>
      </c>
      <c r="Z81" s="9">
        <f>IFERROR(__xludf.DUMMYFUNCTION("""COMPUTED_VALUE"""),2.0)</f>
        <v>2</v>
      </c>
      <c r="AA81" s="9">
        <f>IFERROR(__xludf.DUMMYFUNCTION("""COMPUTED_VALUE"""),2.0)</f>
        <v>2</v>
      </c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</row>
    <row r="82">
      <c r="A82" s="8">
        <f>IFERROR(__xludf.DUMMYFUNCTION("""COMPUTED_VALUE"""),45200.0)</f>
        <v>45200</v>
      </c>
      <c r="B82" s="9">
        <f>IFERROR(__xludf.DUMMYFUNCTION("""COMPUTED_VALUE"""),0.0)</f>
        <v>0</v>
      </c>
      <c r="C82" s="9">
        <f>IFERROR(__xludf.DUMMYFUNCTION("""COMPUTED_VALUE"""),0.0)</f>
        <v>0</v>
      </c>
      <c r="D82" s="9">
        <f>IFERROR(__xludf.DUMMYFUNCTION("""COMPUTED_VALUE"""),0.0)</f>
        <v>0</v>
      </c>
      <c r="E82" s="9">
        <f>IFERROR(__xludf.DUMMYFUNCTION("""COMPUTED_VALUE"""),0.0)</f>
        <v>0</v>
      </c>
      <c r="F82" s="9">
        <f>IFERROR(__xludf.DUMMYFUNCTION("""COMPUTED_VALUE"""),0.0)</f>
        <v>0</v>
      </c>
      <c r="G82" s="9">
        <f>IFERROR(__xludf.DUMMYFUNCTION("""COMPUTED_VALUE"""),0.0)</f>
        <v>0</v>
      </c>
      <c r="H82" s="9"/>
      <c r="I82" s="9">
        <f>IFERROR(__xludf.DUMMYFUNCTION("""COMPUTED_VALUE"""),0.0)</f>
        <v>0</v>
      </c>
      <c r="J82" s="9">
        <f>IFERROR(__xludf.DUMMYFUNCTION("""COMPUTED_VALUE"""),0.0)</f>
        <v>0</v>
      </c>
      <c r="K82" s="9">
        <f>IFERROR(__xludf.DUMMYFUNCTION("""COMPUTED_VALUE"""),0.0)</f>
        <v>0</v>
      </c>
      <c r="L82" s="9">
        <f>IFERROR(__xludf.DUMMYFUNCTION("""COMPUTED_VALUE"""),0.0)</f>
        <v>0</v>
      </c>
      <c r="M82" s="9">
        <f>IFERROR(__xludf.DUMMYFUNCTION("""COMPUTED_VALUE"""),0.0)</f>
        <v>0</v>
      </c>
      <c r="N82" s="9">
        <f>IFERROR(__xludf.DUMMYFUNCTION("""COMPUTED_VALUE"""),0.0)</f>
        <v>0</v>
      </c>
      <c r="O82" s="9">
        <f>IFERROR(__xludf.DUMMYFUNCTION("""COMPUTED_VALUE"""),0.0)</f>
        <v>0</v>
      </c>
      <c r="P82" s="9">
        <f>IFERROR(__xludf.DUMMYFUNCTION("""COMPUTED_VALUE"""),0.0)</f>
        <v>0</v>
      </c>
      <c r="Q82" s="9">
        <f>IFERROR(__xludf.DUMMYFUNCTION("""COMPUTED_VALUE"""),0.0)</f>
        <v>0</v>
      </c>
      <c r="R82" s="9">
        <f>IFERROR(__xludf.DUMMYFUNCTION("""COMPUTED_VALUE"""),0.0)</f>
        <v>0</v>
      </c>
      <c r="S82" s="9">
        <f>IFERROR(__xludf.DUMMYFUNCTION("""COMPUTED_VALUE"""),0.0)</f>
        <v>0</v>
      </c>
      <c r="T82" s="9">
        <f>IFERROR(__xludf.DUMMYFUNCTION("""COMPUTED_VALUE"""),0.0)</f>
        <v>0</v>
      </c>
      <c r="U82" s="9">
        <f>IFERROR(__xludf.DUMMYFUNCTION("""COMPUTED_VALUE"""),0.0)</f>
        <v>0</v>
      </c>
      <c r="V82" s="9">
        <f>IFERROR(__xludf.DUMMYFUNCTION("""COMPUTED_VALUE"""),0.0)</f>
        <v>0</v>
      </c>
      <c r="W82" s="9">
        <f>IFERROR(__xludf.DUMMYFUNCTION("""COMPUTED_VALUE"""),0.0)</f>
        <v>0</v>
      </c>
      <c r="X82" s="9">
        <f>IFERROR(__xludf.DUMMYFUNCTION("""COMPUTED_VALUE"""),0.0)</f>
        <v>0</v>
      </c>
      <c r="Y82" s="9">
        <f>IFERROR(__xludf.DUMMYFUNCTION("""COMPUTED_VALUE"""),0.0)</f>
        <v>0</v>
      </c>
      <c r="Z82" s="9">
        <f>IFERROR(__xludf.DUMMYFUNCTION("""COMPUTED_VALUE"""),0.0)</f>
        <v>0</v>
      </c>
      <c r="AA82" s="9">
        <f>IFERROR(__xludf.DUMMYFUNCTION("""COMPUTED_VALUE"""),0.0)</f>
        <v>0</v>
      </c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</row>
    <row r="83">
      <c r="A83" s="8">
        <f>IFERROR(__xludf.DUMMYFUNCTION("""COMPUTED_VALUE"""),45201.0)</f>
        <v>45201</v>
      </c>
      <c r="B83" s="9">
        <f>IFERROR(__xludf.DUMMYFUNCTION("""COMPUTED_VALUE"""),45.0)</f>
        <v>45</v>
      </c>
      <c r="C83" s="9">
        <f>IFERROR(__xludf.DUMMYFUNCTION("""COMPUTED_VALUE"""),181.0)</f>
        <v>181</v>
      </c>
      <c r="D83" s="9">
        <f>IFERROR(__xludf.DUMMYFUNCTION("""COMPUTED_VALUE"""),4.0)</f>
        <v>4</v>
      </c>
      <c r="E83" s="9">
        <f>IFERROR(__xludf.DUMMYFUNCTION("""COMPUTED_VALUE"""),3329.0)</f>
        <v>3329</v>
      </c>
      <c r="F83" s="9">
        <f>IFERROR(__xludf.DUMMYFUNCTION("""COMPUTED_VALUE"""),74.0)</f>
        <v>74</v>
      </c>
      <c r="G83" s="9">
        <f>IFERROR(__xludf.DUMMYFUNCTION("""COMPUTED_VALUE"""),0.0)</f>
        <v>0</v>
      </c>
      <c r="H83" s="9"/>
      <c r="I83" s="9">
        <f>IFERROR(__xludf.DUMMYFUNCTION("""COMPUTED_VALUE"""),23.0)</f>
        <v>23</v>
      </c>
      <c r="J83" s="9">
        <f>IFERROR(__xludf.DUMMYFUNCTION("""COMPUTED_VALUE"""),3.0)</f>
        <v>3</v>
      </c>
      <c r="K83" s="9">
        <f>IFERROR(__xludf.DUMMYFUNCTION("""COMPUTED_VALUE"""),0.0)</f>
        <v>0</v>
      </c>
      <c r="L83" s="9">
        <f>IFERROR(__xludf.DUMMYFUNCTION("""COMPUTED_VALUE"""),1.0)</f>
        <v>1</v>
      </c>
      <c r="M83" s="9">
        <f>IFERROR(__xludf.DUMMYFUNCTION("""COMPUTED_VALUE"""),29.0)</f>
        <v>29</v>
      </c>
      <c r="N83" s="9">
        <f>IFERROR(__xludf.DUMMYFUNCTION("""COMPUTED_VALUE"""),34.0)</f>
        <v>34</v>
      </c>
      <c r="O83" s="9">
        <f>IFERROR(__xludf.DUMMYFUNCTION("""COMPUTED_VALUE"""),4.0)</f>
        <v>4</v>
      </c>
      <c r="P83" s="9">
        <f>IFERROR(__xludf.DUMMYFUNCTION("""COMPUTED_VALUE"""),7.0)</f>
        <v>7</v>
      </c>
      <c r="Q83" s="9">
        <f>IFERROR(__xludf.DUMMYFUNCTION("""COMPUTED_VALUE"""),25.0)</f>
        <v>25</v>
      </c>
      <c r="R83" s="9">
        <f>IFERROR(__xludf.DUMMYFUNCTION("""COMPUTED_VALUE"""),5.0)</f>
        <v>5</v>
      </c>
      <c r="S83" s="9">
        <f>IFERROR(__xludf.DUMMYFUNCTION("""COMPUTED_VALUE"""),14.0)</f>
        <v>14</v>
      </c>
      <c r="T83" s="9">
        <f>IFERROR(__xludf.DUMMYFUNCTION("""COMPUTED_VALUE"""),0.0)</f>
        <v>0</v>
      </c>
      <c r="U83" s="9">
        <f>IFERROR(__xludf.DUMMYFUNCTION("""COMPUTED_VALUE"""),0.0)</f>
        <v>0</v>
      </c>
      <c r="V83" s="9">
        <f>IFERROR(__xludf.DUMMYFUNCTION("""COMPUTED_VALUE"""),34.0)</f>
        <v>34</v>
      </c>
      <c r="W83" s="9">
        <f>IFERROR(__xludf.DUMMYFUNCTION("""COMPUTED_VALUE"""),1.0)</f>
        <v>1</v>
      </c>
      <c r="X83" s="9">
        <f>IFERROR(__xludf.DUMMYFUNCTION("""COMPUTED_VALUE"""),35.0)</f>
        <v>35</v>
      </c>
      <c r="Y83" s="9">
        <f>IFERROR(__xludf.DUMMYFUNCTION("""COMPUTED_VALUE"""),38.0)</f>
        <v>38</v>
      </c>
      <c r="Z83" s="9">
        <f>IFERROR(__xludf.DUMMYFUNCTION("""COMPUTED_VALUE"""),1.0)</f>
        <v>1</v>
      </c>
      <c r="AA83" s="9">
        <f>IFERROR(__xludf.DUMMYFUNCTION("""COMPUTED_VALUE"""),4.0)</f>
        <v>4</v>
      </c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</row>
    <row r="84">
      <c r="A84" s="8">
        <f>IFERROR(__xludf.DUMMYFUNCTION("""COMPUTED_VALUE"""),45202.0)</f>
        <v>45202</v>
      </c>
      <c r="B84" s="9">
        <f>IFERROR(__xludf.DUMMYFUNCTION("""COMPUTED_VALUE"""),27.0)</f>
        <v>27</v>
      </c>
      <c r="C84" s="9">
        <f>IFERROR(__xludf.DUMMYFUNCTION("""COMPUTED_VALUE"""),94.0)</f>
        <v>94</v>
      </c>
      <c r="D84" s="9">
        <f>IFERROR(__xludf.DUMMYFUNCTION("""COMPUTED_VALUE"""),3.0)</f>
        <v>3</v>
      </c>
      <c r="E84" s="9">
        <f>IFERROR(__xludf.DUMMYFUNCTION("""COMPUTED_VALUE"""),1595.0)</f>
        <v>1595</v>
      </c>
      <c r="F84" s="9">
        <f>IFERROR(__xludf.DUMMYFUNCTION("""COMPUTED_VALUE"""),59.0)</f>
        <v>59</v>
      </c>
      <c r="G84" s="9">
        <f>IFERROR(__xludf.DUMMYFUNCTION("""COMPUTED_VALUE"""),0.0)</f>
        <v>0</v>
      </c>
      <c r="H84" s="9"/>
      <c r="I84" s="9">
        <f>IFERROR(__xludf.DUMMYFUNCTION("""COMPUTED_VALUE"""),17.0)</f>
        <v>17</v>
      </c>
      <c r="J84" s="9">
        <f>IFERROR(__xludf.DUMMYFUNCTION("""COMPUTED_VALUE"""),5.0)</f>
        <v>5</v>
      </c>
      <c r="K84" s="9">
        <f>IFERROR(__xludf.DUMMYFUNCTION("""COMPUTED_VALUE"""),0.0)</f>
        <v>0</v>
      </c>
      <c r="L84" s="9">
        <f>IFERROR(__xludf.DUMMYFUNCTION("""COMPUTED_VALUE"""),0.0)</f>
        <v>0</v>
      </c>
      <c r="M84" s="9">
        <f>IFERROR(__xludf.DUMMYFUNCTION("""COMPUTED_VALUE"""),22.0)</f>
        <v>22</v>
      </c>
      <c r="N84" s="9">
        <f>IFERROR(__xludf.DUMMYFUNCTION("""COMPUTED_VALUE"""),22.0)</f>
        <v>22</v>
      </c>
      <c r="O84" s="9">
        <f>IFERROR(__xludf.DUMMYFUNCTION("""COMPUTED_VALUE"""),2.0)</f>
        <v>2</v>
      </c>
      <c r="P84" s="9">
        <f>IFERROR(__xludf.DUMMYFUNCTION("""COMPUTED_VALUE"""),3.0)</f>
        <v>3</v>
      </c>
      <c r="Q84" s="9">
        <f>IFERROR(__xludf.DUMMYFUNCTION("""COMPUTED_VALUE"""),11.0)</f>
        <v>11</v>
      </c>
      <c r="R84" s="9">
        <f>IFERROR(__xludf.DUMMYFUNCTION("""COMPUTED_VALUE"""),1.0)</f>
        <v>1</v>
      </c>
      <c r="S84" s="9">
        <f>IFERROR(__xludf.DUMMYFUNCTION("""COMPUTED_VALUE"""),8.0)</f>
        <v>8</v>
      </c>
      <c r="T84" s="9">
        <f>IFERROR(__xludf.DUMMYFUNCTION("""COMPUTED_VALUE"""),1.0)</f>
        <v>1</v>
      </c>
      <c r="U84" s="9">
        <f>IFERROR(__xludf.DUMMYFUNCTION("""COMPUTED_VALUE"""),0.0)</f>
        <v>0</v>
      </c>
      <c r="V84" s="9">
        <f>IFERROR(__xludf.DUMMYFUNCTION("""COMPUTED_VALUE"""),14.0)</f>
        <v>14</v>
      </c>
      <c r="W84" s="9">
        <f>IFERROR(__xludf.DUMMYFUNCTION("""COMPUTED_VALUE"""),0.0)</f>
        <v>0</v>
      </c>
      <c r="X84" s="9">
        <f>IFERROR(__xludf.DUMMYFUNCTION("""COMPUTED_VALUE"""),12.0)</f>
        <v>12</v>
      </c>
      <c r="Y84" s="9">
        <f>IFERROR(__xludf.DUMMYFUNCTION("""COMPUTED_VALUE"""),17.0)</f>
        <v>17</v>
      </c>
      <c r="Z84" s="9">
        <f>IFERROR(__xludf.DUMMYFUNCTION("""COMPUTED_VALUE"""),1.0)</f>
        <v>1</v>
      </c>
      <c r="AA84" s="9">
        <f>IFERROR(__xludf.DUMMYFUNCTION("""COMPUTED_VALUE"""),2.0)</f>
        <v>2</v>
      </c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</row>
    <row r="85">
      <c r="A85" s="8">
        <f>IFERROR(__xludf.DUMMYFUNCTION("""COMPUTED_VALUE"""),45203.0)</f>
        <v>45203</v>
      </c>
      <c r="B85" s="9">
        <f>IFERROR(__xludf.DUMMYFUNCTION("""COMPUTED_VALUE"""),29.0)</f>
        <v>29</v>
      </c>
      <c r="C85" s="9">
        <f>IFERROR(__xludf.DUMMYFUNCTION("""COMPUTED_VALUE"""),148.0)</f>
        <v>148</v>
      </c>
      <c r="D85" s="9">
        <f>IFERROR(__xludf.DUMMYFUNCTION("""COMPUTED_VALUE"""),5.0)</f>
        <v>5</v>
      </c>
      <c r="E85" s="9">
        <f>IFERROR(__xludf.DUMMYFUNCTION("""COMPUTED_VALUE"""),2608.0)</f>
        <v>2608</v>
      </c>
      <c r="F85" s="9">
        <f>IFERROR(__xludf.DUMMYFUNCTION("""COMPUTED_VALUE"""),90.0)</f>
        <v>90</v>
      </c>
      <c r="G85" s="9">
        <f>IFERROR(__xludf.DUMMYFUNCTION("""COMPUTED_VALUE"""),0.0)</f>
        <v>0</v>
      </c>
      <c r="H85" s="9"/>
      <c r="I85" s="9">
        <f>IFERROR(__xludf.DUMMYFUNCTION("""COMPUTED_VALUE"""),18.0)</f>
        <v>18</v>
      </c>
      <c r="J85" s="9">
        <f>IFERROR(__xludf.DUMMYFUNCTION("""COMPUTED_VALUE"""),2.0)</f>
        <v>2</v>
      </c>
      <c r="K85" s="9">
        <f>IFERROR(__xludf.DUMMYFUNCTION("""COMPUTED_VALUE"""),1.0)</f>
        <v>1</v>
      </c>
      <c r="L85" s="9">
        <f>IFERROR(__xludf.DUMMYFUNCTION("""COMPUTED_VALUE"""),1.0)</f>
        <v>1</v>
      </c>
      <c r="M85" s="9">
        <f>IFERROR(__xludf.DUMMYFUNCTION("""COMPUTED_VALUE"""),22.0)</f>
        <v>22</v>
      </c>
      <c r="N85" s="9">
        <f>IFERROR(__xludf.DUMMYFUNCTION("""COMPUTED_VALUE"""),22.0)</f>
        <v>22</v>
      </c>
      <c r="O85" s="9">
        <f>IFERROR(__xludf.DUMMYFUNCTION("""COMPUTED_VALUE"""),0.0)</f>
        <v>0</v>
      </c>
      <c r="P85" s="9">
        <f>IFERROR(__xludf.DUMMYFUNCTION("""COMPUTED_VALUE"""),7.0)</f>
        <v>7</v>
      </c>
      <c r="Q85" s="9">
        <f>IFERROR(__xludf.DUMMYFUNCTION("""COMPUTED_VALUE"""),12.0)</f>
        <v>12</v>
      </c>
      <c r="R85" s="9">
        <f>IFERROR(__xludf.DUMMYFUNCTION("""COMPUTED_VALUE"""),2.0)</f>
        <v>2</v>
      </c>
      <c r="S85" s="9">
        <f>IFERROR(__xludf.DUMMYFUNCTION("""COMPUTED_VALUE"""),20.0)</f>
        <v>20</v>
      </c>
      <c r="T85" s="9">
        <f>IFERROR(__xludf.DUMMYFUNCTION("""COMPUTED_VALUE"""),0.0)</f>
        <v>0</v>
      </c>
      <c r="U85" s="9">
        <f>IFERROR(__xludf.DUMMYFUNCTION("""COMPUTED_VALUE"""),0.0)</f>
        <v>0</v>
      </c>
      <c r="V85" s="9">
        <f>IFERROR(__xludf.DUMMYFUNCTION("""COMPUTED_VALUE"""),14.0)</f>
        <v>14</v>
      </c>
      <c r="W85" s="9">
        <f>IFERROR(__xludf.DUMMYFUNCTION("""COMPUTED_VALUE"""),0.0)</f>
        <v>0</v>
      </c>
      <c r="X85" s="9">
        <f>IFERROR(__xludf.DUMMYFUNCTION("""COMPUTED_VALUE"""),32.0)</f>
        <v>32</v>
      </c>
      <c r="Y85" s="9">
        <f>IFERROR(__xludf.DUMMYFUNCTION("""COMPUTED_VALUE"""),19.0)</f>
        <v>19</v>
      </c>
      <c r="Z85" s="9">
        <f>IFERROR(__xludf.DUMMYFUNCTION("""COMPUTED_VALUE"""),0.0)</f>
        <v>0</v>
      </c>
      <c r="AA85" s="9">
        <f>IFERROR(__xludf.DUMMYFUNCTION("""COMPUTED_VALUE"""),0.0)</f>
        <v>0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</row>
    <row r="86">
      <c r="A86" s="8">
        <f>IFERROR(__xludf.DUMMYFUNCTION("""COMPUTED_VALUE"""),45204.0)</f>
        <v>45204</v>
      </c>
      <c r="B86" s="9">
        <f>IFERROR(__xludf.DUMMYFUNCTION("""COMPUTED_VALUE"""),23.0)</f>
        <v>23</v>
      </c>
      <c r="C86" s="9">
        <f>IFERROR(__xludf.DUMMYFUNCTION("""COMPUTED_VALUE"""),82.0)</f>
        <v>82</v>
      </c>
      <c r="D86" s="9">
        <f>IFERROR(__xludf.DUMMYFUNCTION("""COMPUTED_VALUE"""),4.0)</f>
        <v>4</v>
      </c>
      <c r="E86" s="9">
        <f>IFERROR(__xludf.DUMMYFUNCTION("""COMPUTED_VALUE"""),1328.0)</f>
        <v>1328</v>
      </c>
      <c r="F86" s="9">
        <f>IFERROR(__xludf.DUMMYFUNCTION("""COMPUTED_VALUE"""),58.0)</f>
        <v>58</v>
      </c>
      <c r="G86" s="9">
        <f>IFERROR(__xludf.DUMMYFUNCTION("""COMPUTED_VALUE"""),0.0)</f>
        <v>0</v>
      </c>
      <c r="H86" s="9"/>
      <c r="I86" s="9">
        <f>IFERROR(__xludf.DUMMYFUNCTION("""COMPUTED_VALUE"""),15.0)</f>
        <v>15</v>
      </c>
      <c r="J86" s="9">
        <f>IFERROR(__xludf.DUMMYFUNCTION("""COMPUTED_VALUE"""),4.0)</f>
        <v>4</v>
      </c>
      <c r="K86" s="9">
        <f>IFERROR(__xludf.DUMMYFUNCTION("""COMPUTED_VALUE"""),0.0)</f>
        <v>0</v>
      </c>
      <c r="L86" s="9">
        <f>IFERROR(__xludf.DUMMYFUNCTION("""COMPUTED_VALUE"""),0.0)</f>
        <v>0</v>
      </c>
      <c r="M86" s="9">
        <f>IFERROR(__xludf.DUMMYFUNCTION("""COMPUTED_VALUE"""),19.0)</f>
        <v>19</v>
      </c>
      <c r="N86" s="9">
        <f>IFERROR(__xludf.DUMMYFUNCTION("""COMPUTED_VALUE"""),21.0)</f>
        <v>21</v>
      </c>
      <c r="O86" s="9">
        <f>IFERROR(__xludf.DUMMYFUNCTION("""COMPUTED_VALUE"""),0.0)</f>
        <v>0</v>
      </c>
      <c r="P86" s="9">
        <f>IFERROR(__xludf.DUMMYFUNCTION("""COMPUTED_VALUE"""),2.0)</f>
        <v>2</v>
      </c>
      <c r="Q86" s="9">
        <f>IFERROR(__xludf.DUMMYFUNCTION("""COMPUTED_VALUE"""),12.0)</f>
        <v>12</v>
      </c>
      <c r="R86" s="9">
        <f>IFERROR(__xludf.DUMMYFUNCTION("""COMPUTED_VALUE"""),2.0)</f>
        <v>2</v>
      </c>
      <c r="S86" s="9">
        <f>IFERROR(__xludf.DUMMYFUNCTION("""COMPUTED_VALUE"""),4.0)</f>
        <v>4</v>
      </c>
      <c r="T86" s="9">
        <f>IFERROR(__xludf.DUMMYFUNCTION("""COMPUTED_VALUE"""),0.0)</f>
        <v>0</v>
      </c>
      <c r="U86" s="9">
        <f>IFERROR(__xludf.DUMMYFUNCTION("""COMPUTED_VALUE"""),0.0)</f>
        <v>0</v>
      </c>
      <c r="V86" s="9">
        <f>IFERROR(__xludf.DUMMYFUNCTION("""COMPUTED_VALUE"""),14.0)</f>
        <v>14</v>
      </c>
      <c r="W86" s="9">
        <f>IFERROR(__xludf.DUMMYFUNCTION("""COMPUTED_VALUE"""),0.0)</f>
        <v>0</v>
      </c>
      <c r="X86" s="9">
        <f>IFERROR(__xludf.DUMMYFUNCTION("""COMPUTED_VALUE"""),10.0)</f>
        <v>10</v>
      </c>
      <c r="Y86" s="9">
        <f>IFERROR(__xludf.DUMMYFUNCTION("""COMPUTED_VALUE"""),15.0)</f>
        <v>15</v>
      </c>
      <c r="Z86" s="9">
        <f>IFERROR(__xludf.DUMMYFUNCTION("""COMPUTED_VALUE"""),0.0)</f>
        <v>0</v>
      </c>
      <c r="AA86" s="9">
        <f>IFERROR(__xludf.DUMMYFUNCTION("""COMPUTED_VALUE"""),0.0)</f>
        <v>0</v>
      </c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</row>
    <row r="87">
      <c r="A87" s="8">
        <f>IFERROR(__xludf.DUMMYFUNCTION("""COMPUTED_VALUE"""),45205.0)</f>
        <v>45205</v>
      </c>
      <c r="B87" s="9">
        <f>IFERROR(__xludf.DUMMYFUNCTION("""COMPUTED_VALUE"""),30.0)</f>
        <v>30</v>
      </c>
      <c r="C87" s="9">
        <f>IFERROR(__xludf.DUMMYFUNCTION("""COMPUTED_VALUE"""),109.0)</f>
        <v>109</v>
      </c>
      <c r="D87" s="9">
        <f>IFERROR(__xludf.DUMMYFUNCTION("""COMPUTED_VALUE"""),4.0)</f>
        <v>4</v>
      </c>
      <c r="E87" s="9">
        <f>IFERROR(__xludf.DUMMYFUNCTION("""COMPUTED_VALUE"""),1807.0)</f>
        <v>1807</v>
      </c>
      <c r="F87" s="9">
        <f>IFERROR(__xludf.DUMMYFUNCTION("""COMPUTED_VALUE"""),60.0)</f>
        <v>60</v>
      </c>
      <c r="G87" s="9">
        <f>IFERROR(__xludf.DUMMYFUNCTION("""COMPUTED_VALUE"""),0.0)</f>
        <v>0</v>
      </c>
      <c r="H87" s="9"/>
      <c r="I87" s="9">
        <f>IFERROR(__xludf.DUMMYFUNCTION("""COMPUTED_VALUE"""),17.0)</f>
        <v>17</v>
      </c>
      <c r="J87" s="9">
        <f>IFERROR(__xludf.DUMMYFUNCTION("""COMPUTED_VALUE"""),1.0)</f>
        <v>1</v>
      </c>
      <c r="K87" s="9">
        <f>IFERROR(__xludf.DUMMYFUNCTION("""COMPUTED_VALUE"""),2.0)</f>
        <v>2</v>
      </c>
      <c r="L87" s="9">
        <f>IFERROR(__xludf.DUMMYFUNCTION("""COMPUTED_VALUE"""),1.0)</f>
        <v>1</v>
      </c>
      <c r="M87" s="9">
        <f>IFERROR(__xludf.DUMMYFUNCTION("""COMPUTED_VALUE"""),21.0)</f>
        <v>21</v>
      </c>
      <c r="N87" s="9">
        <f>IFERROR(__xludf.DUMMYFUNCTION("""COMPUTED_VALUE"""),23.0)</f>
        <v>23</v>
      </c>
      <c r="O87" s="9">
        <f>IFERROR(__xludf.DUMMYFUNCTION("""COMPUTED_VALUE"""),1.0)</f>
        <v>1</v>
      </c>
      <c r="P87" s="9">
        <f>IFERROR(__xludf.DUMMYFUNCTION("""COMPUTED_VALUE"""),6.0)</f>
        <v>6</v>
      </c>
      <c r="Q87" s="9">
        <f>IFERROR(__xludf.DUMMYFUNCTION("""COMPUTED_VALUE"""),14.0)</f>
        <v>14</v>
      </c>
      <c r="R87" s="9">
        <f>IFERROR(__xludf.DUMMYFUNCTION("""COMPUTED_VALUE"""),5.0)</f>
        <v>5</v>
      </c>
      <c r="S87" s="9">
        <f>IFERROR(__xludf.DUMMYFUNCTION("""COMPUTED_VALUE"""),11.0)</f>
        <v>11</v>
      </c>
      <c r="T87" s="9">
        <f>IFERROR(__xludf.DUMMYFUNCTION("""COMPUTED_VALUE"""),1.0)</f>
        <v>1</v>
      </c>
      <c r="U87" s="9">
        <f>IFERROR(__xludf.DUMMYFUNCTION("""COMPUTED_VALUE"""),0.0)</f>
        <v>0</v>
      </c>
      <c r="V87" s="9">
        <f>IFERROR(__xludf.DUMMYFUNCTION("""COMPUTED_VALUE"""),20.0)</f>
        <v>20</v>
      </c>
      <c r="W87" s="9">
        <f>IFERROR(__xludf.DUMMYFUNCTION("""COMPUTED_VALUE"""),0.0)</f>
        <v>0</v>
      </c>
      <c r="X87" s="9">
        <f>IFERROR(__xludf.DUMMYFUNCTION("""COMPUTED_VALUE"""),12.0)</f>
        <v>12</v>
      </c>
      <c r="Y87" s="9">
        <f>IFERROR(__xludf.DUMMYFUNCTION("""COMPUTED_VALUE"""),20.0)</f>
        <v>20</v>
      </c>
      <c r="Z87" s="9">
        <f>IFERROR(__xludf.DUMMYFUNCTION("""COMPUTED_VALUE"""),1.0)</f>
        <v>1</v>
      </c>
      <c r="AA87" s="9">
        <f>IFERROR(__xludf.DUMMYFUNCTION("""COMPUTED_VALUE"""),1.0)</f>
        <v>1</v>
      </c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</row>
    <row r="88">
      <c r="A88" s="8">
        <f>IFERROR(__xludf.DUMMYFUNCTION("""COMPUTED_VALUE"""),45206.0)</f>
        <v>45206</v>
      </c>
      <c r="B88" s="9">
        <f>IFERROR(__xludf.DUMMYFUNCTION("""COMPUTED_VALUE"""),19.0)</f>
        <v>19</v>
      </c>
      <c r="C88" s="9">
        <f>IFERROR(__xludf.DUMMYFUNCTION("""COMPUTED_VALUE"""),70.0)</f>
        <v>70</v>
      </c>
      <c r="D88" s="9">
        <f>IFERROR(__xludf.DUMMYFUNCTION("""COMPUTED_VALUE"""),4.0)</f>
        <v>4</v>
      </c>
      <c r="E88" s="9">
        <f>IFERROR(__xludf.DUMMYFUNCTION("""COMPUTED_VALUE"""),1162.0)</f>
        <v>1162</v>
      </c>
      <c r="F88" s="9">
        <f>IFERROR(__xludf.DUMMYFUNCTION("""COMPUTED_VALUE"""),61.0)</f>
        <v>61</v>
      </c>
      <c r="G88" s="9">
        <f>IFERROR(__xludf.DUMMYFUNCTION("""COMPUTED_VALUE"""),0.0)</f>
        <v>0</v>
      </c>
      <c r="H88" s="9"/>
      <c r="I88" s="9">
        <f>IFERROR(__xludf.DUMMYFUNCTION("""COMPUTED_VALUE"""),6.0)</f>
        <v>6</v>
      </c>
      <c r="J88" s="9">
        <f>IFERROR(__xludf.DUMMYFUNCTION("""COMPUTED_VALUE"""),2.0)</f>
        <v>2</v>
      </c>
      <c r="K88" s="9">
        <f>IFERROR(__xludf.DUMMYFUNCTION("""COMPUTED_VALUE"""),0.0)</f>
        <v>0</v>
      </c>
      <c r="L88" s="9">
        <f>IFERROR(__xludf.DUMMYFUNCTION("""COMPUTED_VALUE"""),2.0)</f>
        <v>2</v>
      </c>
      <c r="M88" s="9">
        <f>IFERROR(__xludf.DUMMYFUNCTION("""COMPUTED_VALUE"""),10.0)</f>
        <v>10</v>
      </c>
      <c r="N88" s="9">
        <f>IFERROR(__xludf.DUMMYFUNCTION("""COMPUTED_VALUE"""),14.0)</f>
        <v>14</v>
      </c>
      <c r="O88" s="9">
        <f>IFERROR(__xludf.DUMMYFUNCTION("""COMPUTED_VALUE"""),0.0)</f>
        <v>0</v>
      </c>
      <c r="P88" s="9">
        <f>IFERROR(__xludf.DUMMYFUNCTION("""COMPUTED_VALUE"""),5.0)</f>
        <v>5</v>
      </c>
      <c r="Q88" s="9">
        <f>IFERROR(__xludf.DUMMYFUNCTION("""COMPUTED_VALUE"""),6.0)</f>
        <v>6</v>
      </c>
      <c r="R88" s="9">
        <f>IFERROR(__xludf.DUMMYFUNCTION("""COMPUTED_VALUE"""),0.0)</f>
        <v>0</v>
      </c>
      <c r="S88" s="9">
        <f>IFERROR(__xludf.DUMMYFUNCTION("""COMPUTED_VALUE"""),10.0)</f>
        <v>10</v>
      </c>
      <c r="T88" s="9">
        <f>IFERROR(__xludf.DUMMYFUNCTION("""COMPUTED_VALUE"""),0.0)</f>
        <v>0</v>
      </c>
      <c r="U88" s="9">
        <f>IFERROR(__xludf.DUMMYFUNCTION("""COMPUTED_VALUE"""),0.0)</f>
        <v>0</v>
      </c>
      <c r="V88" s="9">
        <f>IFERROR(__xludf.DUMMYFUNCTION("""COMPUTED_VALUE"""),6.0)</f>
        <v>6</v>
      </c>
      <c r="W88" s="9">
        <f>IFERROR(__xludf.DUMMYFUNCTION("""COMPUTED_VALUE"""),0.0)</f>
        <v>0</v>
      </c>
      <c r="X88" s="9">
        <f>IFERROR(__xludf.DUMMYFUNCTION("""COMPUTED_VALUE"""),16.0)</f>
        <v>16</v>
      </c>
      <c r="Y88" s="9">
        <f>IFERROR(__xludf.DUMMYFUNCTION("""COMPUTED_VALUE"""),6.0)</f>
        <v>6</v>
      </c>
      <c r="Z88" s="9">
        <f>IFERROR(__xludf.DUMMYFUNCTION("""COMPUTED_VALUE"""),0.0)</f>
        <v>0</v>
      </c>
      <c r="AA88" s="9">
        <f>IFERROR(__xludf.DUMMYFUNCTION("""COMPUTED_VALUE"""),0.0)</f>
        <v>0</v>
      </c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</row>
    <row r="89">
      <c r="A89" s="8">
        <f>IFERROR(__xludf.DUMMYFUNCTION("""COMPUTED_VALUE"""),45207.0)</f>
        <v>45207</v>
      </c>
      <c r="B89" s="9">
        <f>IFERROR(__xludf.DUMMYFUNCTION("""COMPUTED_VALUE"""),0.0)</f>
        <v>0</v>
      </c>
      <c r="C89" s="9">
        <f>IFERROR(__xludf.DUMMYFUNCTION("""COMPUTED_VALUE"""),0.0)</f>
        <v>0</v>
      </c>
      <c r="D89" s="9">
        <f>IFERROR(__xludf.DUMMYFUNCTION("""COMPUTED_VALUE"""),0.0)</f>
        <v>0</v>
      </c>
      <c r="E89" s="9">
        <f>IFERROR(__xludf.DUMMYFUNCTION("""COMPUTED_VALUE"""),0.0)</f>
        <v>0</v>
      </c>
      <c r="F89" s="9">
        <f>IFERROR(__xludf.DUMMYFUNCTION("""COMPUTED_VALUE"""),0.0)</f>
        <v>0</v>
      </c>
      <c r="G89" s="9">
        <f>IFERROR(__xludf.DUMMYFUNCTION("""COMPUTED_VALUE"""),0.0)</f>
        <v>0</v>
      </c>
      <c r="H89" s="9"/>
      <c r="I89" s="9">
        <f>IFERROR(__xludf.DUMMYFUNCTION("""COMPUTED_VALUE"""),0.0)</f>
        <v>0</v>
      </c>
      <c r="J89" s="9">
        <f>IFERROR(__xludf.DUMMYFUNCTION("""COMPUTED_VALUE"""),0.0)</f>
        <v>0</v>
      </c>
      <c r="K89" s="9">
        <f>IFERROR(__xludf.DUMMYFUNCTION("""COMPUTED_VALUE"""),0.0)</f>
        <v>0</v>
      </c>
      <c r="L89" s="9">
        <f>IFERROR(__xludf.DUMMYFUNCTION("""COMPUTED_VALUE"""),0.0)</f>
        <v>0</v>
      </c>
      <c r="M89" s="9">
        <f>IFERROR(__xludf.DUMMYFUNCTION("""COMPUTED_VALUE"""),0.0)</f>
        <v>0</v>
      </c>
      <c r="N89" s="9">
        <f>IFERROR(__xludf.DUMMYFUNCTION("""COMPUTED_VALUE"""),0.0)</f>
        <v>0</v>
      </c>
      <c r="O89" s="9">
        <f>IFERROR(__xludf.DUMMYFUNCTION("""COMPUTED_VALUE"""),0.0)</f>
        <v>0</v>
      </c>
      <c r="P89" s="9">
        <f>IFERROR(__xludf.DUMMYFUNCTION("""COMPUTED_VALUE"""),0.0)</f>
        <v>0</v>
      </c>
      <c r="Q89" s="9">
        <f>IFERROR(__xludf.DUMMYFUNCTION("""COMPUTED_VALUE"""),0.0)</f>
        <v>0</v>
      </c>
      <c r="R89" s="9">
        <f>IFERROR(__xludf.DUMMYFUNCTION("""COMPUTED_VALUE"""),0.0)</f>
        <v>0</v>
      </c>
      <c r="S89" s="9">
        <f>IFERROR(__xludf.DUMMYFUNCTION("""COMPUTED_VALUE"""),0.0)</f>
        <v>0</v>
      </c>
      <c r="T89" s="9">
        <f>IFERROR(__xludf.DUMMYFUNCTION("""COMPUTED_VALUE"""),0.0)</f>
        <v>0</v>
      </c>
      <c r="U89" s="9">
        <f>IFERROR(__xludf.DUMMYFUNCTION("""COMPUTED_VALUE"""),0.0)</f>
        <v>0</v>
      </c>
      <c r="V89" s="9">
        <f>IFERROR(__xludf.DUMMYFUNCTION("""COMPUTED_VALUE"""),0.0)</f>
        <v>0</v>
      </c>
      <c r="W89" s="9">
        <f>IFERROR(__xludf.DUMMYFUNCTION("""COMPUTED_VALUE"""),0.0)</f>
        <v>0</v>
      </c>
      <c r="X89" s="9">
        <f>IFERROR(__xludf.DUMMYFUNCTION("""COMPUTED_VALUE"""),0.0)</f>
        <v>0</v>
      </c>
      <c r="Y89" s="9">
        <f>IFERROR(__xludf.DUMMYFUNCTION("""COMPUTED_VALUE"""),0.0)</f>
        <v>0</v>
      </c>
      <c r="Z89" s="9">
        <f>IFERROR(__xludf.DUMMYFUNCTION("""COMPUTED_VALUE"""),0.0)</f>
        <v>0</v>
      </c>
      <c r="AA89" s="9">
        <f>IFERROR(__xludf.DUMMYFUNCTION("""COMPUTED_VALUE"""),0.0)</f>
        <v>0</v>
      </c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</row>
    <row r="90">
      <c r="A90" s="8">
        <f>IFERROR(__xludf.DUMMYFUNCTION("""COMPUTED_VALUE"""),45208.0)</f>
        <v>45208</v>
      </c>
      <c r="B90" s="9">
        <f>IFERROR(__xludf.DUMMYFUNCTION("""COMPUTED_VALUE"""),28.0)</f>
        <v>28</v>
      </c>
      <c r="C90" s="9">
        <f>IFERROR(__xludf.DUMMYFUNCTION("""COMPUTED_VALUE"""),106.0)</f>
        <v>106</v>
      </c>
      <c r="D90" s="9">
        <f>IFERROR(__xludf.DUMMYFUNCTION("""COMPUTED_VALUE"""),4.0)</f>
        <v>4</v>
      </c>
      <c r="E90" s="9">
        <f>IFERROR(__xludf.DUMMYFUNCTION("""COMPUTED_VALUE"""),1775.0)</f>
        <v>1775</v>
      </c>
      <c r="F90" s="9">
        <f>IFERROR(__xludf.DUMMYFUNCTION("""COMPUTED_VALUE"""),63.0)</f>
        <v>63</v>
      </c>
      <c r="G90" s="9">
        <f>IFERROR(__xludf.DUMMYFUNCTION("""COMPUTED_VALUE"""),0.0)</f>
        <v>0</v>
      </c>
      <c r="H90" s="9"/>
      <c r="I90" s="9">
        <f>IFERROR(__xludf.DUMMYFUNCTION("""COMPUTED_VALUE"""),22.0)</f>
        <v>22</v>
      </c>
      <c r="J90" s="9">
        <f>IFERROR(__xludf.DUMMYFUNCTION("""COMPUTED_VALUE"""),3.0)</f>
        <v>3</v>
      </c>
      <c r="K90" s="9">
        <f>IFERROR(__xludf.DUMMYFUNCTION("""COMPUTED_VALUE"""),0.0)</f>
        <v>0</v>
      </c>
      <c r="L90" s="9">
        <f>IFERROR(__xludf.DUMMYFUNCTION("""COMPUTED_VALUE"""),0.0)</f>
        <v>0</v>
      </c>
      <c r="M90" s="9">
        <f>IFERROR(__xludf.DUMMYFUNCTION("""COMPUTED_VALUE"""),25.0)</f>
        <v>25</v>
      </c>
      <c r="N90" s="9">
        <f>IFERROR(__xludf.DUMMYFUNCTION("""COMPUTED_VALUE"""),20.0)</f>
        <v>20</v>
      </c>
      <c r="O90" s="9">
        <f>IFERROR(__xludf.DUMMYFUNCTION("""COMPUTED_VALUE"""),1.0)</f>
        <v>1</v>
      </c>
      <c r="P90" s="9">
        <f>IFERROR(__xludf.DUMMYFUNCTION("""COMPUTED_VALUE"""),7.0)</f>
        <v>7</v>
      </c>
      <c r="Q90" s="9">
        <f>IFERROR(__xludf.DUMMYFUNCTION("""COMPUTED_VALUE"""),11.0)</f>
        <v>11</v>
      </c>
      <c r="R90" s="9">
        <f>IFERROR(__xludf.DUMMYFUNCTION("""COMPUTED_VALUE"""),4.0)</f>
        <v>4</v>
      </c>
      <c r="S90" s="9">
        <f>IFERROR(__xludf.DUMMYFUNCTION("""COMPUTED_VALUE"""),11.0)</f>
        <v>11</v>
      </c>
      <c r="T90" s="9">
        <f>IFERROR(__xludf.DUMMYFUNCTION("""COMPUTED_VALUE"""),0.0)</f>
        <v>0</v>
      </c>
      <c r="U90" s="9">
        <f>IFERROR(__xludf.DUMMYFUNCTION("""COMPUTED_VALUE"""),0.0)</f>
        <v>0</v>
      </c>
      <c r="V90" s="9">
        <f>IFERROR(__xludf.DUMMYFUNCTION("""COMPUTED_VALUE"""),16.0)</f>
        <v>16</v>
      </c>
      <c r="W90" s="9">
        <f>IFERROR(__xludf.DUMMYFUNCTION("""COMPUTED_VALUE"""),0.0)</f>
        <v>0</v>
      </c>
      <c r="X90" s="9">
        <f>IFERROR(__xludf.DUMMYFUNCTION("""COMPUTED_VALUE"""),13.0)</f>
        <v>13</v>
      </c>
      <c r="Y90" s="9">
        <f>IFERROR(__xludf.DUMMYFUNCTION("""COMPUTED_VALUE"""),17.0)</f>
        <v>17</v>
      </c>
      <c r="Z90" s="9">
        <f>IFERROR(__xludf.DUMMYFUNCTION("""COMPUTED_VALUE"""),0.0)</f>
        <v>0</v>
      </c>
      <c r="AA90" s="9">
        <f>IFERROR(__xludf.DUMMYFUNCTION("""COMPUTED_VALUE"""),1.0)</f>
        <v>1</v>
      </c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</row>
    <row r="91">
      <c r="A91" s="8">
        <f>IFERROR(__xludf.DUMMYFUNCTION("""COMPUTED_VALUE"""),45209.0)</f>
        <v>45209</v>
      </c>
      <c r="B91" s="9">
        <f>IFERROR(__xludf.DUMMYFUNCTION("""COMPUTED_VALUE"""),34.0)</f>
        <v>34</v>
      </c>
      <c r="C91" s="9">
        <f>IFERROR(__xludf.DUMMYFUNCTION("""COMPUTED_VALUE"""),138.0)</f>
        <v>138</v>
      </c>
      <c r="D91" s="9">
        <f>IFERROR(__xludf.DUMMYFUNCTION("""COMPUTED_VALUE"""),4.0)</f>
        <v>4</v>
      </c>
      <c r="E91" s="9">
        <f>IFERROR(__xludf.DUMMYFUNCTION("""COMPUTED_VALUE"""),2501.0)</f>
        <v>2501</v>
      </c>
      <c r="F91" s="9">
        <f>IFERROR(__xludf.DUMMYFUNCTION("""COMPUTED_VALUE"""),74.0)</f>
        <v>74</v>
      </c>
      <c r="G91" s="9">
        <f>IFERROR(__xludf.DUMMYFUNCTION("""COMPUTED_VALUE"""),0.0)</f>
        <v>0</v>
      </c>
      <c r="H91" s="9"/>
      <c r="I91" s="9">
        <f>IFERROR(__xludf.DUMMYFUNCTION("""COMPUTED_VALUE"""),21.0)</f>
        <v>21</v>
      </c>
      <c r="J91" s="9">
        <f>IFERROR(__xludf.DUMMYFUNCTION("""COMPUTED_VALUE"""),2.0)</f>
        <v>2</v>
      </c>
      <c r="K91" s="9">
        <f>IFERROR(__xludf.DUMMYFUNCTION("""COMPUTED_VALUE"""),0.0)</f>
        <v>0</v>
      </c>
      <c r="L91" s="9">
        <f>IFERROR(__xludf.DUMMYFUNCTION("""COMPUTED_VALUE"""),1.0)</f>
        <v>1</v>
      </c>
      <c r="M91" s="9">
        <f>IFERROR(__xludf.DUMMYFUNCTION("""COMPUTED_VALUE"""),25.0)</f>
        <v>25</v>
      </c>
      <c r="N91" s="9">
        <f>IFERROR(__xludf.DUMMYFUNCTION("""COMPUTED_VALUE"""),22.0)</f>
        <v>22</v>
      </c>
      <c r="O91" s="9">
        <f>IFERROR(__xludf.DUMMYFUNCTION("""COMPUTED_VALUE"""),6.0)</f>
        <v>6</v>
      </c>
      <c r="P91" s="9">
        <f>IFERROR(__xludf.DUMMYFUNCTION("""COMPUTED_VALUE"""),6.0)</f>
        <v>6</v>
      </c>
      <c r="Q91" s="9">
        <f>IFERROR(__xludf.DUMMYFUNCTION("""COMPUTED_VALUE"""),8.0)</f>
        <v>8</v>
      </c>
      <c r="R91" s="9">
        <f>IFERROR(__xludf.DUMMYFUNCTION("""COMPUTED_VALUE"""),4.0)</f>
        <v>4</v>
      </c>
      <c r="S91" s="9">
        <f>IFERROR(__xludf.DUMMYFUNCTION("""COMPUTED_VALUE"""),26.0)</f>
        <v>26</v>
      </c>
      <c r="T91" s="9">
        <f>IFERROR(__xludf.DUMMYFUNCTION("""COMPUTED_VALUE"""),0.0)</f>
        <v>0</v>
      </c>
      <c r="U91" s="9">
        <f>IFERROR(__xludf.DUMMYFUNCTION("""COMPUTED_VALUE"""),0.0)</f>
        <v>0</v>
      </c>
      <c r="V91" s="9">
        <f>IFERROR(__xludf.DUMMYFUNCTION("""COMPUTED_VALUE"""),17.0)</f>
        <v>17</v>
      </c>
      <c r="W91" s="9">
        <f>IFERROR(__xludf.DUMMYFUNCTION("""COMPUTED_VALUE"""),0.0)</f>
        <v>0</v>
      </c>
      <c r="X91" s="9">
        <f>IFERROR(__xludf.DUMMYFUNCTION("""COMPUTED_VALUE"""),21.0)</f>
        <v>21</v>
      </c>
      <c r="Y91" s="9">
        <f>IFERROR(__xludf.DUMMYFUNCTION("""COMPUTED_VALUE"""),19.0)</f>
        <v>19</v>
      </c>
      <c r="Z91" s="9">
        <f>IFERROR(__xludf.DUMMYFUNCTION("""COMPUTED_VALUE"""),0.0)</f>
        <v>0</v>
      </c>
      <c r="AA91" s="9">
        <f>IFERROR(__xludf.DUMMYFUNCTION("""COMPUTED_VALUE"""),5.0)</f>
        <v>5</v>
      </c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</row>
    <row r="92">
      <c r="A92" s="8">
        <f>IFERROR(__xludf.DUMMYFUNCTION("""COMPUTED_VALUE"""),45210.0)</f>
        <v>45210</v>
      </c>
      <c r="B92" s="9">
        <f>IFERROR(__xludf.DUMMYFUNCTION("""COMPUTED_VALUE"""),36.0)</f>
        <v>36</v>
      </c>
      <c r="C92" s="9">
        <f>IFERROR(__xludf.DUMMYFUNCTION("""COMPUTED_VALUE"""),228.0)</f>
        <v>228</v>
      </c>
      <c r="D92" s="9">
        <f>IFERROR(__xludf.DUMMYFUNCTION("""COMPUTED_VALUE"""),6.0)</f>
        <v>6</v>
      </c>
      <c r="E92" s="9">
        <f>IFERROR(__xludf.DUMMYFUNCTION("""COMPUTED_VALUE"""),3209.0)</f>
        <v>3209</v>
      </c>
      <c r="F92" s="9">
        <f>IFERROR(__xludf.DUMMYFUNCTION("""COMPUTED_VALUE"""),89.0)</f>
        <v>89</v>
      </c>
      <c r="G92" s="9">
        <f>IFERROR(__xludf.DUMMYFUNCTION("""COMPUTED_VALUE"""),0.0)</f>
        <v>0</v>
      </c>
      <c r="H92" s="9"/>
      <c r="I92" s="9">
        <f>IFERROR(__xludf.DUMMYFUNCTION("""COMPUTED_VALUE"""),19.0)</f>
        <v>19</v>
      </c>
      <c r="J92" s="9">
        <f>IFERROR(__xludf.DUMMYFUNCTION("""COMPUTED_VALUE"""),5.0)</f>
        <v>5</v>
      </c>
      <c r="K92" s="9">
        <f>IFERROR(__xludf.DUMMYFUNCTION("""COMPUTED_VALUE"""),1.0)</f>
        <v>1</v>
      </c>
      <c r="L92" s="9">
        <f>IFERROR(__xludf.DUMMYFUNCTION("""COMPUTED_VALUE"""),1.0)</f>
        <v>1</v>
      </c>
      <c r="M92" s="9">
        <f>IFERROR(__xludf.DUMMYFUNCTION("""COMPUTED_VALUE"""),26.0)</f>
        <v>26</v>
      </c>
      <c r="N92" s="9">
        <f>IFERROR(__xludf.DUMMYFUNCTION("""COMPUTED_VALUE"""),31.0)</f>
        <v>31</v>
      </c>
      <c r="O92" s="9">
        <f>IFERROR(__xludf.DUMMYFUNCTION("""COMPUTED_VALUE"""),1.0)</f>
        <v>1</v>
      </c>
      <c r="P92" s="9">
        <f>IFERROR(__xludf.DUMMYFUNCTION("""COMPUTED_VALUE"""),4.0)</f>
        <v>4</v>
      </c>
      <c r="Q92" s="9">
        <f>IFERROR(__xludf.DUMMYFUNCTION("""COMPUTED_VALUE"""),13.0)</f>
        <v>13</v>
      </c>
      <c r="R92" s="9">
        <f>IFERROR(__xludf.DUMMYFUNCTION("""COMPUTED_VALUE"""),3.0)</f>
        <v>3</v>
      </c>
      <c r="S92" s="9">
        <f>IFERROR(__xludf.DUMMYFUNCTION("""COMPUTED_VALUE"""),14.0)</f>
        <v>14</v>
      </c>
      <c r="T92" s="9">
        <f>IFERROR(__xludf.DUMMYFUNCTION("""COMPUTED_VALUE"""),0.0)</f>
        <v>0</v>
      </c>
      <c r="U92" s="9">
        <f>IFERROR(__xludf.DUMMYFUNCTION("""COMPUTED_VALUE"""),0.0)</f>
        <v>0</v>
      </c>
      <c r="V92" s="9">
        <f>IFERROR(__xludf.DUMMYFUNCTION("""COMPUTED_VALUE"""),17.0)</f>
        <v>17</v>
      </c>
      <c r="W92" s="9">
        <f>IFERROR(__xludf.DUMMYFUNCTION("""COMPUTED_VALUE"""),0.0)</f>
        <v>0</v>
      </c>
      <c r="X92" s="9">
        <f>IFERROR(__xludf.DUMMYFUNCTION("""COMPUTED_VALUE"""),15.0)</f>
        <v>15</v>
      </c>
      <c r="Y92" s="9">
        <f>IFERROR(__xludf.DUMMYFUNCTION("""COMPUTED_VALUE"""),20.0)</f>
        <v>20</v>
      </c>
      <c r="Z92" s="9">
        <f>IFERROR(__xludf.DUMMYFUNCTION("""COMPUTED_VALUE"""),0.0)</f>
        <v>0</v>
      </c>
      <c r="AA92" s="9">
        <f>IFERROR(__xludf.DUMMYFUNCTION("""COMPUTED_VALUE"""),1.0)</f>
        <v>1</v>
      </c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</row>
    <row r="93">
      <c r="A93" s="8">
        <f>IFERROR(__xludf.DUMMYFUNCTION("""COMPUTED_VALUE"""),45211.0)</f>
        <v>45211</v>
      </c>
      <c r="B93" s="9">
        <f>IFERROR(__xludf.DUMMYFUNCTION("""COMPUTED_VALUE"""),25.0)</f>
        <v>25</v>
      </c>
      <c r="C93" s="9">
        <f>IFERROR(__xludf.DUMMYFUNCTION("""COMPUTED_VALUE"""),94.0)</f>
        <v>94</v>
      </c>
      <c r="D93" s="9">
        <f>IFERROR(__xludf.DUMMYFUNCTION("""COMPUTED_VALUE"""),4.0)</f>
        <v>4</v>
      </c>
      <c r="E93" s="9">
        <f>IFERROR(__xludf.DUMMYFUNCTION("""COMPUTED_VALUE"""),1654.0)</f>
        <v>1654</v>
      </c>
      <c r="F93" s="9">
        <f>IFERROR(__xludf.DUMMYFUNCTION("""COMPUTED_VALUE"""),66.0)</f>
        <v>66</v>
      </c>
      <c r="G93" s="9">
        <f>IFERROR(__xludf.DUMMYFUNCTION("""COMPUTED_VALUE"""),0.0)</f>
        <v>0</v>
      </c>
      <c r="H93" s="9"/>
      <c r="I93" s="9">
        <f>IFERROR(__xludf.DUMMYFUNCTION("""COMPUTED_VALUE"""),19.0)</f>
        <v>19</v>
      </c>
      <c r="J93" s="9">
        <f>IFERROR(__xludf.DUMMYFUNCTION("""COMPUTED_VALUE"""),3.0)</f>
        <v>3</v>
      </c>
      <c r="K93" s="9">
        <f>IFERROR(__xludf.DUMMYFUNCTION("""COMPUTED_VALUE"""),0.0)</f>
        <v>0</v>
      </c>
      <c r="L93" s="9">
        <f>IFERROR(__xludf.DUMMYFUNCTION("""COMPUTED_VALUE"""),0.0)</f>
        <v>0</v>
      </c>
      <c r="M93" s="9">
        <f>IFERROR(__xludf.DUMMYFUNCTION("""COMPUTED_VALUE"""),22.0)</f>
        <v>22</v>
      </c>
      <c r="N93" s="9">
        <f>IFERROR(__xludf.DUMMYFUNCTION("""COMPUTED_VALUE"""),16.0)</f>
        <v>16</v>
      </c>
      <c r="O93" s="9">
        <f>IFERROR(__xludf.DUMMYFUNCTION("""COMPUTED_VALUE"""),2.0)</f>
        <v>2</v>
      </c>
      <c r="P93" s="9">
        <f>IFERROR(__xludf.DUMMYFUNCTION("""COMPUTED_VALUE"""),7.0)</f>
        <v>7</v>
      </c>
      <c r="Q93" s="9">
        <f>IFERROR(__xludf.DUMMYFUNCTION("""COMPUTED_VALUE"""),10.0)</f>
        <v>10</v>
      </c>
      <c r="R93" s="9">
        <f>IFERROR(__xludf.DUMMYFUNCTION("""COMPUTED_VALUE"""),2.0)</f>
        <v>2</v>
      </c>
      <c r="S93" s="9">
        <f>IFERROR(__xludf.DUMMYFUNCTION("""COMPUTED_VALUE"""),14.0)</f>
        <v>14</v>
      </c>
      <c r="T93" s="9">
        <f>IFERROR(__xludf.DUMMYFUNCTION("""COMPUTED_VALUE"""),2.0)</f>
        <v>2</v>
      </c>
      <c r="U93" s="9">
        <f>IFERROR(__xludf.DUMMYFUNCTION("""COMPUTED_VALUE"""),0.0)</f>
        <v>0</v>
      </c>
      <c r="V93" s="9">
        <f>IFERROR(__xludf.DUMMYFUNCTION("""COMPUTED_VALUE"""),14.0)</f>
        <v>14</v>
      </c>
      <c r="W93" s="9">
        <f>IFERROR(__xludf.DUMMYFUNCTION("""COMPUTED_VALUE"""),0.0)</f>
        <v>0</v>
      </c>
      <c r="X93" s="9">
        <f>IFERROR(__xludf.DUMMYFUNCTION("""COMPUTED_VALUE"""),9.0)</f>
        <v>9</v>
      </c>
      <c r="Y93" s="9">
        <f>IFERROR(__xludf.DUMMYFUNCTION("""COMPUTED_VALUE"""),19.0)</f>
        <v>19</v>
      </c>
      <c r="Z93" s="9">
        <f>IFERROR(__xludf.DUMMYFUNCTION("""COMPUTED_VALUE"""),2.0)</f>
        <v>2</v>
      </c>
      <c r="AA93" s="9">
        <f>IFERROR(__xludf.DUMMYFUNCTION("""COMPUTED_VALUE"""),2.0)</f>
        <v>2</v>
      </c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</row>
    <row r="94">
      <c r="A94" s="8">
        <f>IFERROR(__xludf.DUMMYFUNCTION("""COMPUTED_VALUE"""),45212.0)</f>
        <v>45212</v>
      </c>
      <c r="B94" s="9">
        <f>IFERROR(__xludf.DUMMYFUNCTION("""COMPUTED_VALUE"""),26.0)</f>
        <v>26</v>
      </c>
      <c r="C94" s="9">
        <f>IFERROR(__xludf.DUMMYFUNCTION("""COMPUTED_VALUE"""),114.0)</f>
        <v>114</v>
      </c>
      <c r="D94" s="9">
        <f>IFERROR(__xludf.DUMMYFUNCTION("""COMPUTED_VALUE"""),4.0)</f>
        <v>4</v>
      </c>
      <c r="E94" s="9">
        <f>IFERROR(__xludf.DUMMYFUNCTION("""COMPUTED_VALUE"""),1914.0)</f>
        <v>1914</v>
      </c>
      <c r="F94" s="9">
        <f>IFERROR(__xludf.DUMMYFUNCTION("""COMPUTED_VALUE"""),74.0)</f>
        <v>74</v>
      </c>
      <c r="G94" s="9">
        <f>IFERROR(__xludf.DUMMYFUNCTION("""COMPUTED_VALUE"""),0.0)</f>
        <v>0</v>
      </c>
      <c r="H94" s="9"/>
      <c r="I94" s="9">
        <f>IFERROR(__xludf.DUMMYFUNCTION("""COMPUTED_VALUE"""),19.0)</f>
        <v>19</v>
      </c>
      <c r="J94" s="9">
        <f>IFERROR(__xludf.DUMMYFUNCTION("""COMPUTED_VALUE"""),2.0)</f>
        <v>2</v>
      </c>
      <c r="K94" s="9">
        <f>IFERROR(__xludf.DUMMYFUNCTION("""COMPUTED_VALUE"""),1.0)</f>
        <v>1</v>
      </c>
      <c r="L94" s="9">
        <f>IFERROR(__xludf.DUMMYFUNCTION("""COMPUTED_VALUE"""),0.0)</f>
        <v>0</v>
      </c>
      <c r="M94" s="9">
        <f>IFERROR(__xludf.DUMMYFUNCTION("""COMPUTED_VALUE"""),22.0)</f>
        <v>22</v>
      </c>
      <c r="N94" s="9">
        <f>IFERROR(__xludf.DUMMYFUNCTION("""COMPUTED_VALUE"""),22.0)</f>
        <v>22</v>
      </c>
      <c r="O94" s="9">
        <f>IFERROR(__xludf.DUMMYFUNCTION("""COMPUTED_VALUE"""),1.0)</f>
        <v>1</v>
      </c>
      <c r="P94" s="9">
        <f>IFERROR(__xludf.DUMMYFUNCTION("""COMPUTED_VALUE"""),3.0)</f>
        <v>3</v>
      </c>
      <c r="Q94" s="9">
        <f>IFERROR(__xludf.DUMMYFUNCTION("""COMPUTED_VALUE"""),13.0)</f>
        <v>13</v>
      </c>
      <c r="R94" s="9">
        <f>IFERROR(__xludf.DUMMYFUNCTION("""COMPUTED_VALUE"""),2.0)</f>
        <v>2</v>
      </c>
      <c r="S94" s="9">
        <f>IFERROR(__xludf.DUMMYFUNCTION("""COMPUTED_VALUE"""),22.0)</f>
        <v>22</v>
      </c>
      <c r="T94" s="9">
        <f>IFERROR(__xludf.DUMMYFUNCTION("""COMPUTED_VALUE"""),3.0)</f>
        <v>3</v>
      </c>
      <c r="U94" s="9">
        <f>IFERROR(__xludf.DUMMYFUNCTION("""COMPUTED_VALUE"""),0.0)</f>
        <v>0</v>
      </c>
      <c r="V94" s="9">
        <f>IFERROR(__xludf.DUMMYFUNCTION("""COMPUTED_VALUE"""),16.0)</f>
        <v>16</v>
      </c>
      <c r="W94" s="9">
        <f>IFERROR(__xludf.DUMMYFUNCTION("""COMPUTED_VALUE"""),0.0)</f>
        <v>0</v>
      </c>
      <c r="X94" s="9">
        <f>IFERROR(__xludf.DUMMYFUNCTION("""COMPUTED_VALUE"""),10.0)</f>
        <v>10</v>
      </c>
      <c r="Y94" s="9">
        <f>IFERROR(__xludf.DUMMYFUNCTION("""COMPUTED_VALUE"""),20.0)</f>
        <v>20</v>
      </c>
      <c r="Z94" s="9">
        <f>IFERROR(__xludf.DUMMYFUNCTION("""COMPUTED_VALUE"""),3.0)</f>
        <v>3</v>
      </c>
      <c r="AA94" s="9">
        <f>IFERROR(__xludf.DUMMYFUNCTION("""COMPUTED_VALUE"""),1.0)</f>
        <v>1</v>
      </c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</row>
    <row r="95">
      <c r="A95" s="8">
        <f>IFERROR(__xludf.DUMMYFUNCTION("""COMPUTED_VALUE"""),45213.0)</f>
        <v>45213</v>
      </c>
      <c r="B95" s="9">
        <f>IFERROR(__xludf.DUMMYFUNCTION("""COMPUTED_VALUE"""),14.0)</f>
        <v>14</v>
      </c>
      <c r="C95" s="9">
        <f>IFERROR(__xludf.DUMMYFUNCTION("""COMPUTED_VALUE"""),70.0)</f>
        <v>70</v>
      </c>
      <c r="D95" s="9">
        <f>IFERROR(__xludf.DUMMYFUNCTION("""COMPUTED_VALUE"""),5.0)</f>
        <v>5</v>
      </c>
      <c r="E95" s="9">
        <f>IFERROR(__xludf.DUMMYFUNCTION("""COMPUTED_VALUE"""),919.0)</f>
        <v>919</v>
      </c>
      <c r="F95" s="9">
        <f>IFERROR(__xludf.DUMMYFUNCTION("""COMPUTED_VALUE"""),66.0)</f>
        <v>66</v>
      </c>
      <c r="G95" s="9">
        <f>IFERROR(__xludf.DUMMYFUNCTION("""COMPUTED_VALUE"""),0.0)</f>
        <v>0</v>
      </c>
      <c r="H95" s="9"/>
      <c r="I95" s="9">
        <f>IFERROR(__xludf.DUMMYFUNCTION("""COMPUTED_VALUE"""),9.0)</f>
        <v>9</v>
      </c>
      <c r="J95" s="9">
        <f>IFERROR(__xludf.DUMMYFUNCTION("""COMPUTED_VALUE"""),1.0)</f>
        <v>1</v>
      </c>
      <c r="K95" s="9">
        <f>IFERROR(__xludf.DUMMYFUNCTION("""COMPUTED_VALUE"""),1.0)</f>
        <v>1</v>
      </c>
      <c r="L95" s="9">
        <f>IFERROR(__xludf.DUMMYFUNCTION("""COMPUTED_VALUE"""),0.0)</f>
        <v>0</v>
      </c>
      <c r="M95" s="9">
        <f>IFERROR(__xludf.DUMMYFUNCTION("""COMPUTED_VALUE"""),11.0)</f>
        <v>11</v>
      </c>
      <c r="N95" s="9">
        <f>IFERROR(__xludf.DUMMYFUNCTION("""COMPUTED_VALUE"""),10.0)</f>
        <v>10</v>
      </c>
      <c r="O95" s="9">
        <f>IFERROR(__xludf.DUMMYFUNCTION("""COMPUTED_VALUE"""),0.0)</f>
        <v>0</v>
      </c>
      <c r="P95" s="9">
        <f>IFERROR(__xludf.DUMMYFUNCTION("""COMPUTED_VALUE"""),4.0)</f>
        <v>4</v>
      </c>
      <c r="Q95" s="9">
        <f>IFERROR(__xludf.DUMMYFUNCTION("""COMPUTED_VALUE"""),7.0)</f>
        <v>7</v>
      </c>
      <c r="R95" s="9">
        <f>IFERROR(__xludf.DUMMYFUNCTION("""COMPUTED_VALUE"""),3.0)</f>
        <v>3</v>
      </c>
      <c r="S95" s="9">
        <f>IFERROR(__xludf.DUMMYFUNCTION("""COMPUTED_VALUE"""),8.0)</f>
        <v>8</v>
      </c>
      <c r="T95" s="9">
        <f>IFERROR(__xludf.DUMMYFUNCTION("""COMPUTED_VALUE"""),0.0)</f>
        <v>0</v>
      </c>
      <c r="U95" s="9">
        <f>IFERROR(__xludf.DUMMYFUNCTION("""COMPUTED_VALUE"""),0.0)</f>
        <v>0</v>
      </c>
      <c r="V95" s="9">
        <f>IFERROR(__xludf.DUMMYFUNCTION("""COMPUTED_VALUE"""),10.0)</f>
        <v>10</v>
      </c>
      <c r="W95" s="9">
        <f>IFERROR(__xludf.DUMMYFUNCTION("""COMPUTED_VALUE"""),0.0)</f>
        <v>0</v>
      </c>
      <c r="X95" s="9">
        <f>IFERROR(__xludf.DUMMYFUNCTION("""COMPUTED_VALUE"""),8.0)</f>
        <v>8</v>
      </c>
      <c r="Y95" s="9">
        <f>IFERROR(__xludf.DUMMYFUNCTION("""COMPUTED_VALUE"""),11.0)</f>
        <v>11</v>
      </c>
      <c r="Z95" s="9">
        <f>IFERROR(__xludf.DUMMYFUNCTION("""COMPUTED_VALUE"""),0.0)</f>
        <v>0</v>
      </c>
      <c r="AA95" s="9">
        <f>IFERROR(__xludf.DUMMYFUNCTION("""COMPUTED_VALUE"""),0.0)</f>
        <v>0</v>
      </c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</row>
    <row r="96">
      <c r="A96" s="8">
        <f>IFERROR(__xludf.DUMMYFUNCTION("""COMPUTED_VALUE"""),45214.0)</f>
        <v>45214</v>
      </c>
      <c r="B96" s="9">
        <f>IFERROR(__xludf.DUMMYFUNCTION("""COMPUTED_VALUE"""),0.0)</f>
        <v>0</v>
      </c>
      <c r="C96" s="9">
        <f>IFERROR(__xludf.DUMMYFUNCTION("""COMPUTED_VALUE"""),0.0)</f>
        <v>0</v>
      </c>
      <c r="D96" s="9">
        <f>IFERROR(__xludf.DUMMYFUNCTION("""COMPUTED_VALUE"""),0.0)</f>
        <v>0</v>
      </c>
      <c r="E96" s="9">
        <f>IFERROR(__xludf.DUMMYFUNCTION("""COMPUTED_VALUE"""),0.0)</f>
        <v>0</v>
      </c>
      <c r="F96" s="9">
        <f>IFERROR(__xludf.DUMMYFUNCTION("""COMPUTED_VALUE"""),0.0)</f>
        <v>0</v>
      </c>
      <c r="G96" s="9">
        <f>IFERROR(__xludf.DUMMYFUNCTION("""COMPUTED_VALUE"""),0.0)</f>
        <v>0</v>
      </c>
      <c r="H96" s="9"/>
      <c r="I96" s="9">
        <f>IFERROR(__xludf.DUMMYFUNCTION("""COMPUTED_VALUE"""),0.0)</f>
        <v>0</v>
      </c>
      <c r="J96" s="9">
        <f>IFERROR(__xludf.DUMMYFUNCTION("""COMPUTED_VALUE"""),0.0)</f>
        <v>0</v>
      </c>
      <c r="K96" s="9">
        <f>IFERROR(__xludf.DUMMYFUNCTION("""COMPUTED_VALUE"""),0.0)</f>
        <v>0</v>
      </c>
      <c r="L96" s="9">
        <f>IFERROR(__xludf.DUMMYFUNCTION("""COMPUTED_VALUE"""),0.0)</f>
        <v>0</v>
      </c>
      <c r="M96" s="9">
        <f>IFERROR(__xludf.DUMMYFUNCTION("""COMPUTED_VALUE"""),0.0)</f>
        <v>0</v>
      </c>
      <c r="N96" s="9">
        <f>IFERROR(__xludf.DUMMYFUNCTION("""COMPUTED_VALUE"""),0.0)</f>
        <v>0</v>
      </c>
      <c r="O96" s="9">
        <f>IFERROR(__xludf.DUMMYFUNCTION("""COMPUTED_VALUE"""),0.0)</f>
        <v>0</v>
      </c>
      <c r="P96" s="9">
        <f>IFERROR(__xludf.DUMMYFUNCTION("""COMPUTED_VALUE"""),0.0)</f>
        <v>0</v>
      </c>
      <c r="Q96" s="9">
        <f>IFERROR(__xludf.DUMMYFUNCTION("""COMPUTED_VALUE"""),0.0)</f>
        <v>0</v>
      </c>
      <c r="R96" s="9">
        <f>IFERROR(__xludf.DUMMYFUNCTION("""COMPUTED_VALUE"""),0.0)</f>
        <v>0</v>
      </c>
      <c r="S96" s="9">
        <f>IFERROR(__xludf.DUMMYFUNCTION("""COMPUTED_VALUE"""),0.0)</f>
        <v>0</v>
      </c>
      <c r="T96" s="9">
        <f>IFERROR(__xludf.DUMMYFUNCTION("""COMPUTED_VALUE"""),0.0)</f>
        <v>0</v>
      </c>
      <c r="U96" s="9">
        <f>IFERROR(__xludf.DUMMYFUNCTION("""COMPUTED_VALUE"""),0.0)</f>
        <v>0</v>
      </c>
      <c r="V96" s="9">
        <f>IFERROR(__xludf.DUMMYFUNCTION("""COMPUTED_VALUE"""),0.0)</f>
        <v>0</v>
      </c>
      <c r="W96" s="9">
        <f>IFERROR(__xludf.DUMMYFUNCTION("""COMPUTED_VALUE"""),0.0)</f>
        <v>0</v>
      </c>
      <c r="X96" s="9">
        <f>IFERROR(__xludf.DUMMYFUNCTION("""COMPUTED_VALUE"""),0.0)</f>
        <v>0</v>
      </c>
      <c r="Y96" s="9">
        <f>IFERROR(__xludf.DUMMYFUNCTION("""COMPUTED_VALUE"""),0.0)</f>
        <v>0</v>
      </c>
      <c r="Z96" s="9">
        <f>IFERROR(__xludf.DUMMYFUNCTION("""COMPUTED_VALUE"""),0.0)</f>
        <v>0</v>
      </c>
      <c r="AA96" s="9">
        <f>IFERROR(__xludf.DUMMYFUNCTION("""COMPUTED_VALUE"""),0.0)</f>
        <v>0</v>
      </c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</row>
    <row r="97">
      <c r="A97" s="8">
        <f>IFERROR(__xludf.DUMMYFUNCTION("""COMPUTED_VALUE"""),45215.0)</f>
        <v>45215</v>
      </c>
      <c r="B97" s="9">
        <f>IFERROR(__xludf.DUMMYFUNCTION("""COMPUTED_VALUE"""),43.0)</f>
        <v>43</v>
      </c>
      <c r="C97" s="9">
        <f>IFERROR(__xludf.DUMMYFUNCTION("""COMPUTED_VALUE"""),148.0)</f>
        <v>148</v>
      </c>
      <c r="D97" s="9">
        <f>IFERROR(__xludf.DUMMYFUNCTION("""COMPUTED_VALUE"""),3.0)</f>
        <v>3</v>
      </c>
      <c r="E97" s="9">
        <f>IFERROR(__xludf.DUMMYFUNCTION("""COMPUTED_VALUE"""),2274.0)</f>
        <v>2274</v>
      </c>
      <c r="F97" s="9">
        <f>IFERROR(__xludf.DUMMYFUNCTION("""COMPUTED_VALUE"""),53.0)</f>
        <v>53</v>
      </c>
      <c r="G97" s="9">
        <f>IFERROR(__xludf.DUMMYFUNCTION("""COMPUTED_VALUE"""),0.0)</f>
        <v>0</v>
      </c>
      <c r="H97" s="9"/>
      <c r="I97" s="9">
        <f>IFERROR(__xludf.DUMMYFUNCTION("""COMPUTED_VALUE"""),28.0)</f>
        <v>28</v>
      </c>
      <c r="J97" s="9">
        <f>IFERROR(__xludf.DUMMYFUNCTION("""COMPUTED_VALUE"""),5.0)</f>
        <v>5</v>
      </c>
      <c r="K97" s="9">
        <f>IFERROR(__xludf.DUMMYFUNCTION("""COMPUTED_VALUE"""),0.0)</f>
        <v>0</v>
      </c>
      <c r="L97" s="9">
        <f>IFERROR(__xludf.DUMMYFUNCTION("""COMPUTED_VALUE"""),1.0)</f>
        <v>1</v>
      </c>
      <c r="M97" s="9">
        <f>IFERROR(__xludf.DUMMYFUNCTION("""COMPUTED_VALUE"""),34.0)</f>
        <v>34</v>
      </c>
      <c r="N97" s="9">
        <f>IFERROR(__xludf.DUMMYFUNCTION("""COMPUTED_VALUE"""),35.0)</f>
        <v>35</v>
      </c>
      <c r="O97" s="9">
        <f>IFERROR(__xludf.DUMMYFUNCTION("""COMPUTED_VALUE"""),1.0)</f>
        <v>1</v>
      </c>
      <c r="P97" s="9">
        <f>IFERROR(__xludf.DUMMYFUNCTION("""COMPUTED_VALUE"""),7.0)</f>
        <v>7</v>
      </c>
      <c r="Q97" s="9">
        <f>IFERROR(__xludf.DUMMYFUNCTION("""COMPUTED_VALUE"""),12.0)</f>
        <v>12</v>
      </c>
      <c r="R97" s="9">
        <f>IFERROR(__xludf.DUMMYFUNCTION("""COMPUTED_VALUE"""),4.0)</f>
        <v>4</v>
      </c>
      <c r="S97" s="9">
        <f>IFERROR(__xludf.DUMMYFUNCTION("""COMPUTED_VALUE"""),16.0)</f>
        <v>16</v>
      </c>
      <c r="T97" s="9">
        <f>IFERROR(__xludf.DUMMYFUNCTION("""COMPUTED_VALUE"""),1.0)</f>
        <v>1</v>
      </c>
      <c r="U97" s="9">
        <f>IFERROR(__xludf.DUMMYFUNCTION("""COMPUTED_VALUE"""),0.0)</f>
        <v>0</v>
      </c>
      <c r="V97" s="9">
        <f>IFERROR(__xludf.DUMMYFUNCTION("""COMPUTED_VALUE"""),16.0)</f>
        <v>16</v>
      </c>
      <c r="W97" s="9">
        <f>IFERROR(__xludf.DUMMYFUNCTION("""COMPUTED_VALUE"""),1.0)</f>
        <v>1</v>
      </c>
      <c r="X97" s="9">
        <f>IFERROR(__xludf.DUMMYFUNCTION("""COMPUTED_VALUE"""),18.0)</f>
        <v>18</v>
      </c>
      <c r="Y97" s="9">
        <f>IFERROR(__xludf.DUMMYFUNCTION("""COMPUTED_VALUE"""),23.0)</f>
        <v>23</v>
      </c>
      <c r="Z97" s="9">
        <f>IFERROR(__xludf.DUMMYFUNCTION("""COMPUTED_VALUE"""),2.0)</f>
        <v>2</v>
      </c>
      <c r="AA97" s="9">
        <f>IFERROR(__xludf.DUMMYFUNCTION("""COMPUTED_VALUE"""),0.0)</f>
        <v>0</v>
      </c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</row>
    <row r="98">
      <c r="A98" s="8">
        <f>IFERROR(__xludf.DUMMYFUNCTION("""COMPUTED_VALUE"""),45216.0)</f>
        <v>45216</v>
      </c>
      <c r="B98" s="9">
        <f>IFERROR(__xludf.DUMMYFUNCTION("""COMPUTED_VALUE"""),39.0)</f>
        <v>39</v>
      </c>
      <c r="C98" s="9">
        <f>IFERROR(__xludf.DUMMYFUNCTION("""COMPUTED_VALUE"""),153.0)</f>
        <v>153</v>
      </c>
      <c r="D98" s="9">
        <f>IFERROR(__xludf.DUMMYFUNCTION("""COMPUTED_VALUE"""),4.0)</f>
        <v>4</v>
      </c>
      <c r="E98" s="9">
        <f>IFERROR(__xludf.DUMMYFUNCTION("""COMPUTED_VALUE"""),2847.0)</f>
        <v>2847</v>
      </c>
      <c r="F98" s="9">
        <f>IFERROR(__xludf.DUMMYFUNCTION("""COMPUTED_VALUE"""),73.0)</f>
        <v>73</v>
      </c>
      <c r="G98" s="9">
        <f>IFERROR(__xludf.DUMMYFUNCTION("""COMPUTED_VALUE"""),0.0)</f>
        <v>0</v>
      </c>
      <c r="H98" s="9"/>
      <c r="I98" s="9">
        <f>IFERROR(__xludf.DUMMYFUNCTION("""COMPUTED_VALUE"""),27.0)</f>
        <v>27</v>
      </c>
      <c r="J98" s="9">
        <f>IFERROR(__xludf.DUMMYFUNCTION("""COMPUTED_VALUE"""),6.0)</f>
        <v>6</v>
      </c>
      <c r="K98" s="9">
        <f>IFERROR(__xludf.DUMMYFUNCTION("""COMPUTED_VALUE"""),0.0)</f>
        <v>0</v>
      </c>
      <c r="L98" s="9">
        <f>IFERROR(__xludf.DUMMYFUNCTION("""COMPUTED_VALUE"""),0.0)</f>
        <v>0</v>
      </c>
      <c r="M98" s="9">
        <f>IFERROR(__xludf.DUMMYFUNCTION("""COMPUTED_VALUE"""),33.0)</f>
        <v>33</v>
      </c>
      <c r="N98" s="9">
        <f>IFERROR(__xludf.DUMMYFUNCTION("""COMPUTED_VALUE"""),33.0)</f>
        <v>33</v>
      </c>
      <c r="O98" s="9">
        <f>IFERROR(__xludf.DUMMYFUNCTION("""COMPUTED_VALUE"""),1.0)</f>
        <v>1</v>
      </c>
      <c r="P98" s="9">
        <f>IFERROR(__xludf.DUMMYFUNCTION("""COMPUTED_VALUE"""),5.0)</f>
        <v>5</v>
      </c>
      <c r="Q98" s="9">
        <f>IFERROR(__xludf.DUMMYFUNCTION("""COMPUTED_VALUE"""),15.0)</f>
        <v>15</v>
      </c>
      <c r="R98" s="9">
        <f>IFERROR(__xludf.DUMMYFUNCTION("""COMPUTED_VALUE"""),2.0)</f>
        <v>2</v>
      </c>
      <c r="S98" s="9">
        <f>IFERROR(__xludf.DUMMYFUNCTION("""COMPUTED_VALUE"""),16.0)</f>
        <v>16</v>
      </c>
      <c r="T98" s="9">
        <f>IFERROR(__xludf.DUMMYFUNCTION("""COMPUTED_VALUE"""),2.0)</f>
        <v>2</v>
      </c>
      <c r="U98" s="9">
        <f>IFERROR(__xludf.DUMMYFUNCTION("""COMPUTED_VALUE"""),1.0)</f>
        <v>1</v>
      </c>
      <c r="V98" s="9">
        <f>IFERROR(__xludf.DUMMYFUNCTION("""COMPUTED_VALUE"""),17.0)</f>
        <v>17</v>
      </c>
      <c r="W98" s="9">
        <f>IFERROR(__xludf.DUMMYFUNCTION("""COMPUTED_VALUE"""),1.0)</f>
        <v>1</v>
      </c>
      <c r="X98" s="9">
        <f>IFERROR(__xludf.DUMMYFUNCTION("""COMPUTED_VALUE"""),30.0)</f>
        <v>30</v>
      </c>
      <c r="Y98" s="9">
        <f>IFERROR(__xludf.DUMMYFUNCTION("""COMPUTED_VALUE"""),24.0)</f>
        <v>24</v>
      </c>
      <c r="Z98" s="9">
        <f>IFERROR(__xludf.DUMMYFUNCTION("""COMPUTED_VALUE"""),4.0)</f>
        <v>4</v>
      </c>
      <c r="AA98" s="9">
        <f>IFERROR(__xludf.DUMMYFUNCTION("""COMPUTED_VALUE"""),0.0)</f>
        <v>0</v>
      </c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</row>
    <row r="99">
      <c r="A99" s="8">
        <f>IFERROR(__xludf.DUMMYFUNCTION("""COMPUTED_VALUE"""),45217.0)</f>
        <v>45217</v>
      </c>
      <c r="B99" s="9">
        <f>IFERROR(__xludf.DUMMYFUNCTION("""COMPUTED_VALUE"""),29.0)</f>
        <v>29</v>
      </c>
      <c r="C99" s="9">
        <f>IFERROR(__xludf.DUMMYFUNCTION("""COMPUTED_VALUE"""),108.0)</f>
        <v>108</v>
      </c>
      <c r="D99" s="9">
        <f>IFERROR(__xludf.DUMMYFUNCTION("""COMPUTED_VALUE"""),4.0)</f>
        <v>4</v>
      </c>
      <c r="E99" s="9">
        <f>IFERROR(__xludf.DUMMYFUNCTION("""COMPUTED_VALUE"""),1955.0)</f>
        <v>1955</v>
      </c>
      <c r="F99" s="9">
        <f>IFERROR(__xludf.DUMMYFUNCTION("""COMPUTED_VALUE"""),67.0)</f>
        <v>67</v>
      </c>
      <c r="G99" s="9">
        <f>IFERROR(__xludf.DUMMYFUNCTION("""COMPUTED_VALUE"""),0.0)</f>
        <v>0</v>
      </c>
      <c r="H99" s="9"/>
      <c r="I99" s="9">
        <f>IFERROR(__xludf.DUMMYFUNCTION("""COMPUTED_VALUE"""),24.0)</f>
        <v>24</v>
      </c>
      <c r="J99" s="9">
        <f>IFERROR(__xludf.DUMMYFUNCTION("""COMPUTED_VALUE"""),1.0)</f>
        <v>1</v>
      </c>
      <c r="K99" s="9">
        <f>IFERROR(__xludf.DUMMYFUNCTION("""COMPUTED_VALUE"""),1.0)</f>
        <v>1</v>
      </c>
      <c r="L99" s="9">
        <f>IFERROR(__xludf.DUMMYFUNCTION("""COMPUTED_VALUE"""),0.0)</f>
        <v>0</v>
      </c>
      <c r="M99" s="9">
        <f>IFERROR(__xludf.DUMMYFUNCTION("""COMPUTED_VALUE"""),26.0)</f>
        <v>26</v>
      </c>
      <c r="N99" s="9">
        <f>IFERROR(__xludf.DUMMYFUNCTION("""COMPUTED_VALUE"""),24.0)</f>
        <v>24</v>
      </c>
      <c r="O99" s="9">
        <f>IFERROR(__xludf.DUMMYFUNCTION("""COMPUTED_VALUE"""),3.0)</f>
        <v>3</v>
      </c>
      <c r="P99" s="9">
        <f>IFERROR(__xludf.DUMMYFUNCTION("""COMPUTED_VALUE"""),2.0)</f>
        <v>2</v>
      </c>
      <c r="Q99" s="9">
        <f>IFERROR(__xludf.DUMMYFUNCTION("""COMPUTED_VALUE"""),17.0)</f>
        <v>17</v>
      </c>
      <c r="R99" s="9">
        <f>IFERROR(__xludf.DUMMYFUNCTION("""COMPUTED_VALUE"""),2.0)</f>
        <v>2</v>
      </c>
      <c r="S99" s="9">
        <f>IFERROR(__xludf.DUMMYFUNCTION("""COMPUTED_VALUE"""),13.0)</f>
        <v>13</v>
      </c>
      <c r="T99" s="9">
        <f>IFERROR(__xludf.DUMMYFUNCTION("""COMPUTED_VALUE"""),0.0)</f>
        <v>0</v>
      </c>
      <c r="U99" s="9">
        <f>IFERROR(__xludf.DUMMYFUNCTION("""COMPUTED_VALUE"""),0.0)</f>
        <v>0</v>
      </c>
      <c r="V99" s="9">
        <f>IFERROR(__xludf.DUMMYFUNCTION("""COMPUTED_VALUE"""),21.0)</f>
        <v>21</v>
      </c>
      <c r="W99" s="9">
        <f>IFERROR(__xludf.DUMMYFUNCTION("""COMPUTED_VALUE"""),0.0)</f>
        <v>0</v>
      </c>
      <c r="X99" s="9">
        <f>IFERROR(__xludf.DUMMYFUNCTION("""COMPUTED_VALUE"""),14.0)</f>
        <v>14</v>
      </c>
      <c r="Y99" s="9">
        <f>IFERROR(__xludf.DUMMYFUNCTION("""COMPUTED_VALUE"""),21.0)</f>
        <v>21</v>
      </c>
      <c r="Z99" s="9">
        <f>IFERROR(__xludf.DUMMYFUNCTION("""COMPUTED_VALUE"""),0.0)</f>
        <v>0</v>
      </c>
      <c r="AA99" s="9">
        <f>IFERROR(__xludf.DUMMYFUNCTION("""COMPUTED_VALUE"""),3.0)</f>
        <v>3</v>
      </c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</row>
    <row r="100">
      <c r="A100" s="8">
        <f>IFERROR(__xludf.DUMMYFUNCTION("""COMPUTED_VALUE"""),45218.0)</f>
        <v>45218</v>
      </c>
      <c r="B100" s="9">
        <f>IFERROR(__xludf.DUMMYFUNCTION("""COMPUTED_VALUE"""),34.0)</f>
        <v>34</v>
      </c>
      <c r="C100" s="9">
        <f>IFERROR(__xludf.DUMMYFUNCTION("""COMPUTED_VALUE"""),142.0)</f>
        <v>142</v>
      </c>
      <c r="D100" s="9">
        <f>IFERROR(__xludf.DUMMYFUNCTION("""COMPUTED_VALUE"""),4.0)</f>
        <v>4</v>
      </c>
      <c r="E100" s="9">
        <f>IFERROR(__xludf.DUMMYFUNCTION("""COMPUTED_VALUE"""),2469.0)</f>
        <v>2469</v>
      </c>
      <c r="F100" s="9">
        <f>IFERROR(__xludf.DUMMYFUNCTION("""COMPUTED_VALUE"""),73.0)</f>
        <v>73</v>
      </c>
      <c r="G100" s="9">
        <f>IFERROR(__xludf.DUMMYFUNCTION("""COMPUTED_VALUE"""),0.0)</f>
        <v>0</v>
      </c>
      <c r="H100" s="9"/>
      <c r="I100" s="9">
        <f>IFERROR(__xludf.DUMMYFUNCTION("""COMPUTED_VALUE"""),23.0)</f>
        <v>23</v>
      </c>
      <c r="J100" s="9">
        <f>IFERROR(__xludf.DUMMYFUNCTION("""COMPUTED_VALUE"""),2.0)</f>
        <v>2</v>
      </c>
      <c r="K100" s="9">
        <f>IFERROR(__xludf.DUMMYFUNCTION("""COMPUTED_VALUE"""),1.0)</f>
        <v>1</v>
      </c>
      <c r="L100" s="9">
        <f>IFERROR(__xludf.DUMMYFUNCTION("""COMPUTED_VALUE"""),1.0)</f>
        <v>1</v>
      </c>
      <c r="M100" s="9">
        <f>IFERROR(__xludf.DUMMYFUNCTION("""COMPUTED_VALUE"""),27.0)</f>
        <v>27</v>
      </c>
      <c r="N100" s="9">
        <f>IFERROR(__xludf.DUMMYFUNCTION("""COMPUTED_VALUE"""),32.0)</f>
        <v>32</v>
      </c>
      <c r="O100" s="9">
        <f>IFERROR(__xludf.DUMMYFUNCTION("""COMPUTED_VALUE"""),0.0)</f>
        <v>0</v>
      </c>
      <c r="P100" s="9">
        <f>IFERROR(__xludf.DUMMYFUNCTION("""COMPUTED_VALUE"""),2.0)</f>
        <v>2</v>
      </c>
      <c r="Q100" s="9">
        <f>IFERROR(__xludf.DUMMYFUNCTION("""COMPUTED_VALUE"""),14.0)</f>
        <v>14</v>
      </c>
      <c r="R100" s="9">
        <f>IFERROR(__xludf.DUMMYFUNCTION("""COMPUTED_VALUE"""),0.0)</f>
        <v>0</v>
      </c>
      <c r="S100" s="9">
        <f>IFERROR(__xludf.DUMMYFUNCTION("""COMPUTED_VALUE"""),22.0)</f>
        <v>22</v>
      </c>
      <c r="T100" s="9">
        <f>IFERROR(__xludf.DUMMYFUNCTION("""COMPUTED_VALUE"""),0.0)</f>
        <v>0</v>
      </c>
      <c r="U100" s="9">
        <f>IFERROR(__xludf.DUMMYFUNCTION("""COMPUTED_VALUE"""),0.0)</f>
        <v>0</v>
      </c>
      <c r="V100" s="9">
        <f>IFERROR(__xludf.DUMMYFUNCTION("""COMPUTED_VALUE"""),14.0)</f>
        <v>14</v>
      </c>
      <c r="W100" s="9">
        <f>IFERROR(__xludf.DUMMYFUNCTION("""COMPUTED_VALUE"""),0.0)</f>
        <v>0</v>
      </c>
      <c r="X100" s="9">
        <f>IFERROR(__xludf.DUMMYFUNCTION("""COMPUTED_VALUE"""),26.0)</f>
        <v>26</v>
      </c>
      <c r="Y100" s="9">
        <f>IFERROR(__xludf.DUMMYFUNCTION("""COMPUTED_VALUE"""),16.0)</f>
        <v>16</v>
      </c>
      <c r="Z100" s="9">
        <f>IFERROR(__xludf.DUMMYFUNCTION("""COMPUTED_VALUE"""),0.0)</f>
        <v>0</v>
      </c>
      <c r="AA100" s="9">
        <f>IFERROR(__xludf.DUMMYFUNCTION("""COMPUTED_VALUE"""),0.0)</f>
        <v>0</v>
      </c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</row>
    <row r="101">
      <c r="A101" s="8">
        <f>IFERROR(__xludf.DUMMYFUNCTION("""COMPUTED_VALUE"""),45219.0)</f>
        <v>45219</v>
      </c>
      <c r="B101" s="9">
        <f>IFERROR(__xludf.DUMMYFUNCTION("""COMPUTED_VALUE"""),24.0)</f>
        <v>24</v>
      </c>
      <c r="C101" s="9">
        <f>IFERROR(__xludf.DUMMYFUNCTION("""COMPUTED_VALUE"""),93.0)</f>
        <v>93</v>
      </c>
      <c r="D101" s="9">
        <f>IFERROR(__xludf.DUMMYFUNCTION("""COMPUTED_VALUE"""),4.0)</f>
        <v>4</v>
      </c>
      <c r="E101" s="9">
        <f>IFERROR(__xludf.DUMMYFUNCTION("""COMPUTED_VALUE"""),1737.0)</f>
        <v>1737</v>
      </c>
      <c r="F101" s="9">
        <f>IFERROR(__xludf.DUMMYFUNCTION("""COMPUTED_VALUE"""),72.0)</f>
        <v>72</v>
      </c>
      <c r="G101" s="9">
        <f>IFERROR(__xludf.DUMMYFUNCTION("""COMPUTED_VALUE"""),0.0)</f>
        <v>0</v>
      </c>
      <c r="H101" s="9"/>
      <c r="I101" s="9">
        <f>IFERROR(__xludf.DUMMYFUNCTION("""COMPUTED_VALUE"""),18.0)</f>
        <v>18</v>
      </c>
      <c r="J101" s="9">
        <f>IFERROR(__xludf.DUMMYFUNCTION("""COMPUTED_VALUE"""),3.0)</f>
        <v>3</v>
      </c>
      <c r="K101" s="9">
        <f>IFERROR(__xludf.DUMMYFUNCTION("""COMPUTED_VALUE"""),0.0)</f>
        <v>0</v>
      </c>
      <c r="L101" s="9">
        <f>IFERROR(__xludf.DUMMYFUNCTION("""COMPUTED_VALUE"""),0.0)</f>
        <v>0</v>
      </c>
      <c r="M101" s="9">
        <f>IFERROR(__xludf.DUMMYFUNCTION("""COMPUTED_VALUE"""),21.0)</f>
        <v>21</v>
      </c>
      <c r="N101" s="9">
        <f>IFERROR(__xludf.DUMMYFUNCTION("""COMPUTED_VALUE"""),23.0)</f>
        <v>23</v>
      </c>
      <c r="O101" s="9">
        <f>IFERROR(__xludf.DUMMYFUNCTION("""COMPUTED_VALUE"""),0.0)</f>
        <v>0</v>
      </c>
      <c r="P101" s="9">
        <f>IFERROR(__xludf.DUMMYFUNCTION("""COMPUTED_VALUE"""),1.0)</f>
        <v>1</v>
      </c>
      <c r="Q101" s="9">
        <f>IFERROR(__xludf.DUMMYFUNCTION("""COMPUTED_VALUE"""),13.0)</f>
        <v>13</v>
      </c>
      <c r="R101" s="9">
        <f>IFERROR(__xludf.DUMMYFUNCTION("""COMPUTED_VALUE"""),0.0)</f>
        <v>0</v>
      </c>
      <c r="S101" s="9">
        <f>IFERROR(__xludf.DUMMYFUNCTION("""COMPUTED_VALUE"""),13.0)</f>
        <v>13</v>
      </c>
      <c r="T101" s="9">
        <f>IFERROR(__xludf.DUMMYFUNCTION("""COMPUTED_VALUE"""),2.0)</f>
        <v>2</v>
      </c>
      <c r="U101" s="9">
        <f>IFERROR(__xludf.DUMMYFUNCTION("""COMPUTED_VALUE"""),0.0)</f>
        <v>0</v>
      </c>
      <c r="V101" s="9">
        <f>IFERROR(__xludf.DUMMYFUNCTION("""COMPUTED_VALUE"""),13.0)</f>
        <v>13</v>
      </c>
      <c r="W101" s="9">
        <f>IFERROR(__xludf.DUMMYFUNCTION("""COMPUTED_VALUE"""),0.0)</f>
        <v>0</v>
      </c>
      <c r="X101" s="9">
        <f>IFERROR(__xludf.DUMMYFUNCTION("""COMPUTED_VALUE"""),11.0)</f>
        <v>11</v>
      </c>
      <c r="Y101" s="9">
        <f>IFERROR(__xludf.DUMMYFUNCTION("""COMPUTED_VALUE"""),18.0)</f>
        <v>18</v>
      </c>
      <c r="Z101" s="9">
        <f>IFERROR(__xludf.DUMMYFUNCTION("""COMPUTED_VALUE"""),2.0)</f>
        <v>2</v>
      </c>
      <c r="AA101" s="9">
        <f>IFERROR(__xludf.DUMMYFUNCTION("""COMPUTED_VALUE"""),0.0)</f>
        <v>0</v>
      </c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</row>
    <row r="102">
      <c r="A102" s="8">
        <f>IFERROR(__xludf.DUMMYFUNCTION("""COMPUTED_VALUE"""),45220.0)</f>
        <v>45220</v>
      </c>
      <c r="B102" s="9">
        <f>IFERROR(__xludf.DUMMYFUNCTION("""COMPUTED_VALUE"""),15.0)</f>
        <v>15</v>
      </c>
      <c r="C102" s="9">
        <f>IFERROR(__xludf.DUMMYFUNCTION("""COMPUTED_VALUE"""),64.0)</f>
        <v>64</v>
      </c>
      <c r="D102" s="9">
        <f>IFERROR(__xludf.DUMMYFUNCTION("""COMPUTED_VALUE"""),4.0)</f>
        <v>4</v>
      </c>
      <c r="E102" s="9">
        <f>IFERROR(__xludf.DUMMYFUNCTION("""COMPUTED_VALUE"""),1254.0)</f>
        <v>1254</v>
      </c>
      <c r="F102" s="9">
        <f>IFERROR(__xludf.DUMMYFUNCTION("""COMPUTED_VALUE"""),84.0)</f>
        <v>84</v>
      </c>
      <c r="G102" s="9">
        <f>IFERROR(__xludf.DUMMYFUNCTION("""COMPUTED_VALUE"""),0.0)</f>
        <v>0</v>
      </c>
      <c r="H102" s="9"/>
      <c r="I102" s="9">
        <f>IFERROR(__xludf.DUMMYFUNCTION("""COMPUTED_VALUE"""),6.0)</f>
        <v>6</v>
      </c>
      <c r="J102" s="9">
        <f>IFERROR(__xludf.DUMMYFUNCTION("""COMPUTED_VALUE"""),3.0)</f>
        <v>3</v>
      </c>
      <c r="K102" s="9">
        <f>IFERROR(__xludf.DUMMYFUNCTION("""COMPUTED_VALUE"""),1.0)</f>
        <v>1</v>
      </c>
      <c r="L102" s="9">
        <f>IFERROR(__xludf.DUMMYFUNCTION("""COMPUTED_VALUE"""),0.0)</f>
        <v>0</v>
      </c>
      <c r="M102" s="9">
        <f>IFERROR(__xludf.DUMMYFUNCTION("""COMPUTED_VALUE"""),10.0)</f>
        <v>10</v>
      </c>
      <c r="N102" s="9">
        <f>IFERROR(__xludf.DUMMYFUNCTION("""COMPUTED_VALUE"""),14.0)</f>
        <v>14</v>
      </c>
      <c r="O102" s="9">
        <f>IFERROR(__xludf.DUMMYFUNCTION("""COMPUTED_VALUE"""),0.0)</f>
        <v>0</v>
      </c>
      <c r="P102" s="9">
        <f>IFERROR(__xludf.DUMMYFUNCTION("""COMPUTED_VALUE"""),1.0)</f>
        <v>1</v>
      </c>
      <c r="Q102" s="9">
        <f>IFERROR(__xludf.DUMMYFUNCTION("""COMPUTED_VALUE"""),6.0)</f>
        <v>6</v>
      </c>
      <c r="R102" s="9">
        <f>IFERROR(__xludf.DUMMYFUNCTION("""COMPUTED_VALUE"""),1.0)</f>
        <v>1</v>
      </c>
      <c r="S102" s="9">
        <f>IFERROR(__xludf.DUMMYFUNCTION("""COMPUTED_VALUE"""),10.0)</f>
        <v>10</v>
      </c>
      <c r="T102" s="9">
        <f>IFERROR(__xludf.DUMMYFUNCTION("""COMPUTED_VALUE"""),2.0)</f>
        <v>2</v>
      </c>
      <c r="U102" s="9">
        <f>IFERROR(__xludf.DUMMYFUNCTION("""COMPUTED_VALUE"""),0.0)</f>
        <v>0</v>
      </c>
      <c r="V102" s="9">
        <f>IFERROR(__xludf.DUMMYFUNCTION("""COMPUTED_VALUE"""),7.0)</f>
        <v>7</v>
      </c>
      <c r="W102" s="9">
        <f>IFERROR(__xludf.DUMMYFUNCTION("""COMPUTED_VALUE"""),0.0)</f>
        <v>0</v>
      </c>
      <c r="X102" s="9">
        <f>IFERROR(__xludf.DUMMYFUNCTION("""COMPUTED_VALUE"""),12.0)</f>
        <v>12</v>
      </c>
      <c r="Y102" s="9">
        <f>IFERROR(__xludf.DUMMYFUNCTION("""COMPUTED_VALUE"""),10.0)</f>
        <v>10</v>
      </c>
      <c r="Z102" s="9">
        <f>IFERROR(__xludf.DUMMYFUNCTION("""COMPUTED_VALUE"""),2.0)</f>
        <v>2</v>
      </c>
      <c r="AA102" s="9">
        <f>IFERROR(__xludf.DUMMYFUNCTION("""COMPUTED_VALUE"""),0.0)</f>
        <v>0</v>
      </c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</row>
    <row r="103">
      <c r="A103" s="8">
        <f>IFERROR(__xludf.DUMMYFUNCTION("""COMPUTED_VALUE"""),45221.0)</f>
        <v>45221</v>
      </c>
      <c r="B103" s="9">
        <f>IFERROR(__xludf.DUMMYFUNCTION("""COMPUTED_VALUE"""),0.0)</f>
        <v>0</v>
      </c>
      <c r="C103" s="9">
        <f>IFERROR(__xludf.DUMMYFUNCTION("""COMPUTED_VALUE"""),0.0)</f>
        <v>0</v>
      </c>
      <c r="D103" s="9">
        <f>IFERROR(__xludf.DUMMYFUNCTION("""COMPUTED_VALUE"""),0.0)</f>
        <v>0</v>
      </c>
      <c r="E103" s="9">
        <f>IFERROR(__xludf.DUMMYFUNCTION("""COMPUTED_VALUE"""),0.0)</f>
        <v>0</v>
      </c>
      <c r="F103" s="9">
        <f>IFERROR(__xludf.DUMMYFUNCTION("""COMPUTED_VALUE"""),0.0)</f>
        <v>0</v>
      </c>
      <c r="G103" s="9">
        <f>IFERROR(__xludf.DUMMYFUNCTION("""COMPUTED_VALUE"""),0.0)</f>
        <v>0</v>
      </c>
      <c r="H103" s="9"/>
      <c r="I103" s="9">
        <f>IFERROR(__xludf.DUMMYFUNCTION("""COMPUTED_VALUE"""),0.0)</f>
        <v>0</v>
      </c>
      <c r="J103" s="9">
        <f>IFERROR(__xludf.DUMMYFUNCTION("""COMPUTED_VALUE"""),0.0)</f>
        <v>0</v>
      </c>
      <c r="K103" s="9">
        <f>IFERROR(__xludf.DUMMYFUNCTION("""COMPUTED_VALUE"""),0.0)</f>
        <v>0</v>
      </c>
      <c r="L103" s="9">
        <f>IFERROR(__xludf.DUMMYFUNCTION("""COMPUTED_VALUE"""),0.0)</f>
        <v>0</v>
      </c>
      <c r="M103" s="9">
        <f>IFERROR(__xludf.DUMMYFUNCTION("""COMPUTED_VALUE"""),0.0)</f>
        <v>0</v>
      </c>
      <c r="N103" s="9">
        <f>IFERROR(__xludf.DUMMYFUNCTION("""COMPUTED_VALUE"""),0.0)</f>
        <v>0</v>
      </c>
      <c r="O103" s="9">
        <f>IFERROR(__xludf.DUMMYFUNCTION("""COMPUTED_VALUE"""),0.0)</f>
        <v>0</v>
      </c>
      <c r="P103" s="9">
        <f>IFERROR(__xludf.DUMMYFUNCTION("""COMPUTED_VALUE"""),0.0)</f>
        <v>0</v>
      </c>
      <c r="Q103" s="9">
        <f>IFERROR(__xludf.DUMMYFUNCTION("""COMPUTED_VALUE"""),0.0)</f>
        <v>0</v>
      </c>
      <c r="R103" s="9">
        <f>IFERROR(__xludf.DUMMYFUNCTION("""COMPUTED_VALUE"""),0.0)</f>
        <v>0</v>
      </c>
      <c r="S103" s="9">
        <f>IFERROR(__xludf.DUMMYFUNCTION("""COMPUTED_VALUE"""),0.0)</f>
        <v>0</v>
      </c>
      <c r="T103" s="9">
        <f>IFERROR(__xludf.DUMMYFUNCTION("""COMPUTED_VALUE"""),0.0)</f>
        <v>0</v>
      </c>
      <c r="U103" s="9">
        <f>IFERROR(__xludf.DUMMYFUNCTION("""COMPUTED_VALUE"""),0.0)</f>
        <v>0</v>
      </c>
      <c r="V103" s="9">
        <f>IFERROR(__xludf.DUMMYFUNCTION("""COMPUTED_VALUE"""),0.0)</f>
        <v>0</v>
      </c>
      <c r="W103" s="9">
        <f>IFERROR(__xludf.DUMMYFUNCTION("""COMPUTED_VALUE"""),0.0)</f>
        <v>0</v>
      </c>
      <c r="X103" s="9">
        <f>IFERROR(__xludf.DUMMYFUNCTION("""COMPUTED_VALUE"""),0.0)</f>
        <v>0</v>
      </c>
      <c r="Y103" s="9">
        <f>IFERROR(__xludf.DUMMYFUNCTION("""COMPUTED_VALUE"""),0.0)</f>
        <v>0</v>
      </c>
      <c r="Z103" s="9">
        <f>IFERROR(__xludf.DUMMYFUNCTION("""COMPUTED_VALUE"""),0.0)</f>
        <v>0</v>
      </c>
      <c r="AA103" s="9">
        <f>IFERROR(__xludf.DUMMYFUNCTION("""COMPUTED_VALUE"""),0.0)</f>
        <v>0</v>
      </c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</row>
    <row r="104">
      <c r="A104" s="8">
        <f>IFERROR(__xludf.DUMMYFUNCTION("""COMPUTED_VALUE"""),45222.0)</f>
        <v>45222</v>
      </c>
      <c r="B104" s="9">
        <f>IFERROR(__xludf.DUMMYFUNCTION("""COMPUTED_VALUE"""),44.0)</f>
        <v>44</v>
      </c>
      <c r="C104" s="9">
        <f>IFERROR(__xludf.DUMMYFUNCTION("""COMPUTED_VALUE"""),171.0)</f>
        <v>171</v>
      </c>
      <c r="D104" s="9">
        <f>IFERROR(__xludf.DUMMYFUNCTION("""COMPUTED_VALUE"""),4.0)</f>
        <v>4</v>
      </c>
      <c r="E104" s="9">
        <f>IFERROR(__xludf.DUMMYFUNCTION("""COMPUTED_VALUE"""),3111.0)</f>
        <v>3111</v>
      </c>
      <c r="F104" s="9">
        <f>IFERROR(__xludf.DUMMYFUNCTION("""COMPUTED_VALUE"""),71.0)</f>
        <v>71</v>
      </c>
      <c r="G104" s="9">
        <f>IFERROR(__xludf.DUMMYFUNCTION("""COMPUTED_VALUE"""),0.0)</f>
        <v>0</v>
      </c>
      <c r="H104" s="9"/>
      <c r="I104" s="9">
        <f>IFERROR(__xludf.DUMMYFUNCTION("""COMPUTED_VALUE"""),30.0)</f>
        <v>30</v>
      </c>
      <c r="J104" s="9">
        <f>IFERROR(__xludf.DUMMYFUNCTION("""COMPUTED_VALUE"""),4.0)</f>
        <v>4</v>
      </c>
      <c r="K104" s="9">
        <f>IFERROR(__xludf.DUMMYFUNCTION("""COMPUTED_VALUE"""),2.0)</f>
        <v>2</v>
      </c>
      <c r="L104" s="9">
        <f>IFERROR(__xludf.DUMMYFUNCTION("""COMPUTED_VALUE"""),0.0)</f>
        <v>0</v>
      </c>
      <c r="M104" s="9">
        <f>IFERROR(__xludf.DUMMYFUNCTION("""COMPUTED_VALUE"""),36.0)</f>
        <v>36</v>
      </c>
      <c r="N104" s="9">
        <f>IFERROR(__xludf.DUMMYFUNCTION("""COMPUTED_VALUE"""),37.0)</f>
        <v>37</v>
      </c>
      <c r="O104" s="9">
        <f>IFERROR(__xludf.DUMMYFUNCTION("""COMPUTED_VALUE"""),3.0)</f>
        <v>3</v>
      </c>
      <c r="P104" s="9">
        <f>IFERROR(__xludf.DUMMYFUNCTION("""COMPUTED_VALUE"""),4.0)</f>
        <v>4</v>
      </c>
      <c r="Q104" s="9">
        <f>IFERROR(__xludf.DUMMYFUNCTION("""COMPUTED_VALUE"""),28.0)</f>
        <v>28</v>
      </c>
      <c r="R104" s="9">
        <f>IFERROR(__xludf.DUMMYFUNCTION("""COMPUTED_VALUE"""),2.0)</f>
        <v>2</v>
      </c>
      <c r="S104" s="9">
        <f>IFERROR(__xludf.DUMMYFUNCTION("""COMPUTED_VALUE"""),16.0)</f>
        <v>16</v>
      </c>
      <c r="T104" s="9">
        <f>IFERROR(__xludf.DUMMYFUNCTION("""COMPUTED_VALUE"""),2.0)</f>
        <v>2</v>
      </c>
      <c r="U104" s="9">
        <f>IFERROR(__xludf.DUMMYFUNCTION("""COMPUTED_VALUE"""),0.0)</f>
        <v>0</v>
      </c>
      <c r="V104" s="9">
        <f>IFERROR(__xludf.DUMMYFUNCTION("""COMPUTED_VALUE"""),32.0)</f>
        <v>32</v>
      </c>
      <c r="W104" s="9">
        <f>IFERROR(__xludf.DUMMYFUNCTION("""COMPUTED_VALUE"""),0.0)</f>
        <v>0</v>
      </c>
      <c r="X104" s="9">
        <f>IFERROR(__xludf.DUMMYFUNCTION("""COMPUTED_VALUE"""),26.0)</f>
        <v>26</v>
      </c>
      <c r="Y104" s="9">
        <f>IFERROR(__xludf.DUMMYFUNCTION("""COMPUTED_VALUE"""),35.0)</f>
        <v>35</v>
      </c>
      <c r="Z104" s="9">
        <f>IFERROR(__xludf.DUMMYFUNCTION("""COMPUTED_VALUE"""),2.0)</f>
        <v>2</v>
      </c>
      <c r="AA104" s="9">
        <f>IFERROR(__xludf.DUMMYFUNCTION("""COMPUTED_VALUE"""),2.0)</f>
        <v>2</v>
      </c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</row>
    <row r="105">
      <c r="A105" s="8">
        <f>IFERROR(__xludf.DUMMYFUNCTION("""COMPUTED_VALUE"""),45223.0)</f>
        <v>45223</v>
      </c>
      <c r="B105" s="9">
        <f>IFERROR(__xludf.DUMMYFUNCTION("""COMPUTED_VALUE"""),34.0)</f>
        <v>34</v>
      </c>
      <c r="C105" s="9">
        <f>IFERROR(__xludf.DUMMYFUNCTION("""COMPUTED_VALUE"""),143.0)</f>
        <v>143</v>
      </c>
      <c r="D105" s="9">
        <f>IFERROR(__xludf.DUMMYFUNCTION("""COMPUTED_VALUE"""),4.0)</f>
        <v>4</v>
      </c>
      <c r="E105" s="9">
        <f>IFERROR(__xludf.DUMMYFUNCTION("""COMPUTED_VALUE"""),2865.0)</f>
        <v>2865</v>
      </c>
      <c r="F105" s="9">
        <f>IFERROR(__xludf.DUMMYFUNCTION("""COMPUTED_VALUE"""),84.0)</f>
        <v>84</v>
      </c>
      <c r="G105" s="9">
        <f>IFERROR(__xludf.DUMMYFUNCTION("""COMPUTED_VALUE"""),0.0)</f>
        <v>0</v>
      </c>
      <c r="H105" s="9"/>
      <c r="I105" s="9">
        <f>IFERROR(__xludf.DUMMYFUNCTION("""COMPUTED_VALUE"""),30.0)</f>
        <v>30</v>
      </c>
      <c r="J105" s="9">
        <f>IFERROR(__xludf.DUMMYFUNCTION("""COMPUTED_VALUE"""),2.0)</f>
        <v>2</v>
      </c>
      <c r="K105" s="9">
        <f>IFERROR(__xludf.DUMMYFUNCTION("""COMPUTED_VALUE"""),0.0)</f>
        <v>0</v>
      </c>
      <c r="L105" s="9">
        <f>IFERROR(__xludf.DUMMYFUNCTION("""COMPUTED_VALUE"""),0.0)</f>
        <v>0</v>
      </c>
      <c r="M105" s="9">
        <f>IFERROR(__xludf.DUMMYFUNCTION("""COMPUTED_VALUE"""),32.0)</f>
        <v>32</v>
      </c>
      <c r="N105" s="9">
        <f>IFERROR(__xludf.DUMMYFUNCTION("""COMPUTED_VALUE"""),31.0)</f>
        <v>31</v>
      </c>
      <c r="O105" s="9">
        <f>IFERROR(__xludf.DUMMYFUNCTION("""COMPUTED_VALUE"""),0.0)</f>
        <v>0</v>
      </c>
      <c r="P105" s="9">
        <f>IFERROR(__xludf.DUMMYFUNCTION("""COMPUTED_VALUE"""),3.0)</f>
        <v>3</v>
      </c>
      <c r="Q105" s="9">
        <f>IFERROR(__xludf.DUMMYFUNCTION("""COMPUTED_VALUE"""),17.0)</f>
        <v>17</v>
      </c>
      <c r="R105" s="9">
        <f>IFERROR(__xludf.DUMMYFUNCTION("""COMPUTED_VALUE"""),3.0)</f>
        <v>3</v>
      </c>
      <c r="S105" s="9">
        <f>IFERROR(__xludf.DUMMYFUNCTION("""COMPUTED_VALUE"""),18.0)</f>
        <v>18</v>
      </c>
      <c r="T105" s="9">
        <f>IFERROR(__xludf.DUMMYFUNCTION("""COMPUTED_VALUE"""),3.0)</f>
        <v>3</v>
      </c>
      <c r="U105" s="9">
        <f>IFERROR(__xludf.DUMMYFUNCTION("""COMPUTED_VALUE"""),0.0)</f>
        <v>0</v>
      </c>
      <c r="V105" s="9">
        <f>IFERROR(__xludf.DUMMYFUNCTION("""COMPUTED_VALUE"""),20.0)</f>
        <v>20</v>
      </c>
      <c r="W105" s="9">
        <f>IFERROR(__xludf.DUMMYFUNCTION("""COMPUTED_VALUE"""),0.0)</f>
        <v>0</v>
      </c>
      <c r="X105" s="9">
        <f>IFERROR(__xludf.DUMMYFUNCTION("""COMPUTED_VALUE"""),27.0)</f>
        <v>27</v>
      </c>
      <c r="Y105" s="9">
        <f>IFERROR(__xludf.DUMMYFUNCTION("""COMPUTED_VALUE"""),29.0)</f>
        <v>29</v>
      </c>
      <c r="Z105" s="9">
        <f>IFERROR(__xludf.DUMMYFUNCTION("""COMPUTED_VALUE"""),3.0)</f>
        <v>3</v>
      </c>
      <c r="AA105" s="9">
        <f>IFERROR(__xludf.DUMMYFUNCTION("""COMPUTED_VALUE"""),0.0)</f>
        <v>0</v>
      </c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</row>
    <row r="106">
      <c r="A106" s="8">
        <f>IFERROR(__xludf.DUMMYFUNCTION("""COMPUTED_VALUE"""),45224.0)</f>
        <v>45224</v>
      </c>
      <c r="B106" s="9">
        <f>IFERROR(__xludf.DUMMYFUNCTION("""COMPUTED_VALUE"""),28.0)</f>
        <v>28</v>
      </c>
      <c r="C106" s="9">
        <f>IFERROR(__xludf.DUMMYFUNCTION("""COMPUTED_VALUE"""),110.0)</f>
        <v>110</v>
      </c>
      <c r="D106" s="9">
        <f>IFERROR(__xludf.DUMMYFUNCTION("""COMPUTED_VALUE"""),4.0)</f>
        <v>4</v>
      </c>
      <c r="E106" s="9">
        <f>IFERROR(__xludf.DUMMYFUNCTION("""COMPUTED_VALUE"""),1629.0)</f>
        <v>1629</v>
      </c>
      <c r="F106" s="9">
        <f>IFERROR(__xludf.DUMMYFUNCTION("""COMPUTED_VALUE"""),58.0)</f>
        <v>58</v>
      </c>
      <c r="G106" s="9">
        <f>IFERROR(__xludf.DUMMYFUNCTION("""COMPUTED_VALUE"""),0.0)</f>
        <v>0</v>
      </c>
      <c r="H106" s="9"/>
      <c r="I106" s="9">
        <f>IFERROR(__xludf.DUMMYFUNCTION("""COMPUTED_VALUE"""),14.0)</f>
        <v>14</v>
      </c>
      <c r="J106" s="9">
        <f>IFERROR(__xludf.DUMMYFUNCTION("""COMPUTED_VALUE"""),7.0)</f>
        <v>7</v>
      </c>
      <c r="K106" s="9">
        <f>IFERROR(__xludf.DUMMYFUNCTION("""COMPUTED_VALUE"""),0.0)</f>
        <v>0</v>
      </c>
      <c r="L106" s="9">
        <f>IFERROR(__xludf.DUMMYFUNCTION("""COMPUTED_VALUE"""),0.0)</f>
        <v>0</v>
      </c>
      <c r="M106" s="9">
        <f>IFERROR(__xludf.DUMMYFUNCTION("""COMPUTED_VALUE"""),21.0)</f>
        <v>21</v>
      </c>
      <c r="N106" s="9">
        <f>IFERROR(__xludf.DUMMYFUNCTION("""COMPUTED_VALUE"""),26.0)</f>
        <v>26</v>
      </c>
      <c r="O106" s="9">
        <f>IFERROR(__xludf.DUMMYFUNCTION("""COMPUTED_VALUE"""),1.0)</f>
        <v>1</v>
      </c>
      <c r="P106" s="9">
        <f>IFERROR(__xludf.DUMMYFUNCTION("""COMPUTED_VALUE"""),1.0)</f>
        <v>1</v>
      </c>
      <c r="Q106" s="9">
        <f>IFERROR(__xludf.DUMMYFUNCTION("""COMPUTED_VALUE"""),11.0)</f>
        <v>11</v>
      </c>
      <c r="R106" s="9">
        <f>IFERROR(__xludf.DUMMYFUNCTION("""COMPUTED_VALUE"""),1.0)</f>
        <v>1</v>
      </c>
      <c r="S106" s="9">
        <f>IFERROR(__xludf.DUMMYFUNCTION("""COMPUTED_VALUE"""),14.0)</f>
        <v>14</v>
      </c>
      <c r="T106" s="9">
        <f>IFERROR(__xludf.DUMMYFUNCTION("""COMPUTED_VALUE"""),3.0)</f>
        <v>3</v>
      </c>
      <c r="U106" s="9">
        <f>IFERROR(__xludf.DUMMYFUNCTION("""COMPUTED_VALUE"""),0.0)</f>
        <v>0</v>
      </c>
      <c r="V106" s="9">
        <f>IFERROR(__xludf.DUMMYFUNCTION("""COMPUTED_VALUE"""),12.0)</f>
        <v>12</v>
      </c>
      <c r="W106" s="9">
        <f>IFERROR(__xludf.DUMMYFUNCTION("""COMPUTED_VALUE"""),0.0)</f>
        <v>0</v>
      </c>
      <c r="X106" s="9">
        <f>IFERROR(__xludf.DUMMYFUNCTION("""COMPUTED_VALUE"""),11.0)</f>
        <v>11</v>
      </c>
      <c r="Y106" s="9">
        <f>IFERROR(__xludf.DUMMYFUNCTION("""COMPUTED_VALUE"""),18.0)</f>
        <v>18</v>
      </c>
      <c r="Z106" s="9">
        <f>IFERROR(__xludf.DUMMYFUNCTION("""COMPUTED_VALUE"""),3.0)</f>
        <v>3</v>
      </c>
      <c r="AA106" s="9">
        <f>IFERROR(__xludf.DUMMYFUNCTION("""COMPUTED_VALUE"""),0.0)</f>
        <v>0</v>
      </c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</row>
    <row r="107">
      <c r="A107" s="8">
        <f>IFERROR(__xludf.DUMMYFUNCTION("""COMPUTED_VALUE"""),45225.0)</f>
        <v>45225</v>
      </c>
      <c r="B107" s="9">
        <f>IFERROR(__xludf.DUMMYFUNCTION("""COMPUTED_VALUE"""),31.0)</f>
        <v>31</v>
      </c>
      <c r="C107" s="9">
        <f>IFERROR(__xludf.DUMMYFUNCTION("""COMPUTED_VALUE"""),129.0)</f>
        <v>129</v>
      </c>
      <c r="D107" s="9">
        <f>IFERROR(__xludf.DUMMYFUNCTION("""COMPUTED_VALUE"""),4.0)</f>
        <v>4</v>
      </c>
      <c r="E107" s="9">
        <f>IFERROR(__xludf.DUMMYFUNCTION("""COMPUTED_VALUE"""),2165.0)</f>
        <v>2165</v>
      </c>
      <c r="F107" s="9">
        <f>IFERROR(__xludf.DUMMYFUNCTION("""COMPUTED_VALUE"""),70.0)</f>
        <v>70</v>
      </c>
      <c r="G107" s="9">
        <f>IFERROR(__xludf.DUMMYFUNCTION("""COMPUTED_VALUE"""),0.0)</f>
        <v>0</v>
      </c>
      <c r="H107" s="9"/>
      <c r="I107" s="9">
        <f>IFERROR(__xludf.DUMMYFUNCTION("""COMPUTED_VALUE"""),21.0)</f>
        <v>21</v>
      </c>
      <c r="J107" s="9">
        <f>IFERROR(__xludf.DUMMYFUNCTION("""COMPUTED_VALUE"""),3.0)</f>
        <v>3</v>
      </c>
      <c r="K107" s="9">
        <f>IFERROR(__xludf.DUMMYFUNCTION("""COMPUTED_VALUE"""),0.0)</f>
        <v>0</v>
      </c>
      <c r="L107" s="9">
        <f>IFERROR(__xludf.DUMMYFUNCTION("""COMPUTED_VALUE"""),1.0)</f>
        <v>1</v>
      </c>
      <c r="M107" s="9">
        <f>IFERROR(__xludf.DUMMYFUNCTION("""COMPUTED_VALUE"""),25.0)</f>
        <v>25</v>
      </c>
      <c r="N107" s="9">
        <f>IFERROR(__xludf.DUMMYFUNCTION("""COMPUTED_VALUE"""),24.0)</f>
        <v>24</v>
      </c>
      <c r="O107" s="9">
        <f>IFERROR(__xludf.DUMMYFUNCTION("""COMPUTED_VALUE"""),0.0)</f>
        <v>0</v>
      </c>
      <c r="P107" s="9">
        <f>IFERROR(__xludf.DUMMYFUNCTION("""COMPUTED_VALUE"""),7.0)</f>
        <v>7</v>
      </c>
      <c r="Q107" s="9">
        <f>IFERROR(__xludf.DUMMYFUNCTION("""COMPUTED_VALUE"""),10.0)</f>
        <v>10</v>
      </c>
      <c r="R107" s="9">
        <f>IFERROR(__xludf.DUMMYFUNCTION("""COMPUTED_VALUE"""),3.0)</f>
        <v>3</v>
      </c>
      <c r="S107" s="9">
        <f>IFERROR(__xludf.DUMMYFUNCTION("""COMPUTED_VALUE"""),14.0)</f>
        <v>14</v>
      </c>
      <c r="T107" s="9">
        <f>IFERROR(__xludf.DUMMYFUNCTION("""COMPUTED_VALUE"""),1.0)</f>
        <v>1</v>
      </c>
      <c r="U107" s="9">
        <f>IFERROR(__xludf.DUMMYFUNCTION("""COMPUTED_VALUE"""),0.0)</f>
        <v>0</v>
      </c>
      <c r="V107" s="9">
        <f>IFERROR(__xludf.DUMMYFUNCTION("""COMPUTED_VALUE"""),13.0)</f>
        <v>13</v>
      </c>
      <c r="W107" s="9">
        <f>IFERROR(__xludf.DUMMYFUNCTION("""COMPUTED_VALUE"""),0.0)</f>
        <v>0</v>
      </c>
      <c r="X107" s="9">
        <f>IFERROR(__xludf.DUMMYFUNCTION("""COMPUTED_VALUE"""),12.0)</f>
        <v>12</v>
      </c>
      <c r="Y107" s="9">
        <f>IFERROR(__xludf.DUMMYFUNCTION("""COMPUTED_VALUE"""),19.0)</f>
        <v>19</v>
      </c>
      <c r="Z107" s="9">
        <f>IFERROR(__xludf.DUMMYFUNCTION("""COMPUTED_VALUE"""),1.0)</f>
        <v>1</v>
      </c>
      <c r="AA107" s="9">
        <f>IFERROR(__xludf.DUMMYFUNCTION("""COMPUTED_VALUE"""),0.0)</f>
        <v>0</v>
      </c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</row>
    <row r="108">
      <c r="A108" s="8">
        <f>IFERROR(__xludf.DUMMYFUNCTION("""COMPUTED_VALUE"""),45226.0)</f>
        <v>45226</v>
      </c>
      <c r="B108" s="9">
        <f>IFERROR(__xludf.DUMMYFUNCTION("""COMPUTED_VALUE"""),32.0)</f>
        <v>32</v>
      </c>
      <c r="C108" s="9">
        <f>IFERROR(__xludf.DUMMYFUNCTION("""COMPUTED_VALUE"""),116.0)</f>
        <v>116</v>
      </c>
      <c r="D108" s="9">
        <f>IFERROR(__xludf.DUMMYFUNCTION("""COMPUTED_VALUE"""),4.0)</f>
        <v>4</v>
      </c>
      <c r="E108" s="9">
        <f>IFERROR(__xludf.DUMMYFUNCTION("""COMPUTED_VALUE"""),2182.0)</f>
        <v>2182</v>
      </c>
      <c r="F108" s="9">
        <f>IFERROR(__xludf.DUMMYFUNCTION("""COMPUTED_VALUE"""),68.0)</f>
        <v>68</v>
      </c>
      <c r="G108" s="9">
        <f>IFERROR(__xludf.DUMMYFUNCTION("""COMPUTED_VALUE"""),0.0)</f>
        <v>0</v>
      </c>
      <c r="H108" s="9"/>
      <c r="I108" s="9">
        <f>IFERROR(__xludf.DUMMYFUNCTION("""COMPUTED_VALUE"""),28.0)</f>
        <v>28</v>
      </c>
      <c r="J108" s="9">
        <f>IFERROR(__xludf.DUMMYFUNCTION("""COMPUTED_VALUE"""),0.0)</f>
        <v>0</v>
      </c>
      <c r="K108" s="9">
        <f>IFERROR(__xludf.DUMMYFUNCTION("""COMPUTED_VALUE"""),0.0)</f>
        <v>0</v>
      </c>
      <c r="L108" s="9">
        <f>IFERROR(__xludf.DUMMYFUNCTION("""COMPUTED_VALUE"""),1.0)</f>
        <v>1</v>
      </c>
      <c r="M108" s="9">
        <f>IFERROR(__xludf.DUMMYFUNCTION("""COMPUTED_VALUE"""),29.0)</f>
        <v>29</v>
      </c>
      <c r="N108" s="9">
        <f>IFERROR(__xludf.DUMMYFUNCTION("""COMPUTED_VALUE"""),23.0)</f>
        <v>23</v>
      </c>
      <c r="O108" s="9">
        <f>IFERROR(__xludf.DUMMYFUNCTION("""COMPUTED_VALUE"""),4.0)</f>
        <v>4</v>
      </c>
      <c r="P108" s="9">
        <f>IFERROR(__xludf.DUMMYFUNCTION("""COMPUTED_VALUE"""),5.0)</f>
        <v>5</v>
      </c>
      <c r="Q108" s="9">
        <f>IFERROR(__xludf.DUMMYFUNCTION("""COMPUTED_VALUE"""),16.0)</f>
        <v>16</v>
      </c>
      <c r="R108" s="9">
        <f>IFERROR(__xludf.DUMMYFUNCTION("""COMPUTED_VALUE"""),2.0)</f>
        <v>2</v>
      </c>
      <c r="S108" s="9">
        <f>IFERROR(__xludf.DUMMYFUNCTION("""COMPUTED_VALUE"""),12.0)</f>
        <v>12</v>
      </c>
      <c r="T108" s="9">
        <f>IFERROR(__xludf.DUMMYFUNCTION("""COMPUTED_VALUE"""),1.0)</f>
        <v>1</v>
      </c>
      <c r="U108" s="9">
        <f>IFERROR(__xludf.DUMMYFUNCTION("""COMPUTED_VALUE"""),0.0)</f>
        <v>0</v>
      </c>
      <c r="V108" s="9">
        <f>IFERROR(__xludf.DUMMYFUNCTION("""COMPUTED_VALUE"""),22.0)</f>
        <v>22</v>
      </c>
      <c r="W108" s="9">
        <f>IFERROR(__xludf.DUMMYFUNCTION("""COMPUTED_VALUE"""),0.0)</f>
        <v>0</v>
      </c>
      <c r="X108" s="9">
        <f>IFERROR(__xludf.DUMMYFUNCTION("""COMPUTED_VALUE"""),15.0)</f>
        <v>15</v>
      </c>
      <c r="Y108" s="9">
        <f>IFERROR(__xludf.DUMMYFUNCTION("""COMPUTED_VALUE"""),24.0)</f>
        <v>24</v>
      </c>
      <c r="Z108" s="9">
        <f>IFERROR(__xludf.DUMMYFUNCTION("""COMPUTED_VALUE"""),1.0)</f>
        <v>1</v>
      </c>
      <c r="AA108" s="9">
        <f>IFERROR(__xludf.DUMMYFUNCTION("""COMPUTED_VALUE"""),4.0)</f>
        <v>4</v>
      </c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</row>
    <row r="109">
      <c r="A109" s="8">
        <f>IFERROR(__xludf.DUMMYFUNCTION("""COMPUTED_VALUE"""),45227.0)</f>
        <v>45227</v>
      </c>
      <c r="B109" s="9">
        <f>IFERROR(__xludf.DUMMYFUNCTION("""COMPUTED_VALUE"""),25.0)</f>
        <v>25</v>
      </c>
      <c r="C109" s="9">
        <f>IFERROR(__xludf.DUMMYFUNCTION("""COMPUTED_VALUE"""),107.0)</f>
        <v>107</v>
      </c>
      <c r="D109" s="9">
        <f>IFERROR(__xludf.DUMMYFUNCTION("""COMPUTED_VALUE"""),4.0)</f>
        <v>4</v>
      </c>
      <c r="E109" s="9">
        <f>IFERROR(__xludf.DUMMYFUNCTION("""COMPUTED_VALUE"""),1852.0)</f>
        <v>1852</v>
      </c>
      <c r="F109" s="9">
        <f>IFERROR(__xludf.DUMMYFUNCTION("""COMPUTED_VALUE"""),74.0)</f>
        <v>74</v>
      </c>
      <c r="G109" s="9">
        <f>IFERROR(__xludf.DUMMYFUNCTION("""COMPUTED_VALUE"""),0.0)</f>
        <v>0</v>
      </c>
      <c r="H109" s="9"/>
      <c r="I109" s="9">
        <f>IFERROR(__xludf.DUMMYFUNCTION("""COMPUTED_VALUE"""),13.0)</f>
        <v>13</v>
      </c>
      <c r="J109" s="9">
        <f>IFERROR(__xludf.DUMMYFUNCTION("""COMPUTED_VALUE"""),3.0)</f>
        <v>3</v>
      </c>
      <c r="K109" s="9">
        <f>IFERROR(__xludf.DUMMYFUNCTION("""COMPUTED_VALUE"""),2.0)</f>
        <v>2</v>
      </c>
      <c r="L109" s="9">
        <f>IFERROR(__xludf.DUMMYFUNCTION("""COMPUTED_VALUE"""),0.0)</f>
        <v>0</v>
      </c>
      <c r="M109" s="9">
        <f>IFERROR(__xludf.DUMMYFUNCTION("""COMPUTED_VALUE"""),18.0)</f>
        <v>18</v>
      </c>
      <c r="N109" s="9">
        <f>IFERROR(__xludf.DUMMYFUNCTION("""COMPUTED_VALUE"""),18.0)</f>
        <v>18</v>
      </c>
      <c r="O109" s="9">
        <f>IFERROR(__xludf.DUMMYFUNCTION("""COMPUTED_VALUE"""),1.0)</f>
        <v>1</v>
      </c>
      <c r="P109" s="9">
        <f>IFERROR(__xludf.DUMMYFUNCTION("""COMPUTED_VALUE"""),6.0)</f>
        <v>6</v>
      </c>
      <c r="Q109" s="9">
        <f>IFERROR(__xludf.DUMMYFUNCTION("""COMPUTED_VALUE"""),8.0)</f>
        <v>8</v>
      </c>
      <c r="R109" s="9">
        <f>IFERROR(__xludf.DUMMYFUNCTION("""COMPUTED_VALUE"""),5.0)</f>
        <v>5</v>
      </c>
      <c r="S109" s="9">
        <f>IFERROR(__xludf.DUMMYFUNCTION("""COMPUTED_VALUE"""),21.0)</f>
        <v>21</v>
      </c>
      <c r="T109" s="9">
        <f>IFERROR(__xludf.DUMMYFUNCTION("""COMPUTED_VALUE"""),1.0)</f>
        <v>1</v>
      </c>
      <c r="U109" s="9">
        <f>IFERROR(__xludf.DUMMYFUNCTION("""COMPUTED_VALUE"""),0.0)</f>
        <v>0</v>
      </c>
      <c r="V109" s="9">
        <f>IFERROR(__xludf.DUMMYFUNCTION("""COMPUTED_VALUE"""),13.0)</f>
        <v>13</v>
      </c>
      <c r="W109" s="9">
        <f>IFERROR(__xludf.DUMMYFUNCTION("""COMPUTED_VALUE"""),0.0)</f>
        <v>0</v>
      </c>
      <c r="X109" s="9">
        <f>IFERROR(__xludf.DUMMYFUNCTION("""COMPUTED_VALUE"""),16.0)</f>
        <v>16</v>
      </c>
      <c r="Y109" s="9">
        <f>IFERROR(__xludf.DUMMYFUNCTION("""COMPUTED_VALUE"""),15.0)</f>
        <v>15</v>
      </c>
      <c r="Z109" s="9">
        <f>IFERROR(__xludf.DUMMYFUNCTION("""COMPUTED_VALUE"""),1.0)</f>
        <v>1</v>
      </c>
      <c r="AA109" s="9">
        <f>IFERROR(__xludf.DUMMYFUNCTION("""COMPUTED_VALUE"""),0.0)</f>
        <v>0</v>
      </c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</row>
    <row r="110">
      <c r="A110" s="8">
        <f>IFERROR(__xludf.DUMMYFUNCTION("""COMPUTED_VALUE"""),45228.0)</f>
        <v>45228</v>
      </c>
      <c r="B110" s="9">
        <f>IFERROR(__xludf.DUMMYFUNCTION("""COMPUTED_VALUE"""),0.0)</f>
        <v>0</v>
      </c>
      <c r="C110" s="9">
        <f>IFERROR(__xludf.DUMMYFUNCTION("""COMPUTED_VALUE"""),0.0)</f>
        <v>0</v>
      </c>
      <c r="D110" s="9">
        <f>IFERROR(__xludf.DUMMYFUNCTION("""COMPUTED_VALUE"""),0.0)</f>
        <v>0</v>
      </c>
      <c r="E110" s="9">
        <f>IFERROR(__xludf.DUMMYFUNCTION("""COMPUTED_VALUE"""),0.0)</f>
        <v>0</v>
      </c>
      <c r="F110" s="9">
        <f>IFERROR(__xludf.DUMMYFUNCTION("""COMPUTED_VALUE"""),0.0)</f>
        <v>0</v>
      </c>
      <c r="G110" s="9">
        <f>IFERROR(__xludf.DUMMYFUNCTION("""COMPUTED_VALUE"""),0.0)</f>
        <v>0</v>
      </c>
      <c r="H110" s="9"/>
      <c r="I110" s="9">
        <f>IFERROR(__xludf.DUMMYFUNCTION("""COMPUTED_VALUE"""),0.0)</f>
        <v>0</v>
      </c>
      <c r="J110" s="9">
        <f>IFERROR(__xludf.DUMMYFUNCTION("""COMPUTED_VALUE"""),0.0)</f>
        <v>0</v>
      </c>
      <c r="K110" s="9">
        <f>IFERROR(__xludf.DUMMYFUNCTION("""COMPUTED_VALUE"""),0.0)</f>
        <v>0</v>
      </c>
      <c r="L110" s="9">
        <f>IFERROR(__xludf.DUMMYFUNCTION("""COMPUTED_VALUE"""),0.0)</f>
        <v>0</v>
      </c>
      <c r="M110" s="9">
        <f>IFERROR(__xludf.DUMMYFUNCTION("""COMPUTED_VALUE"""),0.0)</f>
        <v>0</v>
      </c>
      <c r="N110" s="9">
        <f>IFERROR(__xludf.DUMMYFUNCTION("""COMPUTED_VALUE"""),0.0)</f>
        <v>0</v>
      </c>
      <c r="O110" s="9">
        <f>IFERROR(__xludf.DUMMYFUNCTION("""COMPUTED_VALUE"""),0.0)</f>
        <v>0</v>
      </c>
      <c r="P110" s="9">
        <f>IFERROR(__xludf.DUMMYFUNCTION("""COMPUTED_VALUE"""),0.0)</f>
        <v>0</v>
      </c>
      <c r="Q110" s="9">
        <f>IFERROR(__xludf.DUMMYFUNCTION("""COMPUTED_VALUE"""),0.0)</f>
        <v>0</v>
      </c>
      <c r="R110" s="9">
        <f>IFERROR(__xludf.DUMMYFUNCTION("""COMPUTED_VALUE"""),0.0)</f>
        <v>0</v>
      </c>
      <c r="S110" s="9">
        <f>IFERROR(__xludf.DUMMYFUNCTION("""COMPUTED_VALUE"""),0.0)</f>
        <v>0</v>
      </c>
      <c r="T110" s="9">
        <f>IFERROR(__xludf.DUMMYFUNCTION("""COMPUTED_VALUE"""),0.0)</f>
        <v>0</v>
      </c>
      <c r="U110" s="9">
        <f>IFERROR(__xludf.DUMMYFUNCTION("""COMPUTED_VALUE"""),0.0)</f>
        <v>0</v>
      </c>
      <c r="V110" s="9">
        <f>IFERROR(__xludf.DUMMYFUNCTION("""COMPUTED_VALUE"""),0.0)</f>
        <v>0</v>
      </c>
      <c r="W110" s="9">
        <f>IFERROR(__xludf.DUMMYFUNCTION("""COMPUTED_VALUE"""),0.0)</f>
        <v>0</v>
      </c>
      <c r="X110" s="9">
        <f>IFERROR(__xludf.DUMMYFUNCTION("""COMPUTED_VALUE"""),0.0)</f>
        <v>0</v>
      </c>
      <c r="Y110" s="9">
        <f>IFERROR(__xludf.DUMMYFUNCTION("""COMPUTED_VALUE"""),0.0)</f>
        <v>0</v>
      </c>
      <c r="Z110" s="9">
        <f>IFERROR(__xludf.DUMMYFUNCTION("""COMPUTED_VALUE"""),0.0)</f>
        <v>0</v>
      </c>
      <c r="AA110" s="9">
        <f>IFERROR(__xludf.DUMMYFUNCTION("""COMPUTED_VALUE"""),0.0)</f>
        <v>0</v>
      </c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</row>
    <row r="111">
      <c r="A111" s="8">
        <f>IFERROR(__xludf.DUMMYFUNCTION("""COMPUTED_VALUE"""),45229.0)</f>
        <v>45229</v>
      </c>
      <c r="B111" s="9">
        <f>IFERROR(__xludf.DUMMYFUNCTION("""COMPUTED_VALUE"""),49.0)</f>
        <v>49</v>
      </c>
      <c r="C111" s="9">
        <f>IFERROR(__xludf.DUMMYFUNCTION("""COMPUTED_VALUE"""),192.0)</f>
        <v>192</v>
      </c>
      <c r="D111" s="9">
        <f>IFERROR(__xludf.DUMMYFUNCTION("""COMPUTED_VALUE"""),4.0)</f>
        <v>4</v>
      </c>
      <c r="E111" s="9">
        <f>IFERROR(__xludf.DUMMYFUNCTION("""COMPUTED_VALUE"""),3413.0)</f>
        <v>3413</v>
      </c>
      <c r="F111" s="9">
        <f>IFERROR(__xludf.DUMMYFUNCTION("""COMPUTED_VALUE"""),70.0)</f>
        <v>70</v>
      </c>
      <c r="G111" s="9">
        <f>IFERROR(__xludf.DUMMYFUNCTION("""COMPUTED_VALUE"""),0.0)</f>
        <v>0</v>
      </c>
      <c r="H111" s="9"/>
      <c r="I111" s="9">
        <f>IFERROR(__xludf.DUMMYFUNCTION("""COMPUTED_VALUE"""),27.0)</f>
        <v>27</v>
      </c>
      <c r="J111" s="9">
        <f>IFERROR(__xludf.DUMMYFUNCTION("""COMPUTED_VALUE"""),4.0)</f>
        <v>4</v>
      </c>
      <c r="K111" s="9">
        <f>IFERROR(__xludf.DUMMYFUNCTION("""COMPUTED_VALUE"""),3.0)</f>
        <v>3</v>
      </c>
      <c r="L111" s="9">
        <f>IFERROR(__xludf.DUMMYFUNCTION("""COMPUTED_VALUE"""),1.0)</f>
        <v>1</v>
      </c>
      <c r="M111" s="9">
        <f>IFERROR(__xludf.DUMMYFUNCTION("""COMPUTED_VALUE"""),35.0)</f>
        <v>35</v>
      </c>
      <c r="N111" s="9">
        <f>IFERROR(__xludf.DUMMYFUNCTION("""COMPUTED_VALUE"""),37.0)</f>
        <v>37</v>
      </c>
      <c r="O111" s="9">
        <f>IFERROR(__xludf.DUMMYFUNCTION("""COMPUTED_VALUE"""),3.0)</f>
        <v>3</v>
      </c>
      <c r="P111" s="9">
        <f>IFERROR(__xludf.DUMMYFUNCTION("""COMPUTED_VALUE"""),9.0)</f>
        <v>9</v>
      </c>
      <c r="Q111" s="9">
        <f>IFERROR(__xludf.DUMMYFUNCTION("""COMPUTED_VALUE"""),26.0)</f>
        <v>26</v>
      </c>
      <c r="R111" s="9">
        <f>IFERROR(__xludf.DUMMYFUNCTION("""COMPUTED_VALUE"""),2.0)</f>
        <v>2</v>
      </c>
      <c r="S111" s="9">
        <f>IFERROR(__xludf.DUMMYFUNCTION("""COMPUTED_VALUE"""),18.0)</f>
        <v>18</v>
      </c>
      <c r="T111" s="9">
        <f>IFERROR(__xludf.DUMMYFUNCTION("""COMPUTED_VALUE"""),1.0)</f>
        <v>1</v>
      </c>
      <c r="U111" s="9">
        <f>IFERROR(__xludf.DUMMYFUNCTION("""COMPUTED_VALUE"""),0.0)</f>
        <v>0</v>
      </c>
      <c r="V111" s="9">
        <f>IFERROR(__xludf.DUMMYFUNCTION("""COMPUTED_VALUE"""),31.0)</f>
        <v>31</v>
      </c>
      <c r="W111" s="9">
        <f>IFERROR(__xludf.DUMMYFUNCTION("""COMPUTED_VALUE"""),4.0)</f>
        <v>4</v>
      </c>
      <c r="X111" s="9">
        <f>IFERROR(__xludf.DUMMYFUNCTION("""COMPUTED_VALUE"""),26.0)</f>
        <v>26</v>
      </c>
      <c r="Y111" s="9">
        <f>IFERROR(__xludf.DUMMYFUNCTION("""COMPUTED_VALUE"""),40.0)</f>
        <v>40</v>
      </c>
      <c r="Z111" s="9">
        <f>IFERROR(__xludf.DUMMYFUNCTION("""COMPUTED_VALUE"""),5.0)</f>
        <v>5</v>
      </c>
      <c r="AA111" s="9">
        <f>IFERROR(__xludf.DUMMYFUNCTION("""COMPUTED_VALUE"""),3.0)</f>
        <v>3</v>
      </c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</row>
    <row r="112">
      <c r="A112" s="8">
        <f>IFERROR(__xludf.DUMMYFUNCTION("""COMPUTED_VALUE"""),45230.0)</f>
        <v>45230</v>
      </c>
      <c r="B112" s="9">
        <f>IFERROR(__xludf.DUMMYFUNCTION("""COMPUTED_VALUE"""),51.0)</f>
        <v>51</v>
      </c>
      <c r="C112" s="9">
        <f>IFERROR(__xludf.DUMMYFUNCTION("""COMPUTED_VALUE"""),198.0)</f>
        <v>198</v>
      </c>
      <c r="D112" s="9">
        <f>IFERROR(__xludf.DUMMYFUNCTION("""COMPUTED_VALUE"""),4.0)</f>
        <v>4</v>
      </c>
      <c r="E112" s="9">
        <f>IFERROR(__xludf.DUMMYFUNCTION("""COMPUTED_VALUE"""),3410.0)</f>
        <v>3410</v>
      </c>
      <c r="F112" s="9">
        <f>IFERROR(__xludf.DUMMYFUNCTION("""COMPUTED_VALUE"""),67.0)</f>
        <v>67</v>
      </c>
      <c r="G112" s="9">
        <f>IFERROR(__xludf.DUMMYFUNCTION("""COMPUTED_VALUE"""),0.0)</f>
        <v>0</v>
      </c>
      <c r="H112" s="9"/>
      <c r="I112" s="9">
        <f>IFERROR(__xludf.DUMMYFUNCTION("""COMPUTED_VALUE"""),31.0)</f>
        <v>31</v>
      </c>
      <c r="J112" s="9">
        <f>IFERROR(__xludf.DUMMYFUNCTION("""COMPUTED_VALUE"""),7.0)</f>
        <v>7</v>
      </c>
      <c r="K112" s="9">
        <f>IFERROR(__xludf.DUMMYFUNCTION("""COMPUTED_VALUE"""),0.0)</f>
        <v>0</v>
      </c>
      <c r="L112" s="9">
        <f>IFERROR(__xludf.DUMMYFUNCTION("""COMPUTED_VALUE"""),1.0)</f>
        <v>1</v>
      </c>
      <c r="M112" s="9">
        <f>IFERROR(__xludf.DUMMYFUNCTION("""COMPUTED_VALUE"""),39.0)</f>
        <v>39</v>
      </c>
      <c r="N112" s="9">
        <f>IFERROR(__xludf.DUMMYFUNCTION("""COMPUTED_VALUE"""),44.0)</f>
        <v>44</v>
      </c>
      <c r="O112" s="9">
        <f>IFERROR(__xludf.DUMMYFUNCTION("""COMPUTED_VALUE"""),0.0)</f>
        <v>0</v>
      </c>
      <c r="P112" s="9">
        <f>IFERROR(__xludf.DUMMYFUNCTION("""COMPUTED_VALUE"""),7.0)</f>
        <v>7</v>
      </c>
      <c r="Q112" s="9">
        <f>IFERROR(__xludf.DUMMYFUNCTION("""COMPUTED_VALUE"""),27.0)</f>
        <v>27</v>
      </c>
      <c r="R112" s="9">
        <f>IFERROR(__xludf.DUMMYFUNCTION("""COMPUTED_VALUE"""),5.0)</f>
        <v>5</v>
      </c>
      <c r="S112" s="9">
        <f>IFERROR(__xludf.DUMMYFUNCTION("""COMPUTED_VALUE"""),21.0)</f>
        <v>21</v>
      </c>
      <c r="T112" s="9">
        <f>IFERROR(__xludf.DUMMYFUNCTION("""COMPUTED_VALUE"""),4.0)</f>
        <v>4</v>
      </c>
      <c r="U112" s="9">
        <f>IFERROR(__xludf.DUMMYFUNCTION("""COMPUTED_VALUE"""),0.0)</f>
        <v>0</v>
      </c>
      <c r="V112" s="9">
        <f>IFERROR(__xludf.DUMMYFUNCTION("""COMPUTED_VALUE"""),32.0)</f>
        <v>32</v>
      </c>
      <c r="W112" s="9">
        <f>IFERROR(__xludf.DUMMYFUNCTION("""COMPUTED_VALUE"""),0.0)</f>
        <v>0</v>
      </c>
      <c r="X112" s="9">
        <f>IFERROR(__xludf.DUMMYFUNCTION("""COMPUTED_VALUE"""),22.0)</f>
        <v>22</v>
      </c>
      <c r="Y112" s="9">
        <f>IFERROR(__xludf.DUMMYFUNCTION("""COMPUTED_VALUE"""),40.0)</f>
        <v>40</v>
      </c>
      <c r="Z112" s="9">
        <f>IFERROR(__xludf.DUMMYFUNCTION("""COMPUTED_VALUE"""),4.0)</f>
        <v>4</v>
      </c>
      <c r="AA112" s="9">
        <f>IFERROR(__xludf.DUMMYFUNCTION("""COMPUTED_VALUE"""),0.0)</f>
        <v>0</v>
      </c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</row>
    <row r="113">
      <c r="A113" s="8">
        <f>IFERROR(__xludf.DUMMYFUNCTION("""COMPUTED_VALUE"""),45231.0)</f>
        <v>45231</v>
      </c>
      <c r="B113" s="9">
        <f>IFERROR(__xludf.DUMMYFUNCTION("""COMPUTED_VALUE"""),0.0)</f>
        <v>0</v>
      </c>
      <c r="C113" s="9">
        <f>IFERROR(__xludf.DUMMYFUNCTION("""COMPUTED_VALUE"""),0.0)</f>
        <v>0</v>
      </c>
      <c r="D113" s="9">
        <f>IFERROR(__xludf.DUMMYFUNCTION("""COMPUTED_VALUE"""),0.0)</f>
        <v>0</v>
      </c>
      <c r="E113" s="9">
        <f>IFERROR(__xludf.DUMMYFUNCTION("""COMPUTED_VALUE"""),0.0)</f>
        <v>0</v>
      </c>
      <c r="F113" s="9">
        <f>IFERROR(__xludf.DUMMYFUNCTION("""COMPUTED_VALUE"""),0.0)</f>
        <v>0</v>
      </c>
      <c r="G113" s="9">
        <f>IFERROR(__xludf.DUMMYFUNCTION("""COMPUTED_VALUE"""),0.0)</f>
        <v>0</v>
      </c>
      <c r="H113" s="9"/>
      <c r="I113" s="9">
        <f>IFERROR(__xludf.DUMMYFUNCTION("""COMPUTED_VALUE"""),0.0)</f>
        <v>0</v>
      </c>
      <c r="J113" s="9">
        <f>IFERROR(__xludf.DUMMYFUNCTION("""COMPUTED_VALUE"""),0.0)</f>
        <v>0</v>
      </c>
      <c r="K113" s="9">
        <f>IFERROR(__xludf.DUMMYFUNCTION("""COMPUTED_VALUE"""),0.0)</f>
        <v>0</v>
      </c>
      <c r="L113" s="9">
        <f>IFERROR(__xludf.DUMMYFUNCTION("""COMPUTED_VALUE"""),0.0)</f>
        <v>0</v>
      </c>
      <c r="M113" s="9">
        <f>IFERROR(__xludf.DUMMYFUNCTION("""COMPUTED_VALUE"""),0.0)</f>
        <v>0</v>
      </c>
      <c r="N113" s="9">
        <f>IFERROR(__xludf.DUMMYFUNCTION("""COMPUTED_VALUE"""),0.0)</f>
        <v>0</v>
      </c>
      <c r="O113" s="9">
        <f>IFERROR(__xludf.DUMMYFUNCTION("""COMPUTED_VALUE"""),0.0)</f>
        <v>0</v>
      </c>
      <c r="P113" s="9">
        <f>IFERROR(__xludf.DUMMYFUNCTION("""COMPUTED_VALUE"""),0.0)</f>
        <v>0</v>
      </c>
      <c r="Q113" s="9">
        <f>IFERROR(__xludf.DUMMYFUNCTION("""COMPUTED_VALUE"""),0.0)</f>
        <v>0</v>
      </c>
      <c r="R113" s="9">
        <f>IFERROR(__xludf.DUMMYFUNCTION("""COMPUTED_VALUE"""),0.0)</f>
        <v>0</v>
      </c>
      <c r="S113" s="9">
        <f>IFERROR(__xludf.DUMMYFUNCTION("""COMPUTED_VALUE"""),0.0)</f>
        <v>0</v>
      </c>
      <c r="T113" s="9">
        <f>IFERROR(__xludf.DUMMYFUNCTION("""COMPUTED_VALUE"""),0.0)</f>
        <v>0</v>
      </c>
      <c r="U113" s="9">
        <f>IFERROR(__xludf.DUMMYFUNCTION("""COMPUTED_VALUE"""),0.0)</f>
        <v>0</v>
      </c>
      <c r="V113" s="9">
        <f>IFERROR(__xludf.DUMMYFUNCTION("""COMPUTED_VALUE"""),0.0)</f>
        <v>0</v>
      </c>
      <c r="W113" s="9">
        <f>IFERROR(__xludf.DUMMYFUNCTION("""COMPUTED_VALUE"""),0.0)</f>
        <v>0</v>
      </c>
      <c r="X113" s="9">
        <f>IFERROR(__xludf.DUMMYFUNCTION("""COMPUTED_VALUE"""),0.0)</f>
        <v>0</v>
      </c>
      <c r="Y113" s="9">
        <f>IFERROR(__xludf.DUMMYFUNCTION("""COMPUTED_VALUE"""),0.0)</f>
        <v>0</v>
      </c>
      <c r="Z113" s="9">
        <f>IFERROR(__xludf.DUMMYFUNCTION("""COMPUTED_VALUE"""),0.0)</f>
        <v>0</v>
      </c>
      <c r="AA113" s="9">
        <f>IFERROR(__xludf.DUMMYFUNCTION("""COMPUTED_VALUE"""),0.0)</f>
        <v>0</v>
      </c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</row>
    <row r="114">
      <c r="A114" s="8">
        <f>IFERROR(__xludf.DUMMYFUNCTION("""COMPUTED_VALUE"""),45232.0)</f>
        <v>45232</v>
      </c>
      <c r="B114" s="9">
        <f>IFERROR(__xludf.DUMMYFUNCTION("""COMPUTED_VALUE"""),58.0)</f>
        <v>58</v>
      </c>
      <c r="C114" s="9">
        <f>IFERROR(__xludf.DUMMYFUNCTION("""COMPUTED_VALUE"""),215.0)</f>
        <v>215</v>
      </c>
      <c r="D114" s="9">
        <f>IFERROR(__xludf.DUMMYFUNCTION("""COMPUTED_VALUE"""),4.0)</f>
        <v>4</v>
      </c>
      <c r="E114" s="9">
        <f>IFERROR(__xludf.DUMMYFUNCTION("""COMPUTED_VALUE"""),4139.0)</f>
        <v>4139</v>
      </c>
      <c r="F114" s="9">
        <f>IFERROR(__xludf.DUMMYFUNCTION("""COMPUTED_VALUE"""),71.0)</f>
        <v>71</v>
      </c>
      <c r="G114" s="9">
        <f>IFERROR(__xludf.DUMMYFUNCTION("""COMPUTED_VALUE"""),0.0)</f>
        <v>0</v>
      </c>
      <c r="H114" s="9"/>
      <c r="I114" s="9">
        <f>IFERROR(__xludf.DUMMYFUNCTION("""COMPUTED_VALUE"""),43.0)</f>
        <v>43</v>
      </c>
      <c r="J114" s="9">
        <f>IFERROR(__xludf.DUMMYFUNCTION("""COMPUTED_VALUE"""),2.0)</f>
        <v>2</v>
      </c>
      <c r="K114" s="9">
        <f>IFERROR(__xludf.DUMMYFUNCTION("""COMPUTED_VALUE"""),1.0)</f>
        <v>1</v>
      </c>
      <c r="L114" s="9">
        <f>IFERROR(__xludf.DUMMYFUNCTION("""COMPUTED_VALUE"""),2.0)</f>
        <v>2</v>
      </c>
      <c r="M114" s="9">
        <f>IFERROR(__xludf.DUMMYFUNCTION("""COMPUTED_VALUE"""),48.0)</f>
        <v>48</v>
      </c>
      <c r="N114" s="9">
        <f>IFERROR(__xludf.DUMMYFUNCTION("""COMPUTED_VALUE"""),43.0)</f>
        <v>43</v>
      </c>
      <c r="O114" s="9">
        <f>IFERROR(__xludf.DUMMYFUNCTION("""COMPUTED_VALUE"""),3.0)</f>
        <v>3</v>
      </c>
      <c r="P114" s="9">
        <f>IFERROR(__xludf.DUMMYFUNCTION("""COMPUTED_VALUE"""),12.0)</f>
        <v>12</v>
      </c>
      <c r="Q114" s="9">
        <f>IFERROR(__xludf.DUMMYFUNCTION("""COMPUTED_VALUE"""),25.0)</f>
        <v>25</v>
      </c>
      <c r="R114" s="9">
        <f>IFERROR(__xludf.DUMMYFUNCTION("""COMPUTED_VALUE"""),10.0)</f>
        <v>10</v>
      </c>
      <c r="S114" s="9">
        <f>IFERROR(__xludf.DUMMYFUNCTION("""COMPUTED_VALUE"""),16.0)</f>
        <v>16</v>
      </c>
      <c r="T114" s="9">
        <f>IFERROR(__xludf.DUMMYFUNCTION("""COMPUTED_VALUE"""),3.0)</f>
        <v>3</v>
      </c>
      <c r="U114" s="9">
        <f>IFERROR(__xludf.DUMMYFUNCTION("""COMPUTED_VALUE"""),0.0)</f>
        <v>0</v>
      </c>
      <c r="V114" s="9">
        <f>IFERROR(__xludf.DUMMYFUNCTION("""COMPUTED_VALUE"""),36.0)</f>
        <v>36</v>
      </c>
      <c r="W114" s="9">
        <f>IFERROR(__xludf.DUMMYFUNCTION("""COMPUTED_VALUE"""),0.0)</f>
        <v>0</v>
      </c>
      <c r="X114" s="9">
        <f>IFERROR(__xludf.DUMMYFUNCTION("""COMPUTED_VALUE"""),32.0)</f>
        <v>32</v>
      </c>
      <c r="Y114" s="9">
        <f>IFERROR(__xludf.DUMMYFUNCTION("""COMPUTED_VALUE"""),46.0)</f>
        <v>46</v>
      </c>
      <c r="Z114" s="9">
        <f>IFERROR(__xludf.DUMMYFUNCTION("""COMPUTED_VALUE"""),3.0)</f>
        <v>3</v>
      </c>
      <c r="AA114" s="9">
        <f>IFERROR(__xludf.DUMMYFUNCTION("""COMPUTED_VALUE"""),1.0)</f>
        <v>1</v>
      </c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</row>
    <row r="115">
      <c r="A115" s="8">
        <f>IFERROR(__xludf.DUMMYFUNCTION("""COMPUTED_VALUE"""),45233.0)</f>
        <v>45233</v>
      </c>
      <c r="B115" s="9">
        <f>IFERROR(__xludf.DUMMYFUNCTION("""COMPUTED_VALUE"""),53.0)</f>
        <v>53</v>
      </c>
      <c r="C115" s="9">
        <f>IFERROR(__xludf.DUMMYFUNCTION("""COMPUTED_VALUE"""),244.0)</f>
        <v>244</v>
      </c>
      <c r="D115" s="9">
        <f>IFERROR(__xludf.DUMMYFUNCTION("""COMPUTED_VALUE"""),5.0)</f>
        <v>5</v>
      </c>
      <c r="E115" s="9">
        <f>IFERROR(__xludf.DUMMYFUNCTION("""COMPUTED_VALUE"""),4044.0)</f>
        <v>4044</v>
      </c>
      <c r="F115" s="9">
        <f>IFERROR(__xludf.DUMMYFUNCTION("""COMPUTED_VALUE"""),76.0)</f>
        <v>76</v>
      </c>
      <c r="G115" s="9">
        <f>IFERROR(__xludf.DUMMYFUNCTION("""COMPUTED_VALUE"""),0.0)</f>
        <v>0</v>
      </c>
      <c r="H115" s="9"/>
      <c r="I115" s="9">
        <f>IFERROR(__xludf.DUMMYFUNCTION("""COMPUTED_VALUE"""),39.0)</f>
        <v>39</v>
      </c>
      <c r="J115" s="9">
        <f>IFERROR(__xludf.DUMMYFUNCTION("""COMPUTED_VALUE"""),2.0)</f>
        <v>2</v>
      </c>
      <c r="K115" s="9">
        <f>IFERROR(__xludf.DUMMYFUNCTION("""COMPUTED_VALUE"""),2.0)</f>
        <v>2</v>
      </c>
      <c r="L115" s="9">
        <f>IFERROR(__xludf.DUMMYFUNCTION("""COMPUTED_VALUE"""),1.0)</f>
        <v>1</v>
      </c>
      <c r="M115" s="9">
        <f>IFERROR(__xludf.DUMMYFUNCTION("""COMPUTED_VALUE"""),44.0)</f>
        <v>44</v>
      </c>
      <c r="N115" s="9">
        <f>IFERROR(__xludf.DUMMYFUNCTION("""COMPUTED_VALUE"""),37.0)</f>
        <v>37</v>
      </c>
      <c r="O115" s="9">
        <f>IFERROR(__xludf.DUMMYFUNCTION("""COMPUTED_VALUE"""),1.0)</f>
        <v>1</v>
      </c>
      <c r="P115" s="9">
        <f>IFERROR(__xludf.DUMMYFUNCTION("""COMPUTED_VALUE"""),14.0)</f>
        <v>14</v>
      </c>
      <c r="Q115" s="9">
        <f>IFERROR(__xludf.DUMMYFUNCTION("""COMPUTED_VALUE"""),22.0)</f>
        <v>22</v>
      </c>
      <c r="R115" s="9">
        <f>IFERROR(__xludf.DUMMYFUNCTION("""COMPUTED_VALUE"""),12.0)</f>
        <v>12</v>
      </c>
      <c r="S115" s="9">
        <f>IFERROR(__xludf.DUMMYFUNCTION("""COMPUTED_VALUE"""),14.0)</f>
        <v>14</v>
      </c>
      <c r="T115" s="9">
        <f>IFERROR(__xludf.DUMMYFUNCTION("""COMPUTED_VALUE"""),2.0)</f>
        <v>2</v>
      </c>
      <c r="U115" s="9">
        <f>IFERROR(__xludf.DUMMYFUNCTION("""COMPUTED_VALUE"""),0.0)</f>
        <v>0</v>
      </c>
      <c r="V115" s="9">
        <f>IFERROR(__xludf.DUMMYFUNCTION("""COMPUTED_VALUE"""),35.0)</f>
        <v>35</v>
      </c>
      <c r="W115" s="9">
        <f>IFERROR(__xludf.DUMMYFUNCTION("""COMPUTED_VALUE"""),1.0)</f>
        <v>1</v>
      </c>
      <c r="X115" s="9">
        <f>IFERROR(__xludf.DUMMYFUNCTION("""COMPUTED_VALUE"""),35.0)</f>
        <v>35</v>
      </c>
      <c r="Y115" s="9">
        <f>IFERROR(__xludf.DUMMYFUNCTION("""COMPUTED_VALUE"""),42.0)</f>
        <v>42</v>
      </c>
      <c r="Z115" s="9">
        <f>IFERROR(__xludf.DUMMYFUNCTION("""COMPUTED_VALUE"""),3.0)</f>
        <v>3</v>
      </c>
      <c r="AA115" s="9">
        <f>IFERROR(__xludf.DUMMYFUNCTION("""COMPUTED_VALUE"""),1.0)</f>
        <v>1</v>
      </c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</row>
    <row r="116">
      <c r="A116" s="8">
        <f>IFERROR(__xludf.DUMMYFUNCTION("""COMPUTED_VALUE"""),45234.0)</f>
        <v>45234</v>
      </c>
      <c r="B116" s="9">
        <f>IFERROR(__xludf.DUMMYFUNCTION("""COMPUTED_VALUE"""),19.0)</f>
        <v>19</v>
      </c>
      <c r="C116" s="9">
        <f>IFERROR(__xludf.DUMMYFUNCTION("""COMPUTED_VALUE"""),68.0)</f>
        <v>68</v>
      </c>
      <c r="D116" s="9">
        <f>IFERROR(__xludf.DUMMYFUNCTION("""COMPUTED_VALUE"""),4.0)</f>
        <v>4</v>
      </c>
      <c r="E116" s="9">
        <f>IFERROR(__xludf.DUMMYFUNCTION("""COMPUTED_VALUE"""),1195.0)</f>
        <v>1195</v>
      </c>
      <c r="F116" s="9">
        <f>IFERROR(__xludf.DUMMYFUNCTION("""COMPUTED_VALUE"""),63.0)</f>
        <v>63</v>
      </c>
      <c r="G116" s="9">
        <f>IFERROR(__xludf.DUMMYFUNCTION("""COMPUTED_VALUE"""),0.0)</f>
        <v>0</v>
      </c>
      <c r="H116" s="9"/>
      <c r="I116" s="9">
        <f>IFERROR(__xludf.DUMMYFUNCTION("""COMPUTED_VALUE"""),13.0)</f>
        <v>13</v>
      </c>
      <c r="J116" s="9">
        <f>IFERROR(__xludf.DUMMYFUNCTION("""COMPUTED_VALUE"""),3.0)</f>
        <v>3</v>
      </c>
      <c r="K116" s="9">
        <f>IFERROR(__xludf.DUMMYFUNCTION("""COMPUTED_VALUE"""),0.0)</f>
        <v>0</v>
      </c>
      <c r="L116" s="9">
        <f>IFERROR(__xludf.DUMMYFUNCTION("""COMPUTED_VALUE"""),0.0)</f>
        <v>0</v>
      </c>
      <c r="M116" s="9">
        <f>IFERROR(__xludf.DUMMYFUNCTION("""COMPUTED_VALUE"""),16.0)</f>
        <v>16</v>
      </c>
      <c r="N116" s="9">
        <f>IFERROR(__xludf.DUMMYFUNCTION("""COMPUTED_VALUE"""),13.0)</f>
        <v>13</v>
      </c>
      <c r="O116" s="9">
        <f>IFERROR(__xludf.DUMMYFUNCTION("""COMPUTED_VALUE"""),2.0)</f>
        <v>2</v>
      </c>
      <c r="P116" s="9">
        <f>IFERROR(__xludf.DUMMYFUNCTION("""COMPUTED_VALUE"""),4.0)</f>
        <v>4</v>
      </c>
      <c r="Q116" s="9">
        <f>IFERROR(__xludf.DUMMYFUNCTION("""COMPUTED_VALUE"""),7.0)</f>
        <v>7</v>
      </c>
      <c r="R116" s="9">
        <f>IFERROR(__xludf.DUMMYFUNCTION("""COMPUTED_VALUE"""),3.0)</f>
        <v>3</v>
      </c>
      <c r="S116" s="9">
        <f>IFERROR(__xludf.DUMMYFUNCTION("""COMPUTED_VALUE"""),8.0)</f>
        <v>8</v>
      </c>
      <c r="T116" s="9">
        <f>IFERROR(__xludf.DUMMYFUNCTION("""COMPUTED_VALUE"""),0.0)</f>
        <v>0</v>
      </c>
      <c r="U116" s="9">
        <f>IFERROR(__xludf.DUMMYFUNCTION("""COMPUTED_VALUE"""),0.0)</f>
        <v>0</v>
      </c>
      <c r="V116" s="9">
        <f>IFERROR(__xludf.DUMMYFUNCTION("""COMPUTED_VALUE"""),12.0)</f>
        <v>12</v>
      </c>
      <c r="W116" s="9">
        <f>IFERROR(__xludf.DUMMYFUNCTION("""COMPUTED_VALUE"""),0.0)</f>
        <v>0</v>
      </c>
      <c r="X116" s="9">
        <f>IFERROR(__xludf.DUMMYFUNCTION("""COMPUTED_VALUE"""),7.0)</f>
        <v>7</v>
      </c>
      <c r="Y116" s="9">
        <f>IFERROR(__xludf.DUMMYFUNCTION("""COMPUTED_VALUE"""),15.0)</f>
        <v>15</v>
      </c>
      <c r="Z116" s="9">
        <f>IFERROR(__xludf.DUMMYFUNCTION("""COMPUTED_VALUE"""),0.0)</f>
        <v>0</v>
      </c>
      <c r="AA116" s="9">
        <f>IFERROR(__xludf.DUMMYFUNCTION("""COMPUTED_VALUE"""),2.0)</f>
        <v>2</v>
      </c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</row>
    <row r="117">
      <c r="A117" s="8">
        <f>IFERROR(__xludf.DUMMYFUNCTION("""COMPUTED_VALUE"""),45235.0)</f>
        <v>45235</v>
      </c>
      <c r="B117" s="9">
        <f>IFERROR(__xludf.DUMMYFUNCTION("""COMPUTED_VALUE"""),0.0)</f>
        <v>0</v>
      </c>
      <c r="C117" s="9">
        <f>IFERROR(__xludf.DUMMYFUNCTION("""COMPUTED_VALUE"""),0.0)</f>
        <v>0</v>
      </c>
      <c r="D117" s="9">
        <f>IFERROR(__xludf.DUMMYFUNCTION("""COMPUTED_VALUE"""),0.0)</f>
        <v>0</v>
      </c>
      <c r="E117" s="9">
        <f>IFERROR(__xludf.DUMMYFUNCTION("""COMPUTED_VALUE"""),0.0)</f>
        <v>0</v>
      </c>
      <c r="F117" s="9">
        <f>IFERROR(__xludf.DUMMYFUNCTION("""COMPUTED_VALUE"""),0.0)</f>
        <v>0</v>
      </c>
      <c r="G117" s="9">
        <f>IFERROR(__xludf.DUMMYFUNCTION("""COMPUTED_VALUE"""),0.0)</f>
        <v>0</v>
      </c>
      <c r="H117" s="9"/>
      <c r="I117" s="9">
        <f>IFERROR(__xludf.DUMMYFUNCTION("""COMPUTED_VALUE"""),0.0)</f>
        <v>0</v>
      </c>
      <c r="J117" s="9">
        <f>IFERROR(__xludf.DUMMYFUNCTION("""COMPUTED_VALUE"""),0.0)</f>
        <v>0</v>
      </c>
      <c r="K117" s="9">
        <f>IFERROR(__xludf.DUMMYFUNCTION("""COMPUTED_VALUE"""),0.0)</f>
        <v>0</v>
      </c>
      <c r="L117" s="9">
        <f>IFERROR(__xludf.DUMMYFUNCTION("""COMPUTED_VALUE"""),0.0)</f>
        <v>0</v>
      </c>
      <c r="M117" s="9">
        <f>IFERROR(__xludf.DUMMYFUNCTION("""COMPUTED_VALUE"""),0.0)</f>
        <v>0</v>
      </c>
      <c r="N117" s="9">
        <f>IFERROR(__xludf.DUMMYFUNCTION("""COMPUTED_VALUE"""),0.0)</f>
        <v>0</v>
      </c>
      <c r="O117" s="9">
        <f>IFERROR(__xludf.DUMMYFUNCTION("""COMPUTED_VALUE"""),0.0)</f>
        <v>0</v>
      </c>
      <c r="P117" s="9">
        <f>IFERROR(__xludf.DUMMYFUNCTION("""COMPUTED_VALUE"""),0.0)</f>
        <v>0</v>
      </c>
      <c r="Q117" s="9">
        <f>IFERROR(__xludf.DUMMYFUNCTION("""COMPUTED_VALUE"""),0.0)</f>
        <v>0</v>
      </c>
      <c r="R117" s="9">
        <f>IFERROR(__xludf.DUMMYFUNCTION("""COMPUTED_VALUE"""),0.0)</f>
        <v>0</v>
      </c>
      <c r="S117" s="9">
        <f>IFERROR(__xludf.DUMMYFUNCTION("""COMPUTED_VALUE"""),0.0)</f>
        <v>0</v>
      </c>
      <c r="T117" s="9">
        <f>IFERROR(__xludf.DUMMYFUNCTION("""COMPUTED_VALUE"""),0.0)</f>
        <v>0</v>
      </c>
      <c r="U117" s="9">
        <f>IFERROR(__xludf.DUMMYFUNCTION("""COMPUTED_VALUE"""),0.0)</f>
        <v>0</v>
      </c>
      <c r="V117" s="9">
        <f>IFERROR(__xludf.DUMMYFUNCTION("""COMPUTED_VALUE"""),0.0)</f>
        <v>0</v>
      </c>
      <c r="W117" s="9">
        <f>IFERROR(__xludf.DUMMYFUNCTION("""COMPUTED_VALUE"""),0.0)</f>
        <v>0</v>
      </c>
      <c r="X117" s="9">
        <f>IFERROR(__xludf.DUMMYFUNCTION("""COMPUTED_VALUE"""),0.0)</f>
        <v>0</v>
      </c>
      <c r="Y117" s="9">
        <f>IFERROR(__xludf.DUMMYFUNCTION("""COMPUTED_VALUE"""),0.0)</f>
        <v>0</v>
      </c>
      <c r="Z117" s="9">
        <f>IFERROR(__xludf.DUMMYFUNCTION("""COMPUTED_VALUE"""),0.0)</f>
        <v>0</v>
      </c>
      <c r="AA117" s="9">
        <f>IFERROR(__xludf.DUMMYFUNCTION("""COMPUTED_VALUE"""),0.0)</f>
        <v>0</v>
      </c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</row>
    <row r="118">
      <c r="A118" s="8">
        <f>IFERROR(__xludf.DUMMYFUNCTION("""COMPUTED_VALUE"""),45236.0)</f>
        <v>45236</v>
      </c>
      <c r="B118" s="9">
        <f>IFERROR(__xludf.DUMMYFUNCTION("""COMPUTED_VALUE"""),53.0)</f>
        <v>53</v>
      </c>
      <c r="C118" s="9">
        <f>IFERROR(__xludf.DUMMYFUNCTION("""COMPUTED_VALUE"""),215.0)</f>
        <v>215</v>
      </c>
      <c r="D118" s="9">
        <f>IFERROR(__xludf.DUMMYFUNCTION("""COMPUTED_VALUE"""),4.0)</f>
        <v>4</v>
      </c>
      <c r="E118" s="9">
        <f>IFERROR(__xludf.DUMMYFUNCTION("""COMPUTED_VALUE"""),4054.0)</f>
        <v>4054</v>
      </c>
      <c r="F118" s="9">
        <f>IFERROR(__xludf.DUMMYFUNCTION("""COMPUTED_VALUE"""),76.0)</f>
        <v>76</v>
      </c>
      <c r="G118" s="9">
        <f>IFERROR(__xludf.DUMMYFUNCTION("""COMPUTED_VALUE"""),0.0)</f>
        <v>0</v>
      </c>
      <c r="H118" s="9"/>
      <c r="I118" s="9">
        <f>IFERROR(__xludf.DUMMYFUNCTION("""COMPUTED_VALUE"""),41.0)</f>
        <v>41</v>
      </c>
      <c r="J118" s="9">
        <f>IFERROR(__xludf.DUMMYFUNCTION("""COMPUTED_VALUE"""),3.0)</f>
        <v>3</v>
      </c>
      <c r="K118" s="9">
        <f>IFERROR(__xludf.DUMMYFUNCTION("""COMPUTED_VALUE"""),2.0)</f>
        <v>2</v>
      </c>
      <c r="L118" s="9">
        <f>IFERROR(__xludf.DUMMYFUNCTION("""COMPUTED_VALUE"""),0.0)</f>
        <v>0</v>
      </c>
      <c r="M118" s="9">
        <f>IFERROR(__xludf.DUMMYFUNCTION("""COMPUTED_VALUE"""),46.0)</f>
        <v>46</v>
      </c>
      <c r="N118" s="9">
        <f>IFERROR(__xludf.DUMMYFUNCTION("""COMPUTED_VALUE"""),36.0)</f>
        <v>36</v>
      </c>
      <c r="O118" s="9">
        <f>IFERROR(__xludf.DUMMYFUNCTION("""COMPUTED_VALUE"""),1.0)</f>
        <v>1</v>
      </c>
      <c r="P118" s="9">
        <f>IFERROR(__xludf.DUMMYFUNCTION("""COMPUTED_VALUE"""),16.0)</f>
        <v>16</v>
      </c>
      <c r="Q118" s="9">
        <f>IFERROR(__xludf.DUMMYFUNCTION("""COMPUTED_VALUE"""),19.0)</f>
        <v>19</v>
      </c>
      <c r="R118" s="9">
        <f>IFERROR(__xludf.DUMMYFUNCTION("""COMPUTED_VALUE"""),10.0)</f>
        <v>10</v>
      </c>
      <c r="S118" s="9">
        <f>IFERROR(__xludf.DUMMYFUNCTION("""COMPUTED_VALUE"""),22.0)</f>
        <v>22</v>
      </c>
      <c r="T118" s="9">
        <f>IFERROR(__xludf.DUMMYFUNCTION("""COMPUTED_VALUE"""),2.0)</f>
        <v>2</v>
      </c>
      <c r="U118" s="9">
        <f>IFERROR(__xludf.DUMMYFUNCTION("""COMPUTED_VALUE"""),0.0)</f>
        <v>0</v>
      </c>
      <c r="V118" s="9">
        <f>IFERROR(__xludf.DUMMYFUNCTION("""COMPUTED_VALUE"""),29.0)</f>
        <v>29</v>
      </c>
      <c r="W118" s="9">
        <f>IFERROR(__xludf.DUMMYFUNCTION("""COMPUTED_VALUE"""),1.0)</f>
        <v>1</v>
      </c>
      <c r="X118" s="9">
        <f>IFERROR(__xludf.DUMMYFUNCTION("""COMPUTED_VALUE"""),43.0)</f>
        <v>43</v>
      </c>
      <c r="Y118" s="9">
        <f>IFERROR(__xludf.DUMMYFUNCTION("""COMPUTED_VALUE"""),36.0)</f>
        <v>36</v>
      </c>
      <c r="Z118" s="9">
        <f>IFERROR(__xludf.DUMMYFUNCTION("""COMPUTED_VALUE"""),3.0)</f>
        <v>3</v>
      </c>
      <c r="AA118" s="9">
        <f>IFERROR(__xludf.DUMMYFUNCTION("""COMPUTED_VALUE"""),0.0)</f>
        <v>0</v>
      </c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</row>
    <row r="119">
      <c r="A119" s="8">
        <f>IFERROR(__xludf.DUMMYFUNCTION("""COMPUTED_VALUE"""),45237.0)</f>
        <v>45237</v>
      </c>
      <c r="B119" s="9">
        <f>IFERROR(__xludf.DUMMYFUNCTION("""COMPUTED_VALUE"""),42.0)</f>
        <v>42</v>
      </c>
      <c r="C119" s="9">
        <f>IFERROR(__xludf.DUMMYFUNCTION("""COMPUTED_VALUE"""),168.0)</f>
        <v>168</v>
      </c>
      <c r="D119" s="9">
        <f>IFERROR(__xludf.DUMMYFUNCTION("""COMPUTED_VALUE"""),4.0)</f>
        <v>4</v>
      </c>
      <c r="E119" s="9">
        <f>IFERROR(__xludf.DUMMYFUNCTION("""COMPUTED_VALUE"""),3206.0)</f>
        <v>3206</v>
      </c>
      <c r="F119" s="9">
        <f>IFERROR(__xludf.DUMMYFUNCTION("""COMPUTED_VALUE"""),76.0)</f>
        <v>76</v>
      </c>
      <c r="G119" s="9">
        <f>IFERROR(__xludf.DUMMYFUNCTION("""COMPUTED_VALUE"""),0.0)</f>
        <v>0</v>
      </c>
      <c r="H119" s="9"/>
      <c r="I119" s="9">
        <f>IFERROR(__xludf.DUMMYFUNCTION("""COMPUTED_VALUE"""),29.0)</f>
        <v>29</v>
      </c>
      <c r="J119" s="9">
        <f>IFERROR(__xludf.DUMMYFUNCTION("""COMPUTED_VALUE"""),5.0)</f>
        <v>5</v>
      </c>
      <c r="K119" s="9">
        <f>IFERROR(__xludf.DUMMYFUNCTION("""COMPUTED_VALUE"""),1.0)</f>
        <v>1</v>
      </c>
      <c r="L119" s="9">
        <f>IFERROR(__xludf.DUMMYFUNCTION("""COMPUTED_VALUE"""),0.0)</f>
        <v>0</v>
      </c>
      <c r="M119" s="9">
        <f>IFERROR(__xludf.DUMMYFUNCTION("""COMPUTED_VALUE"""),35.0)</f>
        <v>35</v>
      </c>
      <c r="N119" s="9">
        <f>IFERROR(__xludf.DUMMYFUNCTION("""COMPUTED_VALUE"""),32.0)</f>
        <v>32</v>
      </c>
      <c r="O119" s="9">
        <f>IFERROR(__xludf.DUMMYFUNCTION("""COMPUTED_VALUE"""),2.0)</f>
        <v>2</v>
      </c>
      <c r="P119" s="9">
        <f>IFERROR(__xludf.DUMMYFUNCTION("""COMPUTED_VALUE"""),8.0)</f>
        <v>8</v>
      </c>
      <c r="Q119" s="9">
        <f>IFERROR(__xludf.DUMMYFUNCTION("""COMPUTED_VALUE"""),22.0)</f>
        <v>22</v>
      </c>
      <c r="R119" s="9">
        <f>IFERROR(__xludf.DUMMYFUNCTION("""COMPUTED_VALUE"""),5.0)</f>
        <v>5</v>
      </c>
      <c r="S119" s="9">
        <f>IFERROR(__xludf.DUMMYFUNCTION("""COMPUTED_VALUE"""),16.0)</f>
        <v>16</v>
      </c>
      <c r="T119" s="9">
        <f>IFERROR(__xludf.DUMMYFUNCTION("""COMPUTED_VALUE"""),1.0)</f>
        <v>1</v>
      </c>
      <c r="U119" s="9">
        <f>IFERROR(__xludf.DUMMYFUNCTION("""COMPUTED_VALUE"""),0.0)</f>
        <v>0</v>
      </c>
      <c r="V119" s="9">
        <f>IFERROR(__xludf.DUMMYFUNCTION("""COMPUTED_VALUE"""),29.0)</f>
        <v>29</v>
      </c>
      <c r="W119" s="9">
        <f>IFERROR(__xludf.DUMMYFUNCTION("""COMPUTED_VALUE"""),0.0)</f>
        <v>0</v>
      </c>
      <c r="X119" s="9">
        <f>IFERROR(__xludf.DUMMYFUNCTION("""COMPUTED_VALUE"""),27.0)</f>
        <v>27</v>
      </c>
      <c r="Y119" s="9">
        <f>IFERROR(__xludf.DUMMYFUNCTION("""COMPUTED_VALUE"""),35.0)</f>
        <v>35</v>
      </c>
      <c r="Z119" s="9">
        <f>IFERROR(__xludf.DUMMYFUNCTION("""COMPUTED_VALUE"""),1.0)</f>
        <v>1</v>
      </c>
      <c r="AA119" s="9">
        <f>IFERROR(__xludf.DUMMYFUNCTION("""COMPUTED_VALUE"""),2.0)</f>
        <v>2</v>
      </c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</row>
    <row r="120">
      <c r="A120" s="8">
        <f>IFERROR(__xludf.DUMMYFUNCTION("""COMPUTED_VALUE"""),45238.0)</f>
        <v>45238</v>
      </c>
      <c r="B120" s="9">
        <f>IFERROR(__xludf.DUMMYFUNCTION("""COMPUTED_VALUE"""),47.0)</f>
        <v>47</v>
      </c>
      <c r="C120" s="9">
        <f>IFERROR(__xludf.DUMMYFUNCTION("""COMPUTED_VALUE"""),203.0)</f>
        <v>203</v>
      </c>
      <c r="D120" s="9">
        <f>IFERROR(__xludf.DUMMYFUNCTION("""COMPUTED_VALUE"""),4.0)</f>
        <v>4</v>
      </c>
      <c r="E120" s="9">
        <f>IFERROR(__xludf.DUMMYFUNCTION("""COMPUTED_VALUE"""),4314.0)</f>
        <v>4314</v>
      </c>
      <c r="F120" s="9">
        <f>IFERROR(__xludf.DUMMYFUNCTION("""COMPUTED_VALUE"""),92.0)</f>
        <v>92</v>
      </c>
      <c r="G120" s="9">
        <f>IFERROR(__xludf.DUMMYFUNCTION("""COMPUTED_VALUE"""),0.0)</f>
        <v>0</v>
      </c>
      <c r="H120" s="9"/>
      <c r="I120" s="9">
        <f>IFERROR(__xludf.DUMMYFUNCTION("""COMPUTED_VALUE"""),27.0)</f>
        <v>27</v>
      </c>
      <c r="J120" s="9">
        <f>IFERROR(__xludf.DUMMYFUNCTION("""COMPUTED_VALUE"""),7.0)</f>
        <v>7</v>
      </c>
      <c r="K120" s="9">
        <f>IFERROR(__xludf.DUMMYFUNCTION("""COMPUTED_VALUE"""),2.0)</f>
        <v>2</v>
      </c>
      <c r="L120" s="9">
        <f>IFERROR(__xludf.DUMMYFUNCTION("""COMPUTED_VALUE"""),0.0)</f>
        <v>0</v>
      </c>
      <c r="M120" s="9">
        <f>IFERROR(__xludf.DUMMYFUNCTION("""COMPUTED_VALUE"""),36.0)</f>
        <v>36</v>
      </c>
      <c r="N120" s="9">
        <f>IFERROR(__xludf.DUMMYFUNCTION("""COMPUTED_VALUE"""),33.0)</f>
        <v>33</v>
      </c>
      <c r="O120" s="9">
        <f>IFERROR(__xludf.DUMMYFUNCTION("""COMPUTED_VALUE"""),0.0)</f>
        <v>0</v>
      </c>
      <c r="P120" s="9">
        <f>IFERROR(__xludf.DUMMYFUNCTION("""COMPUTED_VALUE"""),14.0)</f>
        <v>14</v>
      </c>
      <c r="Q120" s="9">
        <f>IFERROR(__xludf.DUMMYFUNCTION("""COMPUTED_VALUE"""),20.0)</f>
        <v>20</v>
      </c>
      <c r="R120" s="9">
        <f>IFERROR(__xludf.DUMMYFUNCTION("""COMPUTED_VALUE"""),9.0)</f>
        <v>9</v>
      </c>
      <c r="S120" s="9">
        <f>IFERROR(__xludf.DUMMYFUNCTION("""COMPUTED_VALUE"""),22.0)</f>
        <v>22</v>
      </c>
      <c r="T120" s="9">
        <f>IFERROR(__xludf.DUMMYFUNCTION("""COMPUTED_VALUE"""),2.0)</f>
        <v>2</v>
      </c>
      <c r="U120" s="9">
        <f>IFERROR(__xludf.DUMMYFUNCTION("""COMPUTED_VALUE"""),0.0)</f>
        <v>0</v>
      </c>
      <c r="V120" s="9">
        <f>IFERROR(__xludf.DUMMYFUNCTION("""COMPUTED_VALUE"""),29.0)</f>
        <v>29</v>
      </c>
      <c r="W120" s="9">
        <f>IFERROR(__xludf.DUMMYFUNCTION("""COMPUTED_VALUE"""),0.0)</f>
        <v>0</v>
      </c>
      <c r="X120" s="9">
        <f>IFERROR(__xludf.DUMMYFUNCTION("""COMPUTED_VALUE"""),48.0)</f>
        <v>48</v>
      </c>
      <c r="Y120" s="9">
        <f>IFERROR(__xludf.DUMMYFUNCTION("""COMPUTED_VALUE"""),34.0)</f>
        <v>34</v>
      </c>
      <c r="Z120" s="9">
        <f>IFERROR(__xludf.DUMMYFUNCTION("""COMPUTED_VALUE"""),2.0)</f>
        <v>2</v>
      </c>
      <c r="AA120" s="9">
        <f>IFERROR(__xludf.DUMMYFUNCTION("""COMPUTED_VALUE"""),0.0)</f>
        <v>0</v>
      </c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</row>
    <row r="121">
      <c r="A121" s="8">
        <f>IFERROR(__xludf.DUMMYFUNCTION("""COMPUTED_VALUE"""),45239.0)</f>
        <v>45239</v>
      </c>
      <c r="B121" s="9">
        <f>IFERROR(__xludf.DUMMYFUNCTION("""COMPUTED_VALUE"""),39.0)</f>
        <v>39</v>
      </c>
      <c r="C121" s="9">
        <f>IFERROR(__xludf.DUMMYFUNCTION("""COMPUTED_VALUE"""),149.0)</f>
        <v>149</v>
      </c>
      <c r="D121" s="9">
        <f>IFERROR(__xludf.DUMMYFUNCTION("""COMPUTED_VALUE"""),4.0)</f>
        <v>4</v>
      </c>
      <c r="E121" s="9">
        <f>IFERROR(__xludf.DUMMYFUNCTION("""COMPUTED_VALUE"""),2458.0)</f>
        <v>2458</v>
      </c>
      <c r="F121" s="9">
        <f>IFERROR(__xludf.DUMMYFUNCTION("""COMPUTED_VALUE"""),63.0)</f>
        <v>63</v>
      </c>
      <c r="G121" s="9">
        <f>IFERROR(__xludf.DUMMYFUNCTION("""COMPUTED_VALUE"""),0.0)</f>
        <v>0</v>
      </c>
      <c r="H121" s="9"/>
      <c r="I121" s="9">
        <f>IFERROR(__xludf.DUMMYFUNCTION("""COMPUTED_VALUE"""),22.0)</f>
        <v>22</v>
      </c>
      <c r="J121" s="9">
        <f>IFERROR(__xludf.DUMMYFUNCTION("""COMPUTED_VALUE"""),7.0)</f>
        <v>7</v>
      </c>
      <c r="K121" s="9">
        <f>IFERROR(__xludf.DUMMYFUNCTION("""COMPUTED_VALUE"""),1.0)</f>
        <v>1</v>
      </c>
      <c r="L121" s="9">
        <f>IFERROR(__xludf.DUMMYFUNCTION("""COMPUTED_VALUE"""),0.0)</f>
        <v>0</v>
      </c>
      <c r="M121" s="9">
        <f>IFERROR(__xludf.DUMMYFUNCTION("""COMPUTED_VALUE"""),30.0)</f>
        <v>30</v>
      </c>
      <c r="N121" s="9">
        <f>IFERROR(__xludf.DUMMYFUNCTION("""COMPUTED_VALUE"""),25.0)</f>
        <v>25</v>
      </c>
      <c r="O121" s="9">
        <f>IFERROR(__xludf.DUMMYFUNCTION("""COMPUTED_VALUE"""),0.0)</f>
        <v>0</v>
      </c>
      <c r="P121" s="9">
        <f>IFERROR(__xludf.DUMMYFUNCTION("""COMPUTED_VALUE"""),14.0)</f>
        <v>14</v>
      </c>
      <c r="Q121" s="9">
        <f>IFERROR(__xludf.DUMMYFUNCTION("""COMPUTED_VALUE"""),12.0)</f>
        <v>12</v>
      </c>
      <c r="R121" s="9">
        <f>IFERROR(__xludf.DUMMYFUNCTION("""COMPUTED_VALUE"""),11.0)</f>
        <v>11</v>
      </c>
      <c r="S121" s="9">
        <f>IFERROR(__xludf.DUMMYFUNCTION("""COMPUTED_VALUE"""),14.0)</f>
        <v>14</v>
      </c>
      <c r="T121" s="9">
        <f>IFERROR(__xludf.DUMMYFUNCTION("""COMPUTED_VALUE"""),1.0)</f>
        <v>1</v>
      </c>
      <c r="U121" s="9">
        <f>IFERROR(__xludf.DUMMYFUNCTION("""COMPUTED_VALUE"""),0.0)</f>
        <v>0</v>
      </c>
      <c r="V121" s="9">
        <f>IFERROR(__xludf.DUMMYFUNCTION("""COMPUTED_VALUE"""),23.0)</f>
        <v>23</v>
      </c>
      <c r="W121" s="9">
        <f>IFERROR(__xludf.DUMMYFUNCTION("""COMPUTED_VALUE"""),1.0)</f>
        <v>1</v>
      </c>
      <c r="X121" s="9">
        <f>IFERROR(__xludf.DUMMYFUNCTION("""COMPUTED_VALUE"""),22.0)</f>
        <v>22</v>
      </c>
      <c r="Y121" s="9">
        <f>IFERROR(__xludf.DUMMYFUNCTION("""COMPUTED_VALUE"""),26.0)</f>
        <v>26</v>
      </c>
      <c r="Z121" s="9">
        <f>IFERROR(__xludf.DUMMYFUNCTION("""COMPUTED_VALUE"""),2.0)</f>
        <v>2</v>
      </c>
      <c r="AA121" s="9">
        <f>IFERROR(__xludf.DUMMYFUNCTION("""COMPUTED_VALUE"""),0.0)</f>
        <v>0</v>
      </c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</row>
    <row r="122">
      <c r="A122" s="8">
        <f>IFERROR(__xludf.DUMMYFUNCTION("""COMPUTED_VALUE"""),45240.0)</f>
        <v>45240</v>
      </c>
      <c r="B122" s="9">
        <f>IFERROR(__xludf.DUMMYFUNCTION("""COMPUTED_VALUE"""),32.0)</f>
        <v>32</v>
      </c>
      <c r="C122" s="9">
        <f>IFERROR(__xludf.DUMMYFUNCTION("""COMPUTED_VALUE"""),139.0)</f>
        <v>139</v>
      </c>
      <c r="D122" s="9">
        <f>IFERROR(__xludf.DUMMYFUNCTION("""COMPUTED_VALUE"""),4.0)</f>
        <v>4</v>
      </c>
      <c r="E122" s="9">
        <f>IFERROR(__xludf.DUMMYFUNCTION("""COMPUTED_VALUE"""),2636.0)</f>
        <v>2636</v>
      </c>
      <c r="F122" s="9">
        <f>IFERROR(__xludf.DUMMYFUNCTION("""COMPUTED_VALUE"""),82.0)</f>
        <v>82</v>
      </c>
      <c r="G122" s="9">
        <f>IFERROR(__xludf.DUMMYFUNCTION("""COMPUTED_VALUE"""),0.0)</f>
        <v>0</v>
      </c>
      <c r="H122" s="9"/>
      <c r="I122" s="9">
        <f>IFERROR(__xludf.DUMMYFUNCTION("""COMPUTED_VALUE"""),24.0)</f>
        <v>24</v>
      </c>
      <c r="J122" s="9">
        <f>IFERROR(__xludf.DUMMYFUNCTION("""COMPUTED_VALUE"""),4.0)</f>
        <v>4</v>
      </c>
      <c r="K122" s="9">
        <f>IFERROR(__xludf.DUMMYFUNCTION("""COMPUTED_VALUE"""),0.0)</f>
        <v>0</v>
      </c>
      <c r="L122" s="9">
        <f>IFERROR(__xludf.DUMMYFUNCTION("""COMPUTED_VALUE"""),0.0)</f>
        <v>0</v>
      </c>
      <c r="M122" s="9">
        <f>IFERROR(__xludf.DUMMYFUNCTION("""COMPUTED_VALUE"""),28.0)</f>
        <v>28</v>
      </c>
      <c r="N122" s="9">
        <f>IFERROR(__xludf.DUMMYFUNCTION("""COMPUTED_VALUE"""),28.0)</f>
        <v>28</v>
      </c>
      <c r="O122" s="9">
        <f>IFERROR(__xludf.DUMMYFUNCTION("""COMPUTED_VALUE"""),0.0)</f>
        <v>0</v>
      </c>
      <c r="P122" s="9">
        <f>IFERROR(__xludf.DUMMYFUNCTION("""COMPUTED_VALUE"""),4.0)</f>
        <v>4</v>
      </c>
      <c r="Q122" s="9">
        <f>IFERROR(__xludf.DUMMYFUNCTION("""COMPUTED_VALUE"""),17.0)</f>
        <v>17</v>
      </c>
      <c r="R122" s="9">
        <f>IFERROR(__xludf.DUMMYFUNCTION("""COMPUTED_VALUE"""),2.0)</f>
        <v>2</v>
      </c>
      <c r="S122" s="9">
        <f>IFERROR(__xludf.DUMMYFUNCTION("""COMPUTED_VALUE"""),22.0)</f>
        <v>22</v>
      </c>
      <c r="T122" s="9">
        <f>IFERROR(__xludf.DUMMYFUNCTION("""COMPUTED_VALUE"""),0.0)</f>
        <v>0</v>
      </c>
      <c r="U122" s="9">
        <f>IFERROR(__xludf.DUMMYFUNCTION("""COMPUTED_VALUE"""),0.0)</f>
        <v>0</v>
      </c>
      <c r="V122" s="9">
        <f>IFERROR(__xludf.DUMMYFUNCTION("""COMPUTED_VALUE"""),19.0)</f>
        <v>19</v>
      </c>
      <c r="W122" s="9">
        <f>IFERROR(__xludf.DUMMYFUNCTION("""COMPUTED_VALUE"""),0.0)</f>
        <v>0</v>
      </c>
      <c r="X122" s="9">
        <f>IFERROR(__xludf.DUMMYFUNCTION("""COMPUTED_VALUE"""),27.0)</f>
        <v>27</v>
      </c>
      <c r="Y122" s="9">
        <f>IFERROR(__xludf.DUMMYFUNCTION("""COMPUTED_VALUE"""),22.0)</f>
        <v>22</v>
      </c>
      <c r="Z122" s="9">
        <f>IFERROR(__xludf.DUMMYFUNCTION("""COMPUTED_VALUE"""),0.0)</f>
        <v>0</v>
      </c>
      <c r="AA122" s="9">
        <f>IFERROR(__xludf.DUMMYFUNCTION("""COMPUTED_VALUE"""),0.0)</f>
        <v>0</v>
      </c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</row>
    <row r="123">
      <c r="A123" s="8">
        <f>IFERROR(__xludf.DUMMYFUNCTION("""COMPUTED_VALUE"""),45241.0)</f>
        <v>45241</v>
      </c>
      <c r="B123" s="9">
        <f>IFERROR(__xludf.DUMMYFUNCTION("""COMPUTED_VALUE"""),0.0)</f>
        <v>0</v>
      </c>
      <c r="C123" s="9">
        <f>IFERROR(__xludf.DUMMYFUNCTION("""COMPUTED_VALUE"""),0.0)</f>
        <v>0</v>
      </c>
      <c r="D123" s="9">
        <f>IFERROR(__xludf.DUMMYFUNCTION("""COMPUTED_VALUE"""),0.0)</f>
        <v>0</v>
      </c>
      <c r="E123" s="9">
        <f>IFERROR(__xludf.DUMMYFUNCTION("""COMPUTED_VALUE"""),0.0)</f>
        <v>0</v>
      </c>
      <c r="F123" s="9">
        <f>IFERROR(__xludf.DUMMYFUNCTION("""COMPUTED_VALUE"""),0.0)</f>
        <v>0</v>
      </c>
      <c r="G123" s="9">
        <f>IFERROR(__xludf.DUMMYFUNCTION("""COMPUTED_VALUE"""),0.0)</f>
        <v>0</v>
      </c>
      <c r="H123" s="9"/>
      <c r="I123" s="9">
        <f>IFERROR(__xludf.DUMMYFUNCTION("""COMPUTED_VALUE"""),0.0)</f>
        <v>0</v>
      </c>
      <c r="J123" s="9">
        <f>IFERROR(__xludf.DUMMYFUNCTION("""COMPUTED_VALUE"""),0.0)</f>
        <v>0</v>
      </c>
      <c r="K123" s="9">
        <f>IFERROR(__xludf.DUMMYFUNCTION("""COMPUTED_VALUE"""),0.0)</f>
        <v>0</v>
      </c>
      <c r="L123" s="9">
        <f>IFERROR(__xludf.DUMMYFUNCTION("""COMPUTED_VALUE"""),0.0)</f>
        <v>0</v>
      </c>
      <c r="M123" s="9">
        <f>IFERROR(__xludf.DUMMYFUNCTION("""COMPUTED_VALUE"""),0.0)</f>
        <v>0</v>
      </c>
      <c r="N123" s="9">
        <f>IFERROR(__xludf.DUMMYFUNCTION("""COMPUTED_VALUE"""),0.0)</f>
        <v>0</v>
      </c>
      <c r="O123" s="9">
        <f>IFERROR(__xludf.DUMMYFUNCTION("""COMPUTED_VALUE"""),0.0)</f>
        <v>0</v>
      </c>
      <c r="P123" s="9">
        <f>IFERROR(__xludf.DUMMYFUNCTION("""COMPUTED_VALUE"""),0.0)</f>
        <v>0</v>
      </c>
      <c r="Q123" s="9">
        <f>IFERROR(__xludf.DUMMYFUNCTION("""COMPUTED_VALUE"""),0.0)</f>
        <v>0</v>
      </c>
      <c r="R123" s="9">
        <f>IFERROR(__xludf.DUMMYFUNCTION("""COMPUTED_VALUE"""),0.0)</f>
        <v>0</v>
      </c>
      <c r="S123" s="9">
        <f>IFERROR(__xludf.DUMMYFUNCTION("""COMPUTED_VALUE"""),0.0)</f>
        <v>0</v>
      </c>
      <c r="T123" s="9">
        <f>IFERROR(__xludf.DUMMYFUNCTION("""COMPUTED_VALUE"""),0.0)</f>
        <v>0</v>
      </c>
      <c r="U123" s="9">
        <f>IFERROR(__xludf.DUMMYFUNCTION("""COMPUTED_VALUE"""),0.0)</f>
        <v>0</v>
      </c>
      <c r="V123" s="9">
        <f>IFERROR(__xludf.DUMMYFUNCTION("""COMPUTED_VALUE"""),0.0)</f>
        <v>0</v>
      </c>
      <c r="W123" s="9">
        <f>IFERROR(__xludf.DUMMYFUNCTION("""COMPUTED_VALUE"""),0.0)</f>
        <v>0</v>
      </c>
      <c r="X123" s="9">
        <f>IFERROR(__xludf.DUMMYFUNCTION("""COMPUTED_VALUE"""),0.0)</f>
        <v>0</v>
      </c>
      <c r="Y123" s="9">
        <f>IFERROR(__xludf.DUMMYFUNCTION("""COMPUTED_VALUE"""),0.0)</f>
        <v>0</v>
      </c>
      <c r="Z123" s="9">
        <f>IFERROR(__xludf.DUMMYFUNCTION("""COMPUTED_VALUE"""),0.0)</f>
        <v>0</v>
      </c>
      <c r="AA123" s="9">
        <f>IFERROR(__xludf.DUMMYFUNCTION("""COMPUTED_VALUE"""),0.0)</f>
        <v>0</v>
      </c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</row>
    <row r="124">
      <c r="A124" s="8">
        <f>IFERROR(__xludf.DUMMYFUNCTION("""COMPUTED_VALUE"""),45242.0)</f>
        <v>45242</v>
      </c>
      <c r="B124" s="9">
        <f>IFERROR(__xludf.DUMMYFUNCTION("""COMPUTED_VALUE"""),0.0)</f>
        <v>0</v>
      </c>
      <c r="C124" s="9">
        <f>IFERROR(__xludf.DUMMYFUNCTION("""COMPUTED_VALUE"""),0.0)</f>
        <v>0</v>
      </c>
      <c r="D124" s="9">
        <f>IFERROR(__xludf.DUMMYFUNCTION("""COMPUTED_VALUE"""),0.0)</f>
        <v>0</v>
      </c>
      <c r="E124" s="9">
        <f>IFERROR(__xludf.DUMMYFUNCTION("""COMPUTED_VALUE"""),0.0)</f>
        <v>0</v>
      </c>
      <c r="F124" s="9">
        <f>IFERROR(__xludf.DUMMYFUNCTION("""COMPUTED_VALUE"""),0.0)</f>
        <v>0</v>
      </c>
      <c r="G124" s="9">
        <f>IFERROR(__xludf.DUMMYFUNCTION("""COMPUTED_VALUE"""),0.0)</f>
        <v>0</v>
      </c>
      <c r="H124" s="9"/>
      <c r="I124" s="9">
        <f>IFERROR(__xludf.DUMMYFUNCTION("""COMPUTED_VALUE"""),0.0)</f>
        <v>0</v>
      </c>
      <c r="J124" s="9">
        <f>IFERROR(__xludf.DUMMYFUNCTION("""COMPUTED_VALUE"""),0.0)</f>
        <v>0</v>
      </c>
      <c r="K124" s="9">
        <f>IFERROR(__xludf.DUMMYFUNCTION("""COMPUTED_VALUE"""),0.0)</f>
        <v>0</v>
      </c>
      <c r="L124" s="9">
        <f>IFERROR(__xludf.DUMMYFUNCTION("""COMPUTED_VALUE"""),0.0)</f>
        <v>0</v>
      </c>
      <c r="M124" s="9">
        <f>IFERROR(__xludf.DUMMYFUNCTION("""COMPUTED_VALUE"""),0.0)</f>
        <v>0</v>
      </c>
      <c r="N124" s="9">
        <f>IFERROR(__xludf.DUMMYFUNCTION("""COMPUTED_VALUE"""),0.0)</f>
        <v>0</v>
      </c>
      <c r="O124" s="9">
        <f>IFERROR(__xludf.DUMMYFUNCTION("""COMPUTED_VALUE"""),0.0)</f>
        <v>0</v>
      </c>
      <c r="P124" s="9">
        <f>IFERROR(__xludf.DUMMYFUNCTION("""COMPUTED_VALUE"""),0.0)</f>
        <v>0</v>
      </c>
      <c r="Q124" s="9">
        <f>IFERROR(__xludf.DUMMYFUNCTION("""COMPUTED_VALUE"""),0.0)</f>
        <v>0</v>
      </c>
      <c r="R124" s="9">
        <f>IFERROR(__xludf.DUMMYFUNCTION("""COMPUTED_VALUE"""),0.0)</f>
        <v>0</v>
      </c>
      <c r="S124" s="9">
        <f>IFERROR(__xludf.DUMMYFUNCTION("""COMPUTED_VALUE"""),0.0)</f>
        <v>0</v>
      </c>
      <c r="T124" s="9">
        <f>IFERROR(__xludf.DUMMYFUNCTION("""COMPUTED_VALUE"""),0.0)</f>
        <v>0</v>
      </c>
      <c r="U124" s="9">
        <f>IFERROR(__xludf.DUMMYFUNCTION("""COMPUTED_VALUE"""),0.0)</f>
        <v>0</v>
      </c>
      <c r="V124" s="9">
        <f>IFERROR(__xludf.DUMMYFUNCTION("""COMPUTED_VALUE"""),0.0)</f>
        <v>0</v>
      </c>
      <c r="W124" s="9">
        <f>IFERROR(__xludf.DUMMYFUNCTION("""COMPUTED_VALUE"""),0.0)</f>
        <v>0</v>
      </c>
      <c r="X124" s="9">
        <f>IFERROR(__xludf.DUMMYFUNCTION("""COMPUTED_VALUE"""),0.0)</f>
        <v>0</v>
      </c>
      <c r="Y124" s="9">
        <f>IFERROR(__xludf.DUMMYFUNCTION("""COMPUTED_VALUE"""),0.0)</f>
        <v>0</v>
      </c>
      <c r="Z124" s="9">
        <f>IFERROR(__xludf.DUMMYFUNCTION("""COMPUTED_VALUE"""),0.0)</f>
        <v>0</v>
      </c>
      <c r="AA124" s="9">
        <f>IFERROR(__xludf.DUMMYFUNCTION("""COMPUTED_VALUE"""),0.0)</f>
        <v>0</v>
      </c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</row>
    <row r="125">
      <c r="A125" s="8">
        <f>IFERROR(__xludf.DUMMYFUNCTION("""COMPUTED_VALUE"""),45243.0)</f>
        <v>45243</v>
      </c>
      <c r="B125" s="9">
        <f>IFERROR(__xludf.DUMMYFUNCTION("""COMPUTED_VALUE"""),43.0)</f>
        <v>43</v>
      </c>
      <c r="C125" s="9">
        <f>IFERROR(__xludf.DUMMYFUNCTION("""COMPUTED_VALUE"""),148.0)</f>
        <v>148</v>
      </c>
      <c r="D125" s="9">
        <f>IFERROR(__xludf.DUMMYFUNCTION("""COMPUTED_VALUE"""),3.0)</f>
        <v>3</v>
      </c>
      <c r="E125" s="9">
        <f>IFERROR(__xludf.DUMMYFUNCTION("""COMPUTED_VALUE"""),2613.0)</f>
        <v>2613</v>
      </c>
      <c r="F125" s="9">
        <f>IFERROR(__xludf.DUMMYFUNCTION("""COMPUTED_VALUE"""),61.0)</f>
        <v>61</v>
      </c>
      <c r="G125" s="9">
        <f>IFERROR(__xludf.DUMMYFUNCTION("""COMPUTED_VALUE"""),0.0)</f>
        <v>0</v>
      </c>
      <c r="H125" s="9"/>
      <c r="I125" s="9">
        <f>IFERROR(__xludf.DUMMYFUNCTION("""COMPUTED_VALUE"""),32.0)</f>
        <v>32</v>
      </c>
      <c r="J125" s="9">
        <f>IFERROR(__xludf.DUMMYFUNCTION("""COMPUTED_VALUE"""),4.0)</f>
        <v>4</v>
      </c>
      <c r="K125" s="9">
        <f>IFERROR(__xludf.DUMMYFUNCTION("""COMPUTED_VALUE"""),1.0)</f>
        <v>1</v>
      </c>
      <c r="L125" s="9">
        <f>IFERROR(__xludf.DUMMYFUNCTION("""COMPUTED_VALUE"""),0.0)</f>
        <v>0</v>
      </c>
      <c r="M125" s="9">
        <f>IFERROR(__xludf.DUMMYFUNCTION("""COMPUTED_VALUE"""),37.0)</f>
        <v>37</v>
      </c>
      <c r="N125" s="9">
        <f>IFERROR(__xludf.DUMMYFUNCTION("""COMPUTED_VALUE"""),36.0)</f>
        <v>36</v>
      </c>
      <c r="O125" s="9">
        <f>IFERROR(__xludf.DUMMYFUNCTION("""COMPUTED_VALUE"""),0.0)</f>
        <v>0</v>
      </c>
      <c r="P125" s="9">
        <f>IFERROR(__xludf.DUMMYFUNCTION("""COMPUTED_VALUE"""),7.0)</f>
        <v>7</v>
      </c>
      <c r="Q125" s="9">
        <f>IFERROR(__xludf.DUMMYFUNCTION("""COMPUTED_VALUE"""),19.0)</f>
        <v>19</v>
      </c>
      <c r="R125" s="9">
        <f>IFERROR(__xludf.DUMMYFUNCTION("""COMPUTED_VALUE"""),3.0)</f>
        <v>3</v>
      </c>
      <c r="S125" s="9">
        <f>IFERROR(__xludf.DUMMYFUNCTION("""COMPUTED_VALUE"""),13.0)</f>
        <v>13</v>
      </c>
      <c r="T125" s="9">
        <f>IFERROR(__xludf.DUMMYFUNCTION("""COMPUTED_VALUE"""),2.0)</f>
        <v>2</v>
      </c>
      <c r="U125" s="9">
        <f>IFERROR(__xludf.DUMMYFUNCTION("""COMPUTED_VALUE"""),0.0)</f>
        <v>0</v>
      </c>
      <c r="V125" s="9">
        <f>IFERROR(__xludf.DUMMYFUNCTION("""COMPUTED_VALUE"""),22.0)</f>
        <v>22</v>
      </c>
      <c r="W125" s="9">
        <f>IFERROR(__xludf.DUMMYFUNCTION("""COMPUTED_VALUE"""),1.0)</f>
        <v>1</v>
      </c>
      <c r="X125" s="9">
        <f>IFERROR(__xludf.DUMMYFUNCTION("""COMPUTED_VALUE"""),18.0)</f>
        <v>18</v>
      </c>
      <c r="Y125" s="9">
        <f>IFERROR(__xludf.DUMMYFUNCTION("""COMPUTED_VALUE"""),29.0)</f>
        <v>29</v>
      </c>
      <c r="Z125" s="9">
        <f>IFERROR(__xludf.DUMMYFUNCTION("""COMPUTED_VALUE"""),3.0)</f>
        <v>3</v>
      </c>
      <c r="AA125" s="9">
        <f>IFERROR(__xludf.DUMMYFUNCTION("""COMPUTED_VALUE"""),0.0)</f>
        <v>0</v>
      </c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</row>
    <row r="126">
      <c r="A126" s="8">
        <f>IFERROR(__xludf.DUMMYFUNCTION("""COMPUTED_VALUE"""),45244.0)</f>
        <v>45244</v>
      </c>
      <c r="B126" s="9">
        <f>IFERROR(__xludf.DUMMYFUNCTION("""COMPUTED_VALUE"""),41.0)</f>
        <v>41</v>
      </c>
      <c r="C126" s="9">
        <f>IFERROR(__xludf.DUMMYFUNCTION("""COMPUTED_VALUE"""),157.0)</f>
        <v>157</v>
      </c>
      <c r="D126" s="9">
        <f>IFERROR(__xludf.DUMMYFUNCTION("""COMPUTED_VALUE"""),4.0)</f>
        <v>4</v>
      </c>
      <c r="E126" s="9">
        <f>IFERROR(__xludf.DUMMYFUNCTION("""COMPUTED_VALUE"""),2834.0)</f>
        <v>2834</v>
      </c>
      <c r="F126" s="9">
        <f>IFERROR(__xludf.DUMMYFUNCTION("""COMPUTED_VALUE"""),69.0)</f>
        <v>69</v>
      </c>
      <c r="G126" s="9">
        <f>IFERROR(__xludf.DUMMYFUNCTION("""COMPUTED_VALUE"""),0.0)</f>
        <v>0</v>
      </c>
      <c r="H126" s="9"/>
      <c r="I126" s="9">
        <f>IFERROR(__xludf.DUMMYFUNCTION("""COMPUTED_VALUE"""),28.0)</f>
        <v>28</v>
      </c>
      <c r="J126" s="9">
        <f>IFERROR(__xludf.DUMMYFUNCTION("""COMPUTED_VALUE"""),3.0)</f>
        <v>3</v>
      </c>
      <c r="K126" s="9">
        <f>IFERROR(__xludf.DUMMYFUNCTION("""COMPUTED_VALUE"""),0.0)</f>
        <v>0</v>
      </c>
      <c r="L126" s="9">
        <f>IFERROR(__xludf.DUMMYFUNCTION("""COMPUTED_VALUE"""),1.0)</f>
        <v>1</v>
      </c>
      <c r="M126" s="9">
        <f>IFERROR(__xludf.DUMMYFUNCTION("""COMPUTED_VALUE"""),32.0)</f>
        <v>32</v>
      </c>
      <c r="N126" s="9">
        <f>IFERROR(__xludf.DUMMYFUNCTION("""COMPUTED_VALUE"""),23.0)</f>
        <v>23</v>
      </c>
      <c r="O126" s="9">
        <f>IFERROR(__xludf.DUMMYFUNCTION("""COMPUTED_VALUE"""),8.0)</f>
        <v>8</v>
      </c>
      <c r="P126" s="9">
        <f>IFERROR(__xludf.DUMMYFUNCTION("""COMPUTED_VALUE"""),10.0)</f>
        <v>10</v>
      </c>
      <c r="Q126" s="9">
        <f>IFERROR(__xludf.DUMMYFUNCTION("""COMPUTED_VALUE"""),13.0)</f>
        <v>13</v>
      </c>
      <c r="R126" s="9">
        <f>IFERROR(__xludf.DUMMYFUNCTION("""COMPUTED_VALUE"""),6.0)</f>
        <v>6</v>
      </c>
      <c r="S126" s="9">
        <f>IFERROR(__xludf.DUMMYFUNCTION("""COMPUTED_VALUE"""),15.0)</f>
        <v>15</v>
      </c>
      <c r="T126" s="9">
        <f>IFERROR(__xludf.DUMMYFUNCTION("""COMPUTED_VALUE"""),1.0)</f>
        <v>1</v>
      </c>
      <c r="U126" s="9">
        <f>IFERROR(__xludf.DUMMYFUNCTION("""COMPUTED_VALUE"""),0.0)</f>
        <v>0</v>
      </c>
      <c r="V126" s="9">
        <f>IFERROR(__xludf.DUMMYFUNCTION("""COMPUTED_VALUE"""),27.0)</f>
        <v>27</v>
      </c>
      <c r="W126" s="9">
        <f>IFERROR(__xludf.DUMMYFUNCTION("""COMPUTED_VALUE"""),0.0)</f>
        <v>0</v>
      </c>
      <c r="X126" s="9">
        <f>IFERROR(__xludf.DUMMYFUNCTION("""COMPUTED_VALUE"""),21.0)</f>
        <v>21</v>
      </c>
      <c r="Y126" s="9">
        <f>IFERROR(__xludf.DUMMYFUNCTION("""COMPUTED_VALUE"""),31.0)</f>
        <v>31</v>
      </c>
      <c r="Z126" s="9">
        <f>IFERROR(__xludf.DUMMYFUNCTION("""COMPUTED_VALUE"""),1.0)</f>
        <v>1</v>
      </c>
      <c r="AA126" s="9">
        <f>IFERROR(__xludf.DUMMYFUNCTION("""COMPUTED_VALUE"""),8.0)</f>
        <v>8</v>
      </c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</row>
    <row r="127">
      <c r="A127" s="8">
        <f>IFERROR(__xludf.DUMMYFUNCTION("""COMPUTED_VALUE"""),45245.0)</f>
        <v>45245</v>
      </c>
      <c r="B127" s="9">
        <f>IFERROR(__xludf.DUMMYFUNCTION("""COMPUTED_VALUE"""),34.0)</f>
        <v>34</v>
      </c>
      <c r="C127" s="9">
        <f>IFERROR(__xludf.DUMMYFUNCTION("""COMPUTED_VALUE"""),114.0)</f>
        <v>114</v>
      </c>
      <c r="D127" s="9">
        <f>IFERROR(__xludf.DUMMYFUNCTION("""COMPUTED_VALUE"""),3.0)</f>
        <v>3</v>
      </c>
      <c r="E127" s="9">
        <f>IFERROR(__xludf.DUMMYFUNCTION("""COMPUTED_VALUE"""),1894.0)</f>
        <v>1894</v>
      </c>
      <c r="F127" s="9">
        <f>IFERROR(__xludf.DUMMYFUNCTION("""COMPUTED_VALUE"""),56.0)</f>
        <v>56</v>
      </c>
      <c r="G127" s="9">
        <f>IFERROR(__xludf.DUMMYFUNCTION("""COMPUTED_VALUE"""),0.0)</f>
        <v>0</v>
      </c>
      <c r="H127" s="9"/>
      <c r="I127" s="9">
        <f>IFERROR(__xludf.DUMMYFUNCTION("""COMPUTED_VALUE"""),20.0)</f>
        <v>20</v>
      </c>
      <c r="J127" s="9">
        <f>IFERROR(__xludf.DUMMYFUNCTION("""COMPUTED_VALUE"""),4.0)</f>
        <v>4</v>
      </c>
      <c r="K127" s="9">
        <f>IFERROR(__xludf.DUMMYFUNCTION("""COMPUTED_VALUE"""),2.0)</f>
        <v>2</v>
      </c>
      <c r="L127" s="9">
        <f>IFERROR(__xludf.DUMMYFUNCTION("""COMPUTED_VALUE"""),0.0)</f>
        <v>0</v>
      </c>
      <c r="M127" s="9">
        <f>IFERROR(__xludf.DUMMYFUNCTION("""COMPUTED_VALUE"""),26.0)</f>
        <v>26</v>
      </c>
      <c r="N127" s="9">
        <f>IFERROR(__xludf.DUMMYFUNCTION("""COMPUTED_VALUE"""),25.0)</f>
        <v>25</v>
      </c>
      <c r="O127" s="9">
        <f>IFERROR(__xludf.DUMMYFUNCTION("""COMPUTED_VALUE"""),3.0)</f>
        <v>3</v>
      </c>
      <c r="P127" s="9">
        <f>IFERROR(__xludf.DUMMYFUNCTION("""COMPUTED_VALUE"""),6.0)</f>
        <v>6</v>
      </c>
      <c r="Q127" s="9">
        <f>IFERROR(__xludf.DUMMYFUNCTION("""COMPUTED_VALUE"""),19.0)</f>
        <v>19</v>
      </c>
      <c r="R127" s="9">
        <f>IFERROR(__xludf.DUMMYFUNCTION("""COMPUTED_VALUE"""),2.0)</f>
        <v>2</v>
      </c>
      <c r="S127" s="9">
        <f>IFERROR(__xludf.DUMMYFUNCTION("""COMPUTED_VALUE"""),11.0)</f>
        <v>11</v>
      </c>
      <c r="T127" s="9">
        <f>IFERROR(__xludf.DUMMYFUNCTION("""COMPUTED_VALUE"""),0.0)</f>
        <v>0</v>
      </c>
      <c r="U127" s="9">
        <f>IFERROR(__xludf.DUMMYFUNCTION("""COMPUTED_VALUE"""),0.0)</f>
        <v>0</v>
      </c>
      <c r="V127" s="9">
        <f>IFERROR(__xludf.DUMMYFUNCTION("""COMPUTED_VALUE"""),24.0)</f>
        <v>24</v>
      </c>
      <c r="W127" s="9">
        <f>IFERROR(__xludf.DUMMYFUNCTION("""COMPUTED_VALUE"""),0.0)</f>
        <v>0</v>
      </c>
      <c r="X127" s="9">
        <f>IFERROR(__xludf.DUMMYFUNCTION("""COMPUTED_VALUE"""),7.0)</f>
        <v>7</v>
      </c>
      <c r="Y127" s="9">
        <f>IFERROR(__xludf.DUMMYFUNCTION("""COMPUTED_VALUE"""),26.0)</f>
        <v>26</v>
      </c>
      <c r="Z127" s="9">
        <f>IFERROR(__xludf.DUMMYFUNCTION("""COMPUTED_VALUE"""),0.0)</f>
        <v>0</v>
      </c>
      <c r="AA127" s="9">
        <f>IFERROR(__xludf.DUMMYFUNCTION("""COMPUTED_VALUE"""),3.0)</f>
        <v>3</v>
      </c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</row>
    <row r="128">
      <c r="A128" s="8">
        <f>IFERROR(__xludf.DUMMYFUNCTION("""COMPUTED_VALUE"""),45246.0)</f>
        <v>45246</v>
      </c>
      <c r="B128" s="9">
        <f>IFERROR(__xludf.DUMMYFUNCTION("""COMPUTED_VALUE"""),51.0)</f>
        <v>51</v>
      </c>
      <c r="C128" s="9">
        <f>IFERROR(__xludf.DUMMYFUNCTION("""COMPUTED_VALUE"""),205.0)</f>
        <v>205</v>
      </c>
      <c r="D128" s="9">
        <f>IFERROR(__xludf.DUMMYFUNCTION("""COMPUTED_VALUE"""),4.0)</f>
        <v>4</v>
      </c>
      <c r="E128" s="9">
        <f>IFERROR(__xludf.DUMMYFUNCTION("""COMPUTED_VALUE"""),3211.0)</f>
        <v>3211</v>
      </c>
      <c r="F128" s="9">
        <f>IFERROR(__xludf.DUMMYFUNCTION("""COMPUTED_VALUE"""),63.0)</f>
        <v>63</v>
      </c>
      <c r="G128" s="9">
        <f>IFERROR(__xludf.DUMMYFUNCTION("""COMPUTED_VALUE"""),0.0)</f>
        <v>0</v>
      </c>
      <c r="H128" s="9"/>
      <c r="I128" s="9">
        <f>IFERROR(__xludf.DUMMYFUNCTION("""COMPUTED_VALUE"""),32.0)</f>
        <v>32</v>
      </c>
      <c r="J128" s="9">
        <f>IFERROR(__xludf.DUMMYFUNCTION("""COMPUTED_VALUE"""),6.0)</f>
        <v>6</v>
      </c>
      <c r="K128" s="9">
        <f>IFERROR(__xludf.DUMMYFUNCTION("""COMPUTED_VALUE"""),1.0)</f>
        <v>1</v>
      </c>
      <c r="L128" s="9">
        <f>IFERROR(__xludf.DUMMYFUNCTION("""COMPUTED_VALUE"""),1.0)</f>
        <v>1</v>
      </c>
      <c r="M128" s="9">
        <f>IFERROR(__xludf.DUMMYFUNCTION("""COMPUTED_VALUE"""),40.0)</f>
        <v>40</v>
      </c>
      <c r="N128" s="9">
        <f>IFERROR(__xludf.DUMMYFUNCTION("""COMPUTED_VALUE"""),35.0)</f>
        <v>35</v>
      </c>
      <c r="O128" s="9">
        <f>IFERROR(__xludf.DUMMYFUNCTION("""COMPUTED_VALUE"""),1.0)</f>
        <v>1</v>
      </c>
      <c r="P128" s="9">
        <f>IFERROR(__xludf.DUMMYFUNCTION("""COMPUTED_VALUE"""),14.0)</f>
        <v>14</v>
      </c>
      <c r="Q128" s="9">
        <f>IFERROR(__xludf.DUMMYFUNCTION("""COMPUTED_VALUE"""),17.0)</f>
        <v>17</v>
      </c>
      <c r="R128" s="9">
        <f>IFERROR(__xludf.DUMMYFUNCTION("""COMPUTED_VALUE"""),10.0)</f>
        <v>10</v>
      </c>
      <c r="S128" s="9">
        <f>IFERROR(__xludf.DUMMYFUNCTION("""COMPUTED_VALUE"""),24.0)</f>
        <v>24</v>
      </c>
      <c r="T128" s="9">
        <f>IFERROR(__xludf.DUMMYFUNCTION("""COMPUTED_VALUE"""),2.0)</f>
        <v>2</v>
      </c>
      <c r="U128" s="9">
        <f>IFERROR(__xludf.DUMMYFUNCTION("""COMPUTED_VALUE"""),0.0)</f>
        <v>0</v>
      </c>
      <c r="V128" s="9">
        <f>IFERROR(__xludf.DUMMYFUNCTION("""COMPUTED_VALUE"""),27.0)</f>
        <v>27</v>
      </c>
      <c r="W128" s="9">
        <f>IFERROR(__xludf.DUMMYFUNCTION("""COMPUTED_VALUE"""),0.0)</f>
        <v>0</v>
      </c>
      <c r="X128" s="9">
        <f>IFERROR(__xludf.DUMMYFUNCTION("""COMPUTED_VALUE"""),21.0)</f>
        <v>21</v>
      </c>
      <c r="Y128" s="9">
        <f>IFERROR(__xludf.DUMMYFUNCTION("""COMPUTED_VALUE"""),31.0)</f>
        <v>31</v>
      </c>
      <c r="Z128" s="9">
        <f>IFERROR(__xludf.DUMMYFUNCTION("""COMPUTED_VALUE"""),2.0)</f>
        <v>2</v>
      </c>
      <c r="AA128" s="9">
        <f>IFERROR(__xludf.DUMMYFUNCTION("""COMPUTED_VALUE"""),0.0)</f>
        <v>0</v>
      </c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</row>
    <row r="129">
      <c r="A129" s="8">
        <f>IFERROR(__xludf.DUMMYFUNCTION("""COMPUTED_VALUE"""),45247.0)</f>
        <v>45247</v>
      </c>
      <c r="B129" s="9">
        <f>IFERROR(__xludf.DUMMYFUNCTION("""COMPUTED_VALUE"""),44.0)</f>
        <v>44</v>
      </c>
      <c r="C129" s="9">
        <f>IFERROR(__xludf.DUMMYFUNCTION("""COMPUTED_VALUE"""),175.0)</f>
        <v>175</v>
      </c>
      <c r="D129" s="9">
        <f>IFERROR(__xludf.DUMMYFUNCTION("""COMPUTED_VALUE"""),4.0)</f>
        <v>4</v>
      </c>
      <c r="E129" s="9">
        <f>IFERROR(__xludf.DUMMYFUNCTION("""COMPUTED_VALUE"""),2887.0)</f>
        <v>2887</v>
      </c>
      <c r="F129" s="9">
        <f>IFERROR(__xludf.DUMMYFUNCTION("""COMPUTED_VALUE"""),66.0)</f>
        <v>66</v>
      </c>
      <c r="G129" s="9">
        <f>IFERROR(__xludf.DUMMYFUNCTION("""COMPUTED_VALUE"""),0.0)</f>
        <v>0</v>
      </c>
      <c r="H129" s="9"/>
      <c r="I129" s="9">
        <f>IFERROR(__xludf.DUMMYFUNCTION("""COMPUTED_VALUE"""),28.0)</f>
        <v>28</v>
      </c>
      <c r="J129" s="9">
        <f>IFERROR(__xludf.DUMMYFUNCTION("""COMPUTED_VALUE"""),5.0)</f>
        <v>5</v>
      </c>
      <c r="K129" s="9">
        <f>IFERROR(__xludf.DUMMYFUNCTION("""COMPUTED_VALUE"""),2.0)</f>
        <v>2</v>
      </c>
      <c r="L129" s="9">
        <f>IFERROR(__xludf.DUMMYFUNCTION("""COMPUTED_VALUE"""),0.0)</f>
        <v>0</v>
      </c>
      <c r="M129" s="9">
        <f>IFERROR(__xludf.DUMMYFUNCTION("""COMPUTED_VALUE"""),35.0)</f>
        <v>35</v>
      </c>
      <c r="N129" s="9">
        <f>IFERROR(__xludf.DUMMYFUNCTION("""COMPUTED_VALUE"""),37.0)</f>
        <v>37</v>
      </c>
      <c r="O129" s="9">
        <f>IFERROR(__xludf.DUMMYFUNCTION("""COMPUTED_VALUE"""),0.0)</f>
        <v>0</v>
      </c>
      <c r="P129" s="9">
        <f>IFERROR(__xludf.DUMMYFUNCTION("""COMPUTED_VALUE"""),7.0)</f>
        <v>7</v>
      </c>
      <c r="Q129" s="9">
        <f>IFERROR(__xludf.DUMMYFUNCTION("""COMPUTED_VALUE"""),28.0)</f>
        <v>28</v>
      </c>
      <c r="R129" s="9">
        <f>IFERROR(__xludf.DUMMYFUNCTION("""COMPUTED_VALUE"""),7.0)</f>
        <v>7</v>
      </c>
      <c r="S129" s="9">
        <f>IFERROR(__xludf.DUMMYFUNCTION("""COMPUTED_VALUE"""),19.0)</f>
        <v>19</v>
      </c>
      <c r="T129" s="9">
        <f>IFERROR(__xludf.DUMMYFUNCTION("""COMPUTED_VALUE"""),0.0)</f>
        <v>0</v>
      </c>
      <c r="U129" s="9">
        <f>IFERROR(__xludf.DUMMYFUNCTION("""COMPUTED_VALUE"""),0.0)</f>
        <v>0</v>
      </c>
      <c r="V129" s="9">
        <f>IFERROR(__xludf.DUMMYFUNCTION("""COMPUTED_VALUE"""),35.0)</f>
        <v>35</v>
      </c>
      <c r="W129" s="9">
        <f>IFERROR(__xludf.DUMMYFUNCTION("""COMPUTED_VALUE"""),0.0)</f>
        <v>0</v>
      </c>
      <c r="X129" s="9">
        <f>IFERROR(__xludf.DUMMYFUNCTION("""COMPUTED_VALUE"""),17.0)</f>
        <v>17</v>
      </c>
      <c r="Y129" s="9">
        <f>IFERROR(__xludf.DUMMYFUNCTION("""COMPUTED_VALUE"""),35.0)</f>
        <v>35</v>
      </c>
      <c r="Z129" s="9">
        <f>IFERROR(__xludf.DUMMYFUNCTION("""COMPUTED_VALUE"""),0.0)</f>
        <v>0</v>
      </c>
      <c r="AA129" s="9">
        <f>IFERROR(__xludf.DUMMYFUNCTION("""COMPUTED_VALUE"""),0.0)</f>
        <v>0</v>
      </c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</row>
    <row r="130">
      <c r="A130" s="8">
        <f>IFERROR(__xludf.DUMMYFUNCTION("""COMPUTED_VALUE"""),45248.0)</f>
        <v>45248</v>
      </c>
      <c r="B130" s="9">
        <f>IFERROR(__xludf.DUMMYFUNCTION("""COMPUTED_VALUE"""),31.0)</f>
        <v>31</v>
      </c>
      <c r="C130" s="9">
        <f>IFERROR(__xludf.DUMMYFUNCTION("""COMPUTED_VALUE"""),105.0)</f>
        <v>105</v>
      </c>
      <c r="D130" s="9">
        <f>IFERROR(__xludf.DUMMYFUNCTION("""COMPUTED_VALUE"""),3.0)</f>
        <v>3</v>
      </c>
      <c r="E130" s="9">
        <f>IFERROR(__xludf.DUMMYFUNCTION("""COMPUTED_VALUE"""),1835.0)</f>
        <v>1835</v>
      </c>
      <c r="F130" s="9">
        <f>IFERROR(__xludf.DUMMYFUNCTION("""COMPUTED_VALUE"""),59.0)</f>
        <v>59</v>
      </c>
      <c r="G130" s="9">
        <f>IFERROR(__xludf.DUMMYFUNCTION("""COMPUTED_VALUE"""),0.0)</f>
        <v>0</v>
      </c>
      <c r="H130" s="9"/>
      <c r="I130" s="9">
        <f>IFERROR(__xludf.DUMMYFUNCTION("""COMPUTED_VALUE"""),20.0)</f>
        <v>20</v>
      </c>
      <c r="J130" s="9">
        <f>IFERROR(__xludf.DUMMYFUNCTION("""COMPUTED_VALUE"""),4.0)</f>
        <v>4</v>
      </c>
      <c r="K130" s="9">
        <f>IFERROR(__xludf.DUMMYFUNCTION("""COMPUTED_VALUE"""),1.0)</f>
        <v>1</v>
      </c>
      <c r="L130" s="9">
        <f>IFERROR(__xludf.DUMMYFUNCTION("""COMPUTED_VALUE"""),0.0)</f>
        <v>0</v>
      </c>
      <c r="M130" s="9">
        <f>IFERROR(__xludf.DUMMYFUNCTION("""COMPUTED_VALUE"""),25.0)</f>
        <v>25</v>
      </c>
      <c r="N130" s="9">
        <f>IFERROR(__xludf.DUMMYFUNCTION("""COMPUTED_VALUE"""),23.0)</f>
        <v>23</v>
      </c>
      <c r="O130" s="9">
        <f>IFERROR(__xludf.DUMMYFUNCTION("""COMPUTED_VALUE"""),3.0)</f>
        <v>3</v>
      </c>
      <c r="P130" s="9">
        <f>IFERROR(__xludf.DUMMYFUNCTION("""COMPUTED_VALUE"""),4.0)</f>
        <v>4</v>
      </c>
      <c r="Q130" s="9">
        <f>IFERROR(__xludf.DUMMYFUNCTION("""COMPUTED_VALUE"""),12.0)</f>
        <v>12</v>
      </c>
      <c r="R130" s="9">
        <f>IFERROR(__xludf.DUMMYFUNCTION("""COMPUTED_VALUE"""),4.0)</f>
        <v>4</v>
      </c>
      <c r="S130" s="9">
        <f>IFERROR(__xludf.DUMMYFUNCTION("""COMPUTED_VALUE"""),10.0)</f>
        <v>10</v>
      </c>
      <c r="T130" s="9">
        <f>IFERROR(__xludf.DUMMYFUNCTION("""COMPUTED_VALUE"""),1.0)</f>
        <v>1</v>
      </c>
      <c r="U130" s="9">
        <f>IFERROR(__xludf.DUMMYFUNCTION("""COMPUTED_VALUE"""),0.0)</f>
        <v>0</v>
      </c>
      <c r="V130" s="9">
        <f>IFERROR(__xludf.DUMMYFUNCTION("""COMPUTED_VALUE"""),17.0)</f>
        <v>17</v>
      </c>
      <c r="W130" s="9">
        <f>IFERROR(__xludf.DUMMYFUNCTION("""COMPUTED_VALUE"""),0.0)</f>
        <v>0</v>
      </c>
      <c r="X130" s="9">
        <f>IFERROR(__xludf.DUMMYFUNCTION("""COMPUTED_VALUE"""),12.0)</f>
        <v>12</v>
      </c>
      <c r="Y130" s="9">
        <f>IFERROR(__xludf.DUMMYFUNCTION("""COMPUTED_VALUE"""),18.0)</f>
        <v>18</v>
      </c>
      <c r="Z130" s="9">
        <f>IFERROR(__xludf.DUMMYFUNCTION("""COMPUTED_VALUE"""),1.0)</f>
        <v>1</v>
      </c>
      <c r="AA130" s="9">
        <f>IFERROR(__xludf.DUMMYFUNCTION("""COMPUTED_VALUE"""),1.0)</f>
        <v>1</v>
      </c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</row>
    <row r="131">
      <c r="A131" s="8">
        <f>IFERROR(__xludf.DUMMYFUNCTION("""COMPUTED_VALUE"""),45249.0)</f>
        <v>45249</v>
      </c>
      <c r="B131" s="9">
        <f>IFERROR(__xludf.DUMMYFUNCTION("""COMPUTED_VALUE"""),0.0)</f>
        <v>0</v>
      </c>
      <c r="C131" s="9">
        <f>IFERROR(__xludf.DUMMYFUNCTION("""COMPUTED_VALUE"""),0.0)</f>
        <v>0</v>
      </c>
      <c r="D131" s="9">
        <f>IFERROR(__xludf.DUMMYFUNCTION("""COMPUTED_VALUE"""),0.0)</f>
        <v>0</v>
      </c>
      <c r="E131" s="9">
        <f>IFERROR(__xludf.DUMMYFUNCTION("""COMPUTED_VALUE"""),0.0)</f>
        <v>0</v>
      </c>
      <c r="F131" s="9">
        <f>IFERROR(__xludf.DUMMYFUNCTION("""COMPUTED_VALUE"""),0.0)</f>
        <v>0</v>
      </c>
      <c r="G131" s="9">
        <f>IFERROR(__xludf.DUMMYFUNCTION("""COMPUTED_VALUE"""),0.0)</f>
        <v>0</v>
      </c>
      <c r="H131" s="9"/>
      <c r="I131" s="9">
        <f>IFERROR(__xludf.DUMMYFUNCTION("""COMPUTED_VALUE"""),0.0)</f>
        <v>0</v>
      </c>
      <c r="J131" s="9">
        <f>IFERROR(__xludf.DUMMYFUNCTION("""COMPUTED_VALUE"""),0.0)</f>
        <v>0</v>
      </c>
      <c r="K131" s="9">
        <f>IFERROR(__xludf.DUMMYFUNCTION("""COMPUTED_VALUE"""),0.0)</f>
        <v>0</v>
      </c>
      <c r="L131" s="9">
        <f>IFERROR(__xludf.DUMMYFUNCTION("""COMPUTED_VALUE"""),0.0)</f>
        <v>0</v>
      </c>
      <c r="M131" s="9">
        <f>IFERROR(__xludf.DUMMYFUNCTION("""COMPUTED_VALUE"""),0.0)</f>
        <v>0</v>
      </c>
      <c r="N131" s="9">
        <f>IFERROR(__xludf.DUMMYFUNCTION("""COMPUTED_VALUE"""),0.0)</f>
        <v>0</v>
      </c>
      <c r="O131" s="9">
        <f>IFERROR(__xludf.DUMMYFUNCTION("""COMPUTED_VALUE"""),0.0)</f>
        <v>0</v>
      </c>
      <c r="P131" s="9">
        <f>IFERROR(__xludf.DUMMYFUNCTION("""COMPUTED_VALUE"""),0.0)</f>
        <v>0</v>
      </c>
      <c r="Q131" s="9">
        <f>IFERROR(__xludf.DUMMYFUNCTION("""COMPUTED_VALUE"""),0.0)</f>
        <v>0</v>
      </c>
      <c r="R131" s="9">
        <f>IFERROR(__xludf.DUMMYFUNCTION("""COMPUTED_VALUE"""),0.0)</f>
        <v>0</v>
      </c>
      <c r="S131" s="9">
        <f>IFERROR(__xludf.DUMMYFUNCTION("""COMPUTED_VALUE"""),0.0)</f>
        <v>0</v>
      </c>
      <c r="T131" s="9">
        <f>IFERROR(__xludf.DUMMYFUNCTION("""COMPUTED_VALUE"""),0.0)</f>
        <v>0</v>
      </c>
      <c r="U131" s="9">
        <f>IFERROR(__xludf.DUMMYFUNCTION("""COMPUTED_VALUE"""),0.0)</f>
        <v>0</v>
      </c>
      <c r="V131" s="9">
        <f>IFERROR(__xludf.DUMMYFUNCTION("""COMPUTED_VALUE"""),0.0)</f>
        <v>0</v>
      </c>
      <c r="W131" s="9">
        <f>IFERROR(__xludf.DUMMYFUNCTION("""COMPUTED_VALUE"""),0.0)</f>
        <v>0</v>
      </c>
      <c r="X131" s="9">
        <f>IFERROR(__xludf.DUMMYFUNCTION("""COMPUTED_VALUE"""),0.0)</f>
        <v>0</v>
      </c>
      <c r="Y131" s="9">
        <f>IFERROR(__xludf.DUMMYFUNCTION("""COMPUTED_VALUE"""),0.0)</f>
        <v>0</v>
      </c>
      <c r="Z131" s="9">
        <f>IFERROR(__xludf.DUMMYFUNCTION("""COMPUTED_VALUE"""),0.0)</f>
        <v>0</v>
      </c>
      <c r="AA131" s="9">
        <f>IFERROR(__xludf.DUMMYFUNCTION("""COMPUTED_VALUE"""),0.0)</f>
        <v>0</v>
      </c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</row>
    <row r="132">
      <c r="A132" s="8">
        <f>IFERROR(__xludf.DUMMYFUNCTION("""COMPUTED_VALUE"""),45250.0)</f>
        <v>45250</v>
      </c>
      <c r="B132" s="9">
        <f>IFERROR(__xludf.DUMMYFUNCTION("""COMPUTED_VALUE"""),63.0)</f>
        <v>63</v>
      </c>
      <c r="C132" s="9">
        <f>IFERROR(__xludf.DUMMYFUNCTION("""COMPUTED_VALUE"""),270.0)</f>
        <v>270</v>
      </c>
      <c r="D132" s="9">
        <f>IFERROR(__xludf.DUMMYFUNCTION("""COMPUTED_VALUE"""),4.0)</f>
        <v>4</v>
      </c>
      <c r="E132" s="9">
        <f>IFERROR(__xludf.DUMMYFUNCTION("""COMPUTED_VALUE"""),4927.0)</f>
        <v>4927</v>
      </c>
      <c r="F132" s="9">
        <f>IFERROR(__xludf.DUMMYFUNCTION("""COMPUTED_VALUE"""),78.0)</f>
        <v>78</v>
      </c>
      <c r="G132" s="9">
        <f>IFERROR(__xludf.DUMMYFUNCTION("""COMPUTED_VALUE"""),0.0)</f>
        <v>0</v>
      </c>
      <c r="H132" s="9"/>
      <c r="I132" s="9">
        <f>IFERROR(__xludf.DUMMYFUNCTION("""COMPUTED_VALUE"""),37.0)</f>
        <v>37</v>
      </c>
      <c r="J132" s="9">
        <f>IFERROR(__xludf.DUMMYFUNCTION("""COMPUTED_VALUE"""),8.0)</f>
        <v>8</v>
      </c>
      <c r="K132" s="9">
        <f>IFERROR(__xludf.DUMMYFUNCTION("""COMPUTED_VALUE"""),1.0)</f>
        <v>1</v>
      </c>
      <c r="L132" s="9">
        <f>IFERROR(__xludf.DUMMYFUNCTION("""COMPUTED_VALUE"""),1.0)</f>
        <v>1</v>
      </c>
      <c r="M132" s="9">
        <f>IFERROR(__xludf.DUMMYFUNCTION("""COMPUTED_VALUE"""),47.0)</f>
        <v>47</v>
      </c>
      <c r="N132" s="9">
        <f>IFERROR(__xludf.DUMMYFUNCTION("""COMPUTED_VALUE"""),45.0)</f>
        <v>45</v>
      </c>
      <c r="O132" s="9">
        <f>IFERROR(__xludf.DUMMYFUNCTION("""COMPUTED_VALUE"""),8.0)</f>
        <v>8</v>
      </c>
      <c r="P132" s="9">
        <f>IFERROR(__xludf.DUMMYFUNCTION("""COMPUTED_VALUE"""),9.0)</f>
        <v>9</v>
      </c>
      <c r="Q132" s="9">
        <f>IFERROR(__xludf.DUMMYFUNCTION("""COMPUTED_VALUE"""),26.0)</f>
        <v>26</v>
      </c>
      <c r="R132" s="9">
        <f>IFERROR(__xludf.DUMMYFUNCTION("""COMPUTED_VALUE"""),6.0)</f>
        <v>6</v>
      </c>
      <c r="S132" s="9">
        <f>IFERROR(__xludf.DUMMYFUNCTION("""COMPUTED_VALUE"""),40.0)</f>
        <v>40</v>
      </c>
      <c r="T132" s="9">
        <f>IFERROR(__xludf.DUMMYFUNCTION("""COMPUTED_VALUE"""),1.0)</f>
        <v>1</v>
      </c>
      <c r="U132" s="9">
        <f>IFERROR(__xludf.DUMMYFUNCTION("""COMPUTED_VALUE"""),0.0)</f>
        <v>0</v>
      </c>
      <c r="V132" s="9">
        <f>IFERROR(__xludf.DUMMYFUNCTION("""COMPUTED_VALUE"""),36.0)</f>
        <v>36</v>
      </c>
      <c r="W132" s="9">
        <f>IFERROR(__xludf.DUMMYFUNCTION("""COMPUTED_VALUE"""),2.0)</f>
        <v>2</v>
      </c>
      <c r="X132" s="9">
        <f>IFERROR(__xludf.DUMMYFUNCTION("""COMPUTED_VALUE"""),44.0)</f>
        <v>44</v>
      </c>
      <c r="Y132" s="9">
        <f>IFERROR(__xludf.DUMMYFUNCTION("""COMPUTED_VALUE"""),42.0)</f>
        <v>42</v>
      </c>
      <c r="Z132" s="9">
        <f>IFERROR(__xludf.DUMMYFUNCTION("""COMPUTED_VALUE"""),3.0)</f>
        <v>3</v>
      </c>
      <c r="AA132" s="9">
        <f>IFERROR(__xludf.DUMMYFUNCTION("""COMPUTED_VALUE"""),4.0)</f>
        <v>4</v>
      </c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</row>
    <row r="133">
      <c r="A133" s="8">
        <f>IFERROR(__xludf.DUMMYFUNCTION("""COMPUTED_VALUE"""),45251.0)</f>
        <v>45251</v>
      </c>
      <c r="B133" s="9">
        <f>IFERROR(__xludf.DUMMYFUNCTION("""COMPUTED_VALUE"""),63.0)</f>
        <v>63</v>
      </c>
      <c r="C133" s="9">
        <f>IFERROR(__xludf.DUMMYFUNCTION("""COMPUTED_VALUE"""),245.0)</f>
        <v>245</v>
      </c>
      <c r="D133" s="9">
        <f>IFERROR(__xludf.DUMMYFUNCTION("""COMPUTED_VALUE"""),4.0)</f>
        <v>4</v>
      </c>
      <c r="E133" s="9">
        <f>IFERROR(__xludf.DUMMYFUNCTION("""COMPUTED_VALUE"""),4657.0)</f>
        <v>4657</v>
      </c>
      <c r="F133" s="9">
        <f>IFERROR(__xludf.DUMMYFUNCTION("""COMPUTED_VALUE"""),74.0)</f>
        <v>74</v>
      </c>
      <c r="G133" s="9">
        <f>IFERROR(__xludf.DUMMYFUNCTION("""COMPUTED_VALUE"""),0.0)</f>
        <v>0</v>
      </c>
      <c r="H133" s="9"/>
      <c r="I133" s="9">
        <f>IFERROR(__xludf.DUMMYFUNCTION("""COMPUTED_VALUE"""),45.0)</f>
        <v>45</v>
      </c>
      <c r="J133" s="9">
        <f>IFERROR(__xludf.DUMMYFUNCTION("""COMPUTED_VALUE"""),6.0)</f>
        <v>6</v>
      </c>
      <c r="K133" s="9">
        <f>IFERROR(__xludf.DUMMYFUNCTION("""COMPUTED_VALUE"""),2.0)</f>
        <v>2</v>
      </c>
      <c r="L133" s="9">
        <f>IFERROR(__xludf.DUMMYFUNCTION("""COMPUTED_VALUE"""),0.0)</f>
        <v>0</v>
      </c>
      <c r="M133" s="9">
        <f>IFERROR(__xludf.DUMMYFUNCTION("""COMPUTED_VALUE"""),53.0)</f>
        <v>53</v>
      </c>
      <c r="N133" s="9">
        <f>IFERROR(__xludf.DUMMYFUNCTION("""COMPUTED_VALUE"""),55.0)</f>
        <v>55</v>
      </c>
      <c r="O133" s="9">
        <f>IFERROR(__xludf.DUMMYFUNCTION("""COMPUTED_VALUE"""),0.0)</f>
        <v>0</v>
      </c>
      <c r="P133" s="9">
        <f>IFERROR(__xludf.DUMMYFUNCTION("""COMPUTED_VALUE"""),8.0)</f>
        <v>8</v>
      </c>
      <c r="Q133" s="9">
        <f>IFERROR(__xludf.DUMMYFUNCTION("""COMPUTED_VALUE"""),29.0)</f>
        <v>29</v>
      </c>
      <c r="R133" s="9">
        <f>IFERROR(__xludf.DUMMYFUNCTION("""COMPUTED_VALUE"""),3.0)</f>
        <v>3</v>
      </c>
      <c r="S133" s="9">
        <f>IFERROR(__xludf.DUMMYFUNCTION("""COMPUTED_VALUE"""),20.0)</f>
        <v>20</v>
      </c>
      <c r="T133" s="9">
        <f>IFERROR(__xludf.DUMMYFUNCTION("""COMPUTED_VALUE"""),4.0)</f>
        <v>4</v>
      </c>
      <c r="U133" s="9">
        <f>IFERROR(__xludf.DUMMYFUNCTION("""COMPUTED_VALUE"""),0.0)</f>
        <v>0</v>
      </c>
      <c r="V133" s="9">
        <f>IFERROR(__xludf.DUMMYFUNCTION("""COMPUTED_VALUE"""),32.0)</f>
        <v>32</v>
      </c>
      <c r="W133" s="9">
        <f>IFERROR(__xludf.DUMMYFUNCTION("""COMPUTED_VALUE"""),1.0)</f>
        <v>1</v>
      </c>
      <c r="X133" s="9">
        <f>IFERROR(__xludf.DUMMYFUNCTION("""COMPUTED_VALUE"""),44.0)</f>
        <v>44</v>
      </c>
      <c r="Y133" s="9">
        <f>IFERROR(__xludf.DUMMYFUNCTION("""COMPUTED_VALUE"""),44.0)</f>
        <v>44</v>
      </c>
      <c r="Z133" s="9">
        <f>IFERROR(__xludf.DUMMYFUNCTION("""COMPUTED_VALUE"""),5.0)</f>
        <v>5</v>
      </c>
      <c r="AA133" s="9">
        <f>IFERROR(__xludf.DUMMYFUNCTION("""COMPUTED_VALUE"""),0.0)</f>
        <v>0</v>
      </c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</row>
    <row r="134">
      <c r="A134" s="8">
        <f>IFERROR(__xludf.DUMMYFUNCTION("""COMPUTED_VALUE"""),45252.0)</f>
        <v>45252</v>
      </c>
      <c r="B134" s="9">
        <f>IFERROR(__xludf.DUMMYFUNCTION("""COMPUTED_VALUE"""),70.0)</f>
        <v>70</v>
      </c>
      <c r="C134" s="9">
        <f>IFERROR(__xludf.DUMMYFUNCTION("""COMPUTED_VALUE"""),282.0)</f>
        <v>282</v>
      </c>
      <c r="D134" s="9">
        <f>IFERROR(__xludf.DUMMYFUNCTION("""COMPUTED_VALUE"""),4.0)</f>
        <v>4</v>
      </c>
      <c r="E134" s="9">
        <f>IFERROR(__xludf.DUMMYFUNCTION("""COMPUTED_VALUE"""),5439.0)</f>
        <v>5439</v>
      </c>
      <c r="F134" s="9">
        <f>IFERROR(__xludf.DUMMYFUNCTION("""COMPUTED_VALUE"""),78.0)</f>
        <v>78</v>
      </c>
      <c r="G134" s="9">
        <f>IFERROR(__xludf.DUMMYFUNCTION("""COMPUTED_VALUE"""),0.0)</f>
        <v>0</v>
      </c>
      <c r="H134" s="9"/>
      <c r="I134" s="9">
        <f>IFERROR(__xludf.DUMMYFUNCTION("""COMPUTED_VALUE"""),48.0)</f>
        <v>48</v>
      </c>
      <c r="J134" s="9">
        <f>IFERROR(__xludf.DUMMYFUNCTION("""COMPUTED_VALUE"""),8.0)</f>
        <v>8</v>
      </c>
      <c r="K134" s="9">
        <f>IFERROR(__xludf.DUMMYFUNCTION("""COMPUTED_VALUE"""),2.0)</f>
        <v>2</v>
      </c>
      <c r="L134" s="9">
        <f>IFERROR(__xludf.DUMMYFUNCTION("""COMPUTED_VALUE"""),0.0)</f>
        <v>0</v>
      </c>
      <c r="M134" s="9">
        <f>IFERROR(__xludf.DUMMYFUNCTION("""COMPUTED_VALUE"""),58.0)</f>
        <v>58</v>
      </c>
      <c r="N134" s="9">
        <f>IFERROR(__xludf.DUMMYFUNCTION("""COMPUTED_VALUE"""),52.0)</f>
        <v>52</v>
      </c>
      <c r="O134" s="9">
        <f>IFERROR(__xludf.DUMMYFUNCTION("""COMPUTED_VALUE"""),3.0)</f>
        <v>3</v>
      </c>
      <c r="P134" s="9">
        <f>IFERROR(__xludf.DUMMYFUNCTION("""COMPUTED_VALUE"""),15.0)</f>
        <v>15</v>
      </c>
      <c r="Q134" s="9">
        <f>IFERROR(__xludf.DUMMYFUNCTION("""COMPUTED_VALUE"""),32.0)</f>
        <v>32</v>
      </c>
      <c r="R134" s="9">
        <f>IFERROR(__xludf.DUMMYFUNCTION("""COMPUTED_VALUE"""),9.0)</f>
        <v>9</v>
      </c>
      <c r="S134" s="9">
        <f>IFERROR(__xludf.DUMMYFUNCTION("""COMPUTED_VALUE"""),46.0)</f>
        <v>46</v>
      </c>
      <c r="T134" s="9">
        <f>IFERROR(__xludf.DUMMYFUNCTION("""COMPUTED_VALUE"""),5.0)</f>
        <v>5</v>
      </c>
      <c r="U134" s="9">
        <f>IFERROR(__xludf.DUMMYFUNCTION("""COMPUTED_VALUE"""),0.0)</f>
        <v>0</v>
      </c>
      <c r="V134" s="9">
        <f>IFERROR(__xludf.DUMMYFUNCTION("""COMPUTED_VALUE"""),43.0)</f>
        <v>43</v>
      </c>
      <c r="W134" s="9">
        <f>IFERROR(__xludf.DUMMYFUNCTION("""COMPUTED_VALUE"""),0.0)</f>
        <v>0</v>
      </c>
      <c r="X134" s="9">
        <f>IFERROR(__xludf.DUMMYFUNCTION("""COMPUTED_VALUE"""),36.0)</f>
        <v>36</v>
      </c>
      <c r="Y134" s="9">
        <f>IFERROR(__xludf.DUMMYFUNCTION("""COMPUTED_VALUE"""),54.0)</f>
        <v>54</v>
      </c>
      <c r="Z134" s="9">
        <f>IFERROR(__xludf.DUMMYFUNCTION("""COMPUTED_VALUE"""),5.0)</f>
        <v>5</v>
      </c>
      <c r="AA134" s="9">
        <f>IFERROR(__xludf.DUMMYFUNCTION("""COMPUTED_VALUE"""),2.0)</f>
        <v>2</v>
      </c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</row>
    <row r="135">
      <c r="A135" s="8">
        <f>IFERROR(__xludf.DUMMYFUNCTION("""COMPUTED_VALUE"""),45253.0)</f>
        <v>45253</v>
      </c>
      <c r="B135" s="9">
        <f>IFERROR(__xludf.DUMMYFUNCTION("""COMPUTED_VALUE"""),76.0)</f>
        <v>76</v>
      </c>
      <c r="C135" s="9">
        <f>IFERROR(__xludf.DUMMYFUNCTION("""COMPUTED_VALUE"""),300.0)</f>
        <v>300</v>
      </c>
      <c r="D135" s="9">
        <f>IFERROR(__xludf.DUMMYFUNCTION("""COMPUTED_VALUE"""),4.0)</f>
        <v>4</v>
      </c>
      <c r="E135" s="9">
        <f>IFERROR(__xludf.DUMMYFUNCTION("""COMPUTED_VALUE"""),5416.0)</f>
        <v>5416</v>
      </c>
      <c r="F135" s="9">
        <f>IFERROR(__xludf.DUMMYFUNCTION("""COMPUTED_VALUE"""),71.0)</f>
        <v>71</v>
      </c>
      <c r="G135" s="9">
        <f>IFERROR(__xludf.DUMMYFUNCTION("""COMPUTED_VALUE"""),0.0)</f>
        <v>0</v>
      </c>
      <c r="H135" s="9"/>
      <c r="I135" s="9">
        <f>IFERROR(__xludf.DUMMYFUNCTION("""COMPUTED_VALUE"""),45.0)</f>
        <v>45</v>
      </c>
      <c r="J135" s="9">
        <f>IFERROR(__xludf.DUMMYFUNCTION("""COMPUTED_VALUE"""),8.0)</f>
        <v>8</v>
      </c>
      <c r="K135" s="9">
        <f>IFERROR(__xludf.DUMMYFUNCTION("""COMPUTED_VALUE"""),2.0)</f>
        <v>2</v>
      </c>
      <c r="L135" s="9">
        <f>IFERROR(__xludf.DUMMYFUNCTION("""COMPUTED_VALUE"""),1.0)</f>
        <v>1</v>
      </c>
      <c r="M135" s="9">
        <f>IFERROR(__xludf.DUMMYFUNCTION("""COMPUTED_VALUE"""),57.0)</f>
        <v>57</v>
      </c>
      <c r="N135" s="9">
        <f>IFERROR(__xludf.DUMMYFUNCTION("""COMPUTED_VALUE"""),57.0)</f>
        <v>57</v>
      </c>
      <c r="O135" s="9">
        <f>IFERROR(__xludf.DUMMYFUNCTION("""COMPUTED_VALUE"""),4.0)</f>
        <v>4</v>
      </c>
      <c r="P135" s="9">
        <f>IFERROR(__xludf.DUMMYFUNCTION("""COMPUTED_VALUE"""),14.0)</f>
        <v>14</v>
      </c>
      <c r="Q135" s="9">
        <f>IFERROR(__xludf.DUMMYFUNCTION("""COMPUTED_VALUE"""),29.0)</f>
        <v>29</v>
      </c>
      <c r="R135" s="9">
        <f>IFERROR(__xludf.DUMMYFUNCTION("""COMPUTED_VALUE"""),8.0)</f>
        <v>8</v>
      </c>
      <c r="S135" s="9">
        <f>IFERROR(__xludf.DUMMYFUNCTION("""COMPUTED_VALUE"""),29.0)</f>
        <v>29</v>
      </c>
      <c r="T135" s="9">
        <f>IFERROR(__xludf.DUMMYFUNCTION("""COMPUTED_VALUE"""),4.0)</f>
        <v>4</v>
      </c>
      <c r="U135" s="9">
        <f>IFERROR(__xludf.DUMMYFUNCTION("""COMPUTED_VALUE"""),0.0)</f>
        <v>0</v>
      </c>
      <c r="V135" s="9">
        <f>IFERROR(__xludf.DUMMYFUNCTION("""COMPUTED_VALUE"""),40.0)</f>
        <v>40</v>
      </c>
      <c r="W135" s="9">
        <f>IFERROR(__xludf.DUMMYFUNCTION("""COMPUTED_VALUE"""),1.0)</f>
        <v>1</v>
      </c>
      <c r="X135" s="9">
        <f>IFERROR(__xludf.DUMMYFUNCTION("""COMPUTED_VALUE"""),53.0)</f>
        <v>53</v>
      </c>
      <c r="Y135" s="9">
        <f>IFERROR(__xludf.DUMMYFUNCTION("""COMPUTED_VALUE"""),49.0)</f>
        <v>49</v>
      </c>
      <c r="Z135" s="9">
        <f>IFERROR(__xludf.DUMMYFUNCTION("""COMPUTED_VALUE"""),5.0)</f>
        <v>5</v>
      </c>
      <c r="AA135" s="9">
        <f>IFERROR(__xludf.DUMMYFUNCTION("""COMPUTED_VALUE"""),3.0)</f>
        <v>3</v>
      </c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</row>
    <row r="136">
      <c r="A136" s="8">
        <f>IFERROR(__xludf.DUMMYFUNCTION("""COMPUTED_VALUE"""),45254.0)</f>
        <v>45254</v>
      </c>
      <c r="B136" s="9">
        <f>IFERROR(__xludf.DUMMYFUNCTION("""COMPUTED_VALUE"""),57.0)</f>
        <v>57</v>
      </c>
      <c r="C136" s="9">
        <f>IFERROR(__xludf.DUMMYFUNCTION("""COMPUTED_VALUE"""),222.0)</f>
        <v>222</v>
      </c>
      <c r="D136" s="9">
        <f>IFERROR(__xludf.DUMMYFUNCTION("""COMPUTED_VALUE"""),4.0)</f>
        <v>4</v>
      </c>
      <c r="E136" s="9">
        <f>IFERROR(__xludf.DUMMYFUNCTION("""COMPUTED_VALUE"""),4100.0)</f>
        <v>4100</v>
      </c>
      <c r="F136" s="9">
        <f>IFERROR(__xludf.DUMMYFUNCTION("""COMPUTED_VALUE"""),72.0)</f>
        <v>72</v>
      </c>
      <c r="G136" s="9">
        <f>IFERROR(__xludf.DUMMYFUNCTION("""COMPUTED_VALUE"""),0.0)</f>
        <v>0</v>
      </c>
      <c r="H136" s="9"/>
      <c r="I136" s="9">
        <f>IFERROR(__xludf.DUMMYFUNCTION("""COMPUTED_VALUE"""),41.0)</f>
        <v>41</v>
      </c>
      <c r="J136" s="9">
        <f>IFERROR(__xludf.DUMMYFUNCTION("""COMPUTED_VALUE"""),8.0)</f>
        <v>8</v>
      </c>
      <c r="K136" s="9">
        <f>IFERROR(__xludf.DUMMYFUNCTION("""COMPUTED_VALUE"""),0.0)</f>
        <v>0</v>
      </c>
      <c r="L136" s="9">
        <f>IFERROR(__xludf.DUMMYFUNCTION("""COMPUTED_VALUE"""),0.0)</f>
        <v>0</v>
      </c>
      <c r="M136" s="9">
        <f>IFERROR(__xludf.DUMMYFUNCTION("""COMPUTED_VALUE"""),49.0)</f>
        <v>49</v>
      </c>
      <c r="N136" s="9">
        <f>IFERROR(__xludf.DUMMYFUNCTION("""COMPUTED_VALUE"""),46.0)</f>
        <v>46</v>
      </c>
      <c r="O136" s="9">
        <f>IFERROR(__xludf.DUMMYFUNCTION("""COMPUTED_VALUE"""),0.0)</f>
        <v>0</v>
      </c>
      <c r="P136" s="9">
        <f>IFERROR(__xludf.DUMMYFUNCTION("""COMPUTED_VALUE"""),11.0)</f>
        <v>11</v>
      </c>
      <c r="Q136" s="9">
        <f>IFERROR(__xludf.DUMMYFUNCTION("""COMPUTED_VALUE"""),27.0)</f>
        <v>27</v>
      </c>
      <c r="R136" s="9">
        <f>IFERROR(__xludf.DUMMYFUNCTION("""COMPUTED_VALUE"""),5.0)</f>
        <v>5</v>
      </c>
      <c r="S136" s="9">
        <f>IFERROR(__xludf.DUMMYFUNCTION("""COMPUTED_VALUE"""),25.0)</f>
        <v>25</v>
      </c>
      <c r="T136" s="9">
        <f>IFERROR(__xludf.DUMMYFUNCTION("""COMPUTED_VALUE"""),4.0)</f>
        <v>4</v>
      </c>
      <c r="U136" s="9">
        <f>IFERROR(__xludf.DUMMYFUNCTION("""COMPUTED_VALUE"""),0.0)</f>
        <v>0</v>
      </c>
      <c r="V136" s="9">
        <f>IFERROR(__xludf.DUMMYFUNCTION("""COMPUTED_VALUE"""),32.0)</f>
        <v>32</v>
      </c>
      <c r="W136" s="9">
        <f>IFERROR(__xludf.DUMMYFUNCTION("""COMPUTED_VALUE"""),0.0)</f>
        <v>0</v>
      </c>
      <c r="X136" s="9">
        <f>IFERROR(__xludf.DUMMYFUNCTION("""COMPUTED_VALUE"""),30.0)</f>
        <v>30</v>
      </c>
      <c r="Y136" s="9">
        <f>IFERROR(__xludf.DUMMYFUNCTION("""COMPUTED_VALUE"""),41.0)</f>
        <v>41</v>
      </c>
      <c r="Z136" s="9">
        <f>IFERROR(__xludf.DUMMYFUNCTION("""COMPUTED_VALUE"""),4.0)</f>
        <v>4</v>
      </c>
      <c r="AA136" s="9">
        <f>IFERROR(__xludf.DUMMYFUNCTION("""COMPUTED_VALUE"""),0.0)</f>
        <v>0</v>
      </c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</row>
    <row r="137">
      <c r="A137" s="8">
        <f>IFERROR(__xludf.DUMMYFUNCTION("""COMPUTED_VALUE"""),45255.0)</f>
        <v>45255</v>
      </c>
      <c r="B137" s="9">
        <f>IFERROR(__xludf.DUMMYFUNCTION("""COMPUTED_VALUE"""),46.0)</f>
        <v>46</v>
      </c>
      <c r="C137" s="9">
        <f>IFERROR(__xludf.DUMMYFUNCTION("""COMPUTED_VALUE"""),204.0)</f>
        <v>204</v>
      </c>
      <c r="D137" s="9">
        <f>IFERROR(__xludf.DUMMYFUNCTION("""COMPUTED_VALUE"""),4.0)</f>
        <v>4</v>
      </c>
      <c r="E137" s="9">
        <f>IFERROR(__xludf.DUMMYFUNCTION("""COMPUTED_VALUE"""),3280.0)</f>
        <v>3280</v>
      </c>
      <c r="F137" s="9">
        <f>IFERROR(__xludf.DUMMYFUNCTION("""COMPUTED_VALUE"""),71.0)</f>
        <v>71</v>
      </c>
      <c r="G137" s="9">
        <f>IFERROR(__xludf.DUMMYFUNCTION("""COMPUTED_VALUE"""),0.0)</f>
        <v>0</v>
      </c>
      <c r="H137" s="9"/>
      <c r="I137" s="9">
        <f>IFERROR(__xludf.DUMMYFUNCTION("""COMPUTED_VALUE"""),41.0)</f>
        <v>41</v>
      </c>
      <c r="J137" s="9">
        <f>IFERROR(__xludf.DUMMYFUNCTION("""COMPUTED_VALUE"""),1.0)</f>
        <v>1</v>
      </c>
      <c r="K137" s="9">
        <f>IFERROR(__xludf.DUMMYFUNCTION("""COMPUTED_VALUE"""),1.0)</f>
        <v>1</v>
      </c>
      <c r="L137" s="9">
        <f>IFERROR(__xludf.DUMMYFUNCTION("""COMPUTED_VALUE"""),0.0)</f>
        <v>0</v>
      </c>
      <c r="M137" s="9">
        <f>IFERROR(__xludf.DUMMYFUNCTION("""COMPUTED_VALUE"""),43.0)</f>
        <v>43</v>
      </c>
      <c r="N137" s="9">
        <f>IFERROR(__xludf.DUMMYFUNCTION("""COMPUTED_VALUE"""),34.0)</f>
        <v>34</v>
      </c>
      <c r="O137" s="9">
        <f>IFERROR(__xludf.DUMMYFUNCTION("""COMPUTED_VALUE"""),0.0)</f>
        <v>0</v>
      </c>
      <c r="P137" s="9">
        <f>IFERROR(__xludf.DUMMYFUNCTION("""COMPUTED_VALUE"""),12.0)</f>
        <v>12</v>
      </c>
      <c r="Q137" s="9">
        <f>IFERROR(__xludf.DUMMYFUNCTION("""COMPUTED_VALUE"""),19.0)</f>
        <v>19</v>
      </c>
      <c r="R137" s="9">
        <f>IFERROR(__xludf.DUMMYFUNCTION("""COMPUTED_VALUE"""),8.0)</f>
        <v>8</v>
      </c>
      <c r="S137" s="9">
        <f>IFERROR(__xludf.DUMMYFUNCTION("""COMPUTED_VALUE"""),17.0)</f>
        <v>17</v>
      </c>
      <c r="T137" s="9">
        <f>IFERROR(__xludf.DUMMYFUNCTION("""COMPUTED_VALUE"""),3.0)</f>
        <v>3</v>
      </c>
      <c r="U137" s="9">
        <f>IFERROR(__xludf.DUMMYFUNCTION("""COMPUTED_VALUE"""),0.0)</f>
        <v>0</v>
      </c>
      <c r="V137" s="9">
        <f>IFERROR(__xludf.DUMMYFUNCTION("""COMPUTED_VALUE"""),27.0)</f>
        <v>27</v>
      </c>
      <c r="W137" s="9">
        <f>IFERROR(__xludf.DUMMYFUNCTION("""COMPUTED_VALUE"""),0.0)</f>
        <v>0</v>
      </c>
      <c r="X137" s="9">
        <f>IFERROR(__xludf.DUMMYFUNCTION("""COMPUTED_VALUE"""),32.0)</f>
        <v>32</v>
      </c>
      <c r="Y137" s="9">
        <f>IFERROR(__xludf.DUMMYFUNCTION("""COMPUTED_VALUE"""),33.0)</f>
        <v>33</v>
      </c>
      <c r="Z137" s="9">
        <f>IFERROR(__xludf.DUMMYFUNCTION("""COMPUTED_VALUE"""),3.0)</f>
        <v>3</v>
      </c>
      <c r="AA137" s="9">
        <f>IFERROR(__xludf.DUMMYFUNCTION("""COMPUTED_VALUE"""),0.0)</f>
        <v>0</v>
      </c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</row>
    <row r="138">
      <c r="A138" s="8">
        <f>IFERROR(__xludf.DUMMYFUNCTION("""COMPUTED_VALUE"""),45256.0)</f>
        <v>45256</v>
      </c>
      <c r="B138" s="9">
        <f>IFERROR(__xludf.DUMMYFUNCTION("""COMPUTED_VALUE"""),0.0)</f>
        <v>0</v>
      </c>
      <c r="C138" s="9">
        <f>IFERROR(__xludf.DUMMYFUNCTION("""COMPUTED_VALUE"""),0.0)</f>
        <v>0</v>
      </c>
      <c r="D138" s="9">
        <f>IFERROR(__xludf.DUMMYFUNCTION("""COMPUTED_VALUE"""),0.0)</f>
        <v>0</v>
      </c>
      <c r="E138" s="9">
        <f>IFERROR(__xludf.DUMMYFUNCTION("""COMPUTED_VALUE"""),0.0)</f>
        <v>0</v>
      </c>
      <c r="F138" s="9">
        <f>IFERROR(__xludf.DUMMYFUNCTION("""COMPUTED_VALUE"""),0.0)</f>
        <v>0</v>
      </c>
      <c r="G138" s="9">
        <f>IFERROR(__xludf.DUMMYFUNCTION("""COMPUTED_VALUE"""),0.0)</f>
        <v>0</v>
      </c>
      <c r="H138" s="9"/>
      <c r="I138" s="9">
        <f>IFERROR(__xludf.DUMMYFUNCTION("""COMPUTED_VALUE"""),0.0)</f>
        <v>0</v>
      </c>
      <c r="J138" s="9">
        <f>IFERROR(__xludf.DUMMYFUNCTION("""COMPUTED_VALUE"""),0.0)</f>
        <v>0</v>
      </c>
      <c r="K138" s="9">
        <f>IFERROR(__xludf.DUMMYFUNCTION("""COMPUTED_VALUE"""),0.0)</f>
        <v>0</v>
      </c>
      <c r="L138" s="9">
        <f>IFERROR(__xludf.DUMMYFUNCTION("""COMPUTED_VALUE"""),0.0)</f>
        <v>0</v>
      </c>
      <c r="M138" s="9">
        <f>IFERROR(__xludf.DUMMYFUNCTION("""COMPUTED_VALUE"""),0.0)</f>
        <v>0</v>
      </c>
      <c r="N138" s="9">
        <f>IFERROR(__xludf.DUMMYFUNCTION("""COMPUTED_VALUE"""),0.0)</f>
        <v>0</v>
      </c>
      <c r="O138" s="9">
        <f>IFERROR(__xludf.DUMMYFUNCTION("""COMPUTED_VALUE"""),0.0)</f>
        <v>0</v>
      </c>
      <c r="P138" s="9">
        <f>IFERROR(__xludf.DUMMYFUNCTION("""COMPUTED_VALUE"""),0.0)</f>
        <v>0</v>
      </c>
      <c r="Q138" s="9">
        <f>IFERROR(__xludf.DUMMYFUNCTION("""COMPUTED_VALUE"""),0.0)</f>
        <v>0</v>
      </c>
      <c r="R138" s="9">
        <f>IFERROR(__xludf.DUMMYFUNCTION("""COMPUTED_VALUE"""),0.0)</f>
        <v>0</v>
      </c>
      <c r="S138" s="9">
        <f>IFERROR(__xludf.DUMMYFUNCTION("""COMPUTED_VALUE"""),0.0)</f>
        <v>0</v>
      </c>
      <c r="T138" s="9">
        <f>IFERROR(__xludf.DUMMYFUNCTION("""COMPUTED_VALUE"""),0.0)</f>
        <v>0</v>
      </c>
      <c r="U138" s="9">
        <f>IFERROR(__xludf.DUMMYFUNCTION("""COMPUTED_VALUE"""),0.0)</f>
        <v>0</v>
      </c>
      <c r="V138" s="9">
        <f>IFERROR(__xludf.DUMMYFUNCTION("""COMPUTED_VALUE"""),0.0)</f>
        <v>0</v>
      </c>
      <c r="W138" s="9">
        <f>IFERROR(__xludf.DUMMYFUNCTION("""COMPUTED_VALUE"""),0.0)</f>
        <v>0</v>
      </c>
      <c r="X138" s="9">
        <f>IFERROR(__xludf.DUMMYFUNCTION("""COMPUTED_VALUE"""),0.0)</f>
        <v>0</v>
      </c>
      <c r="Y138" s="9">
        <f>IFERROR(__xludf.DUMMYFUNCTION("""COMPUTED_VALUE"""),0.0)</f>
        <v>0</v>
      </c>
      <c r="Z138" s="9">
        <f>IFERROR(__xludf.DUMMYFUNCTION("""COMPUTED_VALUE"""),0.0)</f>
        <v>0</v>
      </c>
      <c r="AA138" s="9">
        <f>IFERROR(__xludf.DUMMYFUNCTION("""COMPUTED_VALUE"""),0.0)</f>
        <v>0</v>
      </c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</row>
    <row r="139">
      <c r="A139" s="8">
        <f>IFERROR(__xludf.DUMMYFUNCTION("""COMPUTED_VALUE"""),45257.0)</f>
        <v>45257</v>
      </c>
      <c r="B139" s="9">
        <f>IFERROR(__xludf.DUMMYFUNCTION("""COMPUTED_VALUE"""),79.0)</f>
        <v>79</v>
      </c>
      <c r="C139" s="9">
        <f>IFERROR(__xludf.DUMMYFUNCTION("""COMPUTED_VALUE"""),358.0)</f>
        <v>358</v>
      </c>
      <c r="D139" s="9">
        <f>IFERROR(__xludf.DUMMYFUNCTION("""COMPUTED_VALUE"""),5.0)</f>
        <v>5</v>
      </c>
      <c r="E139" s="9">
        <f>IFERROR(__xludf.DUMMYFUNCTION("""COMPUTED_VALUE"""),7198.0)</f>
        <v>7198</v>
      </c>
      <c r="F139" s="9">
        <f>IFERROR(__xludf.DUMMYFUNCTION("""COMPUTED_VALUE"""),91.0)</f>
        <v>91</v>
      </c>
      <c r="G139" s="9">
        <f>IFERROR(__xludf.DUMMYFUNCTION("""COMPUTED_VALUE"""),0.0)</f>
        <v>0</v>
      </c>
      <c r="H139" s="9"/>
      <c r="I139" s="9">
        <f>IFERROR(__xludf.DUMMYFUNCTION("""COMPUTED_VALUE"""),68.0)</f>
        <v>68</v>
      </c>
      <c r="J139" s="9">
        <f>IFERROR(__xludf.DUMMYFUNCTION("""COMPUTED_VALUE"""),4.0)</f>
        <v>4</v>
      </c>
      <c r="K139" s="9">
        <f>IFERROR(__xludf.DUMMYFUNCTION("""COMPUTED_VALUE"""),1.0)</f>
        <v>1</v>
      </c>
      <c r="L139" s="9">
        <f>IFERROR(__xludf.DUMMYFUNCTION("""COMPUTED_VALUE"""),0.0)</f>
        <v>0</v>
      </c>
      <c r="M139" s="9">
        <f>IFERROR(__xludf.DUMMYFUNCTION("""COMPUTED_VALUE"""),73.0)</f>
        <v>73</v>
      </c>
      <c r="N139" s="9">
        <f>IFERROR(__xludf.DUMMYFUNCTION("""COMPUTED_VALUE"""),42.0)</f>
        <v>42</v>
      </c>
      <c r="O139" s="9">
        <f>IFERROR(__xludf.DUMMYFUNCTION("""COMPUTED_VALUE"""),3.0)</f>
        <v>3</v>
      </c>
      <c r="P139" s="9">
        <f>IFERROR(__xludf.DUMMYFUNCTION("""COMPUTED_VALUE"""),34.0)</f>
        <v>34</v>
      </c>
      <c r="Q139" s="9">
        <f>IFERROR(__xludf.DUMMYFUNCTION("""COMPUTED_VALUE"""),27.0)</f>
        <v>27</v>
      </c>
      <c r="R139" s="9">
        <f>IFERROR(__xludf.DUMMYFUNCTION("""COMPUTED_VALUE"""),20.0)</f>
        <v>20</v>
      </c>
      <c r="S139" s="9">
        <f>IFERROR(__xludf.DUMMYFUNCTION("""COMPUTED_VALUE"""),22.0)</f>
        <v>22</v>
      </c>
      <c r="T139" s="9">
        <f>IFERROR(__xludf.DUMMYFUNCTION("""COMPUTED_VALUE"""),5.0)</f>
        <v>5</v>
      </c>
      <c r="U139" s="9">
        <f>IFERROR(__xludf.DUMMYFUNCTION("""COMPUTED_VALUE"""),0.0)</f>
        <v>0</v>
      </c>
      <c r="V139" s="9">
        <f>IFERROR(__xludf.DUMMYFUNCTION("""COMPUTED_VALUE"""),48.0)</f>
        <v>48</v>
      </c>
      <c r="W139" s="9">
        <f>IFERROR(__xludf.DUMMYFUNCTION("""COMPUTED_VALUE"""),4.0)</f>
        <v>4</v>
      </c>
      <c r="X139" s="9">
        <f>IFERROR(__xludf.DUMMYFUNCTION("""COMPUTED_VALUE"""),93.0)</f>
        <v>93</v>
      </c>
      <c r="Y139" s="9">
        <f>IFERROR(__xludf.DUMMYFUNCTION("""COMPUTED_VALUE"""),61.0)</f>
        <v>61</v>
      </c>
      <c r="Z139" s="9">
        <f>IFERROR(__xludf.DUMMYFUNCTION("""COMPUTED_VALUE"""),9.0)</f>
        <v>9</v>
      </c>
      <c r="AA139" s="9">
        <f>IFERROR(__xludf.DUMMYFUNCTION("""COMPUTED_VALUE"""),1.0)</f>
        <v>1</v>
      </c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</row>
    <row r="140">
      <c r="A140" s="8">
        <f>IFERROR(__xludf.DUMMYFUNCTION("""COMPUTED_VALUE"""),45258.0)</f>
        <v>45258</v>
      </c>
      <c r="B140" s="9">
        <f>IFERROR(__xludf.DUMMYFUNCTION("""COMPUTED_VALUE"""),95.0)</f>
        <v>95</v>
      </c>
      <c r="C140" s="9">
        <f>IFERROR(__xludf.DUMMYFUNCTION("""COMPUTED_VALUE"""),376.0)</f>
        <v>376</v>
      </c>
      <c r="D140" s="9">
        <f>IFERROR(__xludf.DUMMYFUNCTION("""COMPUTED_VALUE"""),4.0)</f>
        <v>4</v>
      </c>
      <c r="E140" s="9">
        <f>IFERROR(__xludf.DUMMYFUNCTION("""COMPUTED_VALUE"""),6522.0)</f>
        <v>6522</v>
      </c>
      <c r="F140" s="9">
        <f>IFERROR(__xludf.DUMMYFUNCTION("""COMPUTED_VALUE"""),69.0)</f>
        <v>69</v>
      </c>
      <c r="G140" s="9">
        <f>IFERROR(__xludf.DUMMYFUNCTION("""COMPUTED_VALUE"""),0.0)</f>
        <v>0</v>
      </c>
      <c r="H140" s="9"/>
      <c r="I140" s="9">
        <f>IFERROR(__xludf.DUMMYFUNCTION("""COMPUTED_VALUE"""),59.0)</f>
        <v>59</v>
      </c>
      <c r="J140" s="9">
        <f>IFERROR(__xludf.DUMMYFUNCTION("""COMPUTED_VALUE"""),18.0)</f>
        <v>18</v>
      </c>
      <c r="K140" s="9">
        <f>IFERROR(__xludf.DUMMYFUNCTION("""COMPUTED_VALUE"""),0.0)</f>
        <v>0</v>
      </c>
      <c r="L140" s="9">
        <f>IFERROR(__xludf.DUMMYFUNCTION("""COMPUTED_VALUE"""),0.0)</f>
        <v>0</v>
      </c>
      <c r="M140" s="9">
        <f>IFERROR(__xludf.DUMMYFUNCTION("""COMPUTED_VALUE"""),77.0)</f>
        <v>77</v>
      </c>
      <c r="N140" s="9">
        <f>IFERROR(__xludf.DUMMYFUNCTION("""COMPUTED_VALUE"""),62.0)</f>
        <v>62</v>
      </c>
      <c r="O140" s="9">
        <f>IFERROR(__xludf.DUMMYFUNCTION("""COMPUTED_VALUE"""),4.0)</f>
        <v>4</v>
      </c>
      <c r="P140" s="9">
        <f>IFERROR(__xludf.DUMMYFUNCTION("""COMPUTED_VALUE"""),29.0)</f>
        <v>29</v>
      </c>
      <c r="Q140" s="9">
        <f>IFERROR(__xludf.DUMMYFUNCTION("""COMPUTED_VALUE"""),38.0)</f>
        <v>38</v>
      </c>
      <c r="R140" s="9">
        <f>IFERROR(__xludf.DUMMYFUNCTION("""COMPUTED_VALUE"""),18.0)</f>
        <v>18</v>
      </c>
      <c r="S140" s="9">
        <f>IFERROR(__xludf.DUMMYFUNCTION("""COMPUTED_VALUE"""),28.0)</f>
        <v>28</v>
      </c>
      <c r="T140" s="9">
        <f>IFERROR(__xludf.DUMMYFUNCTION("""COMPUTED_VALUE"""),7.0)</f>
        <v>7</v>
      </c>
      <c r="U140" s="9">
        <f>IFERROR(__xludf.DUMMYFUNCTION("""COMPUTED_VALUE"""),1.0)</f>
        <v>1</v>
      </c>
      <c r="V140" s="9">
        <f>IFERROR(__xludf.DUMMYFUNCTION("""COMPUTED_VALUE"""),58.0)</f>
        <v>58</v>
      </c>
      <c r="W140" s="9">
        <f>IFERROR(__xludf.DUMMYFUNCTION("""COMPUTED_VALUE"""),4.0)</f>
        <v>4</v>
      </c>
      <c r="X140" s="9">
        <f>IFERROR(__xludf.DUMMYFUNCTION("""COMPUTED_VALUE"""),56.0)</f>
        <v>56</v>
      </c>
      <c r="Y140" s="9">
        <f>IFERROR(__xludf.DUMMYFUNCTION("""COMPUTED_VALUE"""),74.0)</f>
        <v>74</v>
      </c>
      <c r="Z140" s="9">
        <f>IFERROR(__xludf.DUMMYFUNCTION("""COMPUTED_VALUE"""),12.0)</f>
        <v>12</v>
      </c>
      <c r="AA140" s="9">
        <f>IFERROR(__xludf.DUMMYFUNCTION("""COMPUTED_VALUE"""),2.0)</f>
        <v>2</v>
      </c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</row>
    <row r="141">
      <c r="A141" s="8">
        <f>IFERROR(__xludf.DUMMYFUNCTION("""COMPUTED_VALUE"""),45259.0)</f>
        <v>45259</v>
      </c>
      <c r="B141" s="9">
        <f>IFERROR(__xludf.DUMMYFUNCTION("""COMPUTED_VALUE"""),176.0)</f>
        <v>176</v>
      </c>
      <c r="C141" s="9">
        <f>IFERROR(__xludf.DUMMYFUNCTION("""COMPUTED_VALUE"""),657.0)</f>
        <v>657</v>
      </c>
      <c r="D141" s="9">
        <f>IFERROR(__xludf.DUMMYFUNCTION("""COMPUTED_VALUE"""),4.0)</f>
        <v>4</v>
      </c>
      <c r="E141" s="9">
        <f>IFERROR(__xludf.DUMMYFUNCTION("""COMPUTED_VALUE"""),11803.0)</f>
        <v>11803</v>
      </c>
      <c r="F141" s="9">
        <f>IFERROR(__xludf.DUMMYFUNCTION("""COMPUTED_VALUE"""),67.0)</f>
        <v>67</v>
      </c>
      <c r="G141" s="9">
        <f>IFERROR(__xludf.DUMMYFUNCTION("""COMPUTED_VALUE"""),0.0)</f>
        <v>0</v>
      </c>
      <c r="H141" s="9"/>
      <c r="I141" s="9">
        <f>IFERROR(__xludf.DUMMYFUNCTION("""COMPUTED_VALUE"""),93.0)</f>
        <v>93</v>
      </c>
      <c r="J141" s="9">
        <f>IFERROR(__xludf.DUMMYFUNCTION("""COMPUTED_VALUE"""),17.0)</f>
        <v>17</v>
      </c>
      <c r="K141" s="9">
        <f>IFERROR(__xludf.DUMMYFUNCTION("""COMPUTED_VALUE"""),6.0)</f>
        <v>6</v>
      </c>
      <c r="L141" s="9">
        <f>IFERROR(__xludf.DUMMYFUNCTION("""COMPUTED_VALUE"""),2.0)</f>
        <v>2</v>
      </c>
      <c r="M141" s="9">
        <f>IFERROR(__xludf.DUMMYFUNCTION("""COMPUTED_VALUE"""),121.0)</f>
        <v>121</v>
      </c>
      <c r="N141" s="9">
        <f>IFERROR(__xludf.DUMMYFUNCTION("""COMPUTED_VALUE"""),95.0)</f>
        <v>95</v>
      </c>
      <c r="O141" s="9">
        <f>IFERROR(__xludf.DUMMYFUNCTION("""COMPUTED_VALUE"""),11.0)</f>
        <v>11</v>
      </c>
      <c r="P141" s="9">
        <f>IFERROR(__xludf.DUMMYFUNCTION("""COMPUTED_VALUE"""),70.0)</f>
        <v>70</v>
      </c>
      <c r="Q141" s="9">
        <f>IFERROR(__xludf.DUMMYFUNCTION("""COMPUTED_VALUE"""),60.0)</f>
        <v>60</v>
      </c>
      <c r="R141" s="9">
        <f>IFERROR(__xludf.DUMMYFUNCTION("""COMPUTED_VALUE"""),43.0)</f>
        <v>43</v>
      </c>
      <c r="S141" s="9">
        <f>IFERROR(__xludf.DUMMYFUNCTION("""COMPUTED_VALUE"""),38.0)</f>
        <v>38</v>
      </c>
      <c r="T141" s="9">
        <f>IFERROR(__xludf.DUMMYFUNCTION("""COMPUTED_VALUE"""),3.0)</f>
        <v>3</v>
      </c>
      <c r="U141" s="9">
        <f>IFERROR(__xludf.DUMMYFUNCTION("""COMPUTED_VALUE"""),0.0)</f>
        <v>0</v>
      </c>
      <c r="V141" s="9">
        <f>IFERROR(__xludf.DUMMYFUNCTION("""COMPUTED_VALUE"""),111.0)</f>
        <v>111</v>
      </c>
      <c r="W141" s="9">
        <f>IFERROR(__xludf.DUMMYFUNCTION("""COMPUTED_VALUE"""),7.0)</f>
        <v>7</v>
      </c>
      <c r="X141" s="9">
        <f>IFERROR(__xludf.DUMMYFUNCTION("""COMPUTED_VALUE"""),100.0)</f>
        <v>100</v>
      </c>
      <c r="Y141" s="9">
        <f>IFERROR(__xludf.DUMMYFUNCTION("""COMPUTED_VALUE"""),137.0)</f>
        <v>137</v>
      </c>
      <c r="Z141" s="9">
        <f>IFERROR(__xludf.DUMMYFUNCTION("""COMPUTED_VALUE"""),10.0)</f>
        <v>10</v>
      </c>
      <c r="AA141" s="9">
        <f>IFERROR(__xludf.DUMMYFUNCTION("""COMPUTED_VALUE"""),8.0)</f>
        <v>8</v>
      </c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</row>
    <row r="142">
      <c r="A142" s="8">
        <f>IFERROR(__xludf.DUMMYFUNCTION("""COMPUTED_VALUE"""),45260.0)</f>
        <v>45260</v>
      </c>
      <c r="B142" s="9">
        <f>IFERROR(__xludf.DUMMYFUNCTION("""COMPUTED_VALUE"""),128.0)</f>
        <v>128</v>
      </c>
      <c r="C142" s="9">
        <f>IFERROR(__xludf.DUMMYFUNCTION("""COMPUTED_VALUE"""),500.0)</f>
        <v>500</v>
      </c>
      <c r="D142" s="9">
        <f>IFERROR(__xludf.DUMMYFUNCTION("""COMPUTED_VALUE"""),4.0)</f>
        <v>4</v>
      </c>
      <c r="E142" s="9">
        <f>IFERROR(__xludf.DUMMYFUNCTION("""COMPUTED_VALUE"""),8760.0)</f>
        <v>8760</v>
      </c>
      <c r="F142" s="9">
        <f>IFERROR(__xludf.DUMMYFUNCTION("""COMPUTED_VALUE"""),68.0)</f>
        <v>68</v>
      </c>
      <c r="G142" s="9">
        <f>IFERROR(__xludf.DUMMYFUNCTION("""COMPUTED_VALUE"""),0.0)</f>
        <v>0</v>
      </c>
      <c r="H142" s="9"/>
      <c r="I142" s="9">
        <f>IFERROR(__xludf.DUMMYFUNCTION("""COMPUTED_VALUE"""),73.0)</f>
        <v>73</v>
      </c>
      <c r="J142" s="9">
        <f>IFERROR(__xludf.DUMMYFUNCTION("""COMPUTED_VALUE"""),15.0)</f>
        <v>15</v>
      </c>
      <c r="K142" s="9">
        <f>IFERROR(__xludf.DUMMYFUNCTION("""COMPUTED_VALUE"""),7.0)</f>
        <v>7</v>
      </c>
      <c r="L142" s="9">
        <f>IFERROR(__xludf.DUMMYFUNCTION("""COMPUTED_VALUE"""),1.0)</f>
        <v>1</v>
      </c>
      <c r="M142" s="9">
        <f>IFERROR(__xludf.DUMMYFUNCTION("""COMPUTED_VALUE"""),96.0)</f>
        <v>96</v>
      </c>
      <c r="N142" s="9">
        <f>IFERROR(__xludf.DUMMYFUNCTION("""COMPUTED_VALUE"""),76.0)</f>
        <v>76</v>
      </c>
      <c r="O142" s="9">
        <f>IFERROR(__xludf.DUMMYFUNCTION("""COMPUTED_VALUE"""),9.0)</f>
        <v>9</v>
      </c>
      <c r="P142" s="9">
        <f>IFERROR(__xludf.DUMMYFUNCTION("""COMPUTED_VALUE"""),43.0)</f>
        <v>43</v>
      </c>
      <c r="Q142" s="9">
        <f>IFERROR(__xludf.DUMMYFUNCTION("""COMPUTED_VALUE"""),39.0)</f>
        <v>39</v>
      </c>
      <c r="R142" s="9">
        <f>IFERROR(__xludf.DUMMYFUNCTION("""COMPUTED_VALUE"""),33.0)</f>
        <v>33</v>
      </c>
      <c r="S142" s="9">
        <f>IFERROR(__xludf.DUMMYFUNCTION("""COMPUTED_VALUE"""),63.0)</f>
        <v>63</v>
      </c>
      <c r="T142" s="9">
        <f>IFERROR(__xludf.DUMMYFUNCTION("""COMPUTED_VALUE"""),4.0)</f>
        <v>4</v>
      </c>
      <c r="U142" s="9">
        <f>IFERROR(__xludf.DUMMYFUNCTION("""COMPUTED_VALUE"""),0.0)</f>
        <v>0</v>
      </c>
      <c r="V142" s="9">
        <f>IFERROR(__xludf.DUMMYFUNCTION("""COMPUTED_VALUE"""),79.0)</f>
        <v>79</v>
      </c>
      <c r="W142" s="9">
        <f>IFERROR(__xludf.DUMMYFUNCTION("""COMPUTED_VALUE"""),3.0)</f>
        <v>3</v>
      </c>
      <c r="X142" s="9">
        <f>IFERROR(__xludf.DUMMYFUNCTION("""COMPUTED_VALUE"""),61.0)</f>
        <v>61</v>
      </c>
      <c r="Y142" s="9">
        <f>IFERROR(__xludf.DUMMYFUNCTION("""COMPUTED_VALUE"""),94.0)</f>
        <v>94</v>
      </c>
      <c r="Z142" s="9">
        <f>IFERROR(__xludf.DUMMYFUNCTION("""COMPUTED_VALUE"""),7.0)</f>
        <v>7</v>
      </c>
      <c r="AA142" s="9">
        <f>IFERROR(__xludf.DUMMYFUNCTION("""COMPUTED_VALUE"""),7.0)</f>
        <v>7</v>
      </c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</row>
    <row r="143">
      <c r="A143" s="8">
        <f>IFERROR(__xludf.DUMMYFUNCTION("""COMPUTED_VALUE"""),45261.0)</f>
        <v>45261</v>
      </c>
      <c r="B143" s="9">
        <f>IFERROR(__xludf.DUMMYFUNCTION("""COMPUTED_VALUE"""),66.0)</f>
        <v>66</v>
      </c>
      <c r="C143" s="9">
        <f>IFERROR(__xludf.DUMMYFUNCTION("""COMPUTED_VALUE"""),230.0)</f>
        <v>230</v>
      </c>
      <c r="D143" s="9">
        <f>IFERROR(__xludf.DUMMYFUNCTION("""COMPUTED_VALUE"""),3.0)</f>
        <v>3</v>
      </c>
      <c r="E143" s="9">
        <f>IFERROR(__xludf.DUMMYFUNCTION("""COMPUTED_VALUE"""),4000.0)</f>
        <v>4000</v>
      </c>
      <c r="F143" s="9">
        <f>IFERROR(__xludf.DUMMYFUNCTION("""COMPUTED_VALUE"""),61.0)</f>
        <v>61</v>
      </c>
      <c r="G143" s="9">
        <f>IFERROR(__xludf.DUMMYFUNCTION("""COMPUTED_VALUE"""),0.0)</f>
        <v>0</v>
      </c>
      <c r="H143" s="9"/>
      <c r="I143" s="9">
        <f>IFERROR(__xludf.DUMMYFUNCTION("""COMPUTED_VALUE"""),49.0)</f>
        <v>49</v>
      </c>
      <c r="J143" s="9">
        <f>IFERROR(__xludf.DUMMYFUNCTION("""COMPUTED_VALUE"""),3.0)</f>
        <v>3</v>
      </c>
      <c r="K143" s="9">
        <f>IFERROR(__xludf.DUMMYFUNCTION("""COMPUTED_VALUE"""),1.0)</f>
        <v>1</v>
      </c>
      <c r="L143" s="9">
        <f>IFERROR(__xludf.DUMMYFUNCTION("""COMPUTED_VALUE"""),2.0)</f>
        <v>2</v>
      </c>
      <c r="M143" s="9">
        <f>IFERROR(__xludf.DUMMYFUNCTION("""COMPUTED_VALUE"""),55.0)</f>
        <v>55</v>
      </c>
      <c r="N143" s="9">
        <f>IFERROR(__xludf.DUMMYFUNCTION("""COMPUTED_VALUE"""),42.0)</f>
        <v>42</v>
      </c>
      <c r="O143" s="9">
        <f>IFERROR(__xludf.DUMMYFUNCTION("""COMPUTED_VALUE"""),0.0)</f>
        <v>0</v>
      </c>
      <c r="P143" s="9">
        <f>IFERROR(__xludf.DUMMYFUNCTION("""COMPUTED_VALUE"""),24.0)</f>
        <v>24</v>
      </c>
      <c r="Q143" s="9">
        <f>IFERROR(__xludf.DUMMYFUNCTION("""COMPUTED_VALUE"""),29.0)</f>
        <v>29</v>
      </c>
      <c r="R143" s="9">
        <f>IFERROR(__xludf.DUMMYFUNCTION("""COMPUTED_VALUE"""),19.0)</f>
        <v>19</v>
      </c>
      <c r="S143" s="9">
        <f>IFERROR(__xludf.DUMMYFUNCTION("""COMPUTED_VALUE"""),13.0)</f>
        <v>13</v>
      </c>
      <c r="T143" s="9">
        <f>IFERROR(__xludf.DUMMYFUNCTION("""COMPUTED_VALUE"""),3.0)</f>
        <v>3</v>
      </c>
      <c r="U143" s="9">
        <f>IFERROR(__xludf.DUMMYFUNCTION("""COMPUTED_VALUE"""),0.0)</f>
        <v>0</v>
      </c>
      <c r="V143" s="9">
        <f>IFERROR(__xludf.DUMMYFUNCTION("""COMPUTED_VALUE"""),48.0)</f>
        <v>48</v>
      </c>
      <c r="W143" s="9">
        <f>IFERROR(__xludf.DUMMYFUNCTION("""COMPUTED_VALUE"""),1.0)</f>
        <v>1</v>
      </c>
      <c r="X143" s="9">
        <f>IFERROR(__xludf.DUMMYFUNCTION("""COMPUTED_VALUE"""),21.0)</f>
        <v>21</v>
      </c>
      <c r="Y143" s="9">
        <f>IFERROR(__xludf.DUMMYFUNCTION("""COMPUTED_VALUE"""),56.0)</f>
        <v>56</v>
      </c>
      <c r="Z143" s="9">
        <f>IFERROR(__xludf.DUMMYFUNCTION("""COMPUTED_VALUE"""),4.0)</f>
        <v>4</v>
      </c>
      <c r="AA143" s="9">
        <f>IFERROR(__xludf.DUMMYFUNCTION("""COMPUTED_VALUE"""),0.0)</f>
        <v>0</v>
      </c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</row>
    <row r="144">
      <c r="A144" s="8">
        <f>IFERROR(__xludf.DUMMYFUNCTION("""COMPUTED_VALUE"""),45262.0)</f>
        <v>45262</v>
      </c>
      <c r="B144" s="9">
        <f>IFERROR(__xludf.DUMMYFUNCTION("""COMPUTED_VALUE"""),0.0)</f>
        <v>0</v>
      </c>
      <c r="C144" s="9">
        <f>IFERROR(__xludf.DUMMYFUNCTION("""COMPUTED_VALUE"""),0.0)</f>
        <v>0</v>
      </c>
      <c r="D144" s="9">
        <f>IFERROR(__xludf.DUMMYFUNCTION("""COMPUTED_VALUE"""),0.0)</f>
        <v>0</v>
      </c>
      <c r="E144" s="9">
        <f>IFERROR(__xludf.DUMMYFUNCTION("""COMPUTED_VALUE"""),0.0)</f>
        <v>0</v>
      </c>
      <c r="F144" s="9">
        <f>IFERROR(__xludf.DUMMYFUNCTION("""COMPUTED_VALUE"""),0.0)</f>
        <v>0</v>
      </c>
      <c r="G144" s="9">
        <f>IFERROR(__xludf.DUMMYFUNCTION("""COMPUTED_VALUE"""),0.0)</f>
        <v>0</v>
      </c>
      <c r="H144" s="9"/>
      <c r="I144" s="9">
        <f>IFERROR(__xludf.DUMMYFUNCTION("""COMPUTED_VALUE"""),0.0)</f>
        <v>0</v>
      </c>
      <c r="J144" s="9">
        <f>IFERROR(__xludf.DUMMYFUNCTION("""COMPUTED_VALUE"""),0.0)</f>
        <v>0</v>
      </c>
      <c r="K144" s="9">
        <f>IFERROR(__xludf.DUMMYFUNCTION("""COMPUTED_VALUE"""),0.0)</f>
        <v>0</v>
      </c>
      <c r="L144" s="9">
        <f>IFERROR(__xludf.DUMMYFUNCTION("""COMPUTED_VALUE"""),0.0)</f>
        <v>0</v>
      </c>
      <c r="M144" s="9">
        <f>IFERROR(__xludf.DUMMYFUNCTION("""COMPUTED_VALUE"""),0.0)</f>
        <v>0</v>
      </c>
      <c r="N144" s="9">
        <f>IFERROR(__xludf.DUMMYFUNCTION("""COMPUTED_VALUE"""),0.0)</f>
        <v>0</v>
      </c>
      <c r="O144" s="9">
        <f>IFERROR(__xludf.DUMMYFUNCTION("""COMPUTED_VALUE"""),0.0)</f>
        <v>0</v>
      </c>
      <c r="P144" s="9">
        <f>IFERROR(__xludf.DUMMYFUNCTION("""COMPUTED_VALUE"""),0.0)</f>
        <v>0</v>
      </c>
      <c r="Q144" s="9">
        <f>IFERROR(__xludf.DUMMYFUNCTION("""COMPUTED_VALUE"""),0.0)</f>
        <v>0</v>
      </c>
      <c r="R144" s="9">
        <f>IFERROR(__xludf.DUMMYFUNCTION("""COMPUTED_VALUE"""),0.0)</f>
        <v>0</v>
      </c>
      <c r="S144" s="9">
        <f>IFERROR(__xludf.DUMMYFUNCTION("""COMPUTED_VALUE"""),0.0)</f>
        <v>0</v>
      </c>
      <c r="T144" s="9">
        <f>IFERROR(__xludf.DUMMYFUNCTION("""COMPUTED_VALUE"""),0.0)</f>
        <v>0</v>
      </c>
      <c r="U144" s="9">
        <f>IFERROR(__xludf.DUMMYFUNCTION("""COMPUTED_VALUE"""),0.0)</f>
        <v>0</v>
      </c>
      <c r="V144" s="9">
        <f>IFERROR(__xludf.DUMMYFUNCTION("""COMPUTED_VALUE"""),0.0)</f>
        <v>0</v>
      </c>
      <c r="W144" s="9">
        <f>IFERROR(__xludf.DUMMYFUNCTION("""COMPUTED_VALUE"""),0.0)</f>
        <v>0</v>
      </c>
      <c r="X144" s="9">
        <f>IFERROR(__xludf.DUMMYFUNCTION("""COMPUTED_VALUE"""),0.0)</f>
        <v>0</v>
      </c>
      <c r="Y144" s="9">
        <f>IFERROR(__xludf.DUMMYFUNCTION("""COMPUTED_VALUE"""),0.0)</f>
        <v>0</v>
      </c>
      <c r="Z144" s="9">
        <f>IFERROR(__xludf.DUMMYFUNCTION("""COMPUTED_VALUE"""),0.0)</f>
        <v>0</v>
      </c>
      <c r="AA144" s="9">
        <f>IFERROR(__xludf.DUMMYFUNCTION("""COMPUTED_VALUE"""),0.0)</f>
        <v>0</v>
      </c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</row>
    <row r="145">
      <c r="A145" s="8">
        <f>IFERROR(__xludf.DUMMYFUNCTION("""COMPUTED_VALUE"""),45263.0)</f>
        <v>45263</v>
      </c>
      <c r="B145" s="9">
        <f>IFERROR(__xludf.DUMMYFUNCTION("""COMPUTED_VALUE"""),0.0)</f>
        <v>0</v>
      </c>
      <c r="C145" s="9">
        <f>IFERROR(__xludf.DUMMYFUNCTION("""COMPUTED_VALUE"""),0.0)</f>
        <v>0</v>
      </c>
      <c r="D145" s="9">
        <f>IFERROR(__xludf.DUMMYFUNCTION("""COMPUTED_VALUE"""),0.0)</f>
        <v>0</v>
      </c>
      <c r="E145" s="9">
        <f>IFERROR(__xludf.DUMMYFUNCTION("""COMPUTED_VALUE"""),0.0)</f>
        <v>0</v>
      </c>
      <c r="F145" s="9">
        <f>IFERROR(__xludf.DUMMYFUNCTION("""COMPUTED_VALUE"""),0.0)</f>
        <v>0</v>
      </c>
      <c r="G145" s="9">
        <f>IFERROR(__xludf.DUMMYFUNCTION("""COMPUTED_VALUE"""),0.0)</f>
        <v>0</v>
      </c>
      <c r="H145" s="9"/>
      <c r="I145" s="9">
        <f>IFERROR(__xludf.DUMMYFUNCTION("""COMPUTED_VALUE"""),0.0)</f>
        <v>0</v>
      </c>
      <c r="J145" s="9">
        <f>IFERROR(__xludf.DUMMYFUNCTION("""COMPUTED_VALUE"""),0.0)</f>
        <v>0</v>
      </c>
      <c r="K145" s="9">
        <f>IFERROR(__xludf.DUMMYFUNCTION("""COMPUTED_VALUE"""),0.0)</f>
        <v>0</v>
      </c>
      <c r="L145" s="9">
        <f>IFERROR(__xludf.DUMMYFUNCTION("""COMPUTED_VALUE"""),0.0)</f>
        <v>0</v>
      </c>
      <c r="M145" s="9">
        <f>IFERROR(__xludf.DUMMYFUNCTION("""COMPUTED_VALUE"""),0.0)</f>
        <v>0</v>
      </c>
      <c r="N145" s="9">
        <f>IFERROR(__xludf.DUMMYFUNCTION("""COMPUTED_VALUE"""),0.0)</f>
        <v>0</v>
      </c>
      <c r="O145" s="9">
        <f>IFERROR(__xludf.DUMMYFUNCTION("""COMPUTED_VALUE"""),0.0)</f>
        <v>0</v>
      </c>
      <c r="P145" s="9">
        <f>IFERROR(__xludf.DUMMYFUNCTION("""COMPUTED_VALUE"""),0.0)</f>
        <v>0</v>
      </c>
      <c r="Q145" s="9">
        <f>IFERROR(__xludf.DUMMYFUNCTION("""COMPUTED_VALUE"""),0.0)</f>
        <v>0</v>
      </c>
      <c r="R145" s="9">
        <f>IFERROR(__xludf.DUMMYFUNCTION("""COMPUTED_VALUE"""),0.0)</f>
        <v>0</v>
      </c>
      <c r="S145" s="9">
        <f>IFERROR(__xludf.DUMMYFUNCTION("""COMPUTED_VALUE"""),0.0)</f>
        <v>0</v>
      </c>
      <c r="T145" s="9">
        <f>IFERROR(__xludf.DUMMYFUNCTION("""COMPUTED_VALUE"""),0.0)</f>
        <v>0</v>
      </c>
      <c r="U145" s="9">
        <f>IFERROR(__xludf.DUMMYFUNCTION("""COMPUTED_VALUE"""),0.0)</f>
        <v>0</v>
      </c>
      <c r="V145" s="9">
        <f>IFERROR(__xludf.DUMMYFUNCTION("""COMPUTED_VALUE"""),0.0)</f>
        <v>0</v>
      </c>
      <c r="W145" s="9">
        <f>IFERROR(__xludf.DUMMYFUNCTION("""COMPUTED_VALUE"""),0.0)</f>
        <v>0</v>
      </c>
      <c r="X145" s="9">
        <f>IFERROR(__xludf.DUMMYFUNCTION("""COMPUTED_VALUE"""),0.0)</f>
        <v>0</v>
      </c>
      <c r="Y145" s="9">
        <f>IFERROR(__xludf.DUMMYFUNCTION("""COMPUTED_VALUE"""),0.0)</f>
        <v>0</v>
      </c>
      <c r="Z145" s="9">
        <f>IFERROR(__xludf.DUMMYFUNCTION("""COMPUTED_VALUE"""),0.0)</f>
        <v>0</v>
      </c>
      <c r="AA145" s="9">
        <f>IFERROR(__xludf.DUMMYFUNCTION("""COMPUTED_VALUE"""),0.0)</f>
        <v>0</v>
      </c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</row>
    <row r="146">
      <c r="A146" s="8">
        <f>IFERROR(__xludf.DUMMYFUNCTION("""COMPUTED_VALUE"""),45264.0)</f>
        <v>45264</v>
      </c>
      <c r="B146" s="9">
        <f>IFERROR(__xludf.DUMMYFUNCTION("""COMPUTED_VALUE"""),44.0)</f>
        <v>44</v>
      </c>
      <c r="C146" s="9">
        <f>IFERROR(__xludf.DUMMYFUNCTION("""COMPUTED_VALUE"""),162.0)</f>
        <v>162</v>
      </c>
      <c r="D146" s="9">
        <f>IFERROR(__xludf.DUMMYFUNCTION("""COMPUTED_VALUE"""),4.0)</f>
        <v>4</v>
      </c>
      <c r="E146" s="9">
        <f>IFERROR(__xludf.DUMMYFUNCTION("""COMPUTED_VALUE"""),2969.0)</f>
        <v>2969</v>
      </c>
      <c r="F146" s="9">
        <f>IFERROR(__xludf.DUMMYFUNCTION("""COMPUTED_VALUE"""),67.0)</f>
        <v>67</v>
      </c>
      <c r="G146" s="9">
        <f>IFERROR(__xludf.DUMMYFUNCTION("""COMPUTED_VALUE"""),0.0)</f>
        <v>0</v>
      </c>
      <c r="H146" s="9"/>
      <c r="I146" s="9">
        <f>IFERROR(__xludf.DUMMYFUNCTION("""COMPUTED_VALUE"""),34.0)</f>
        <v>34</v>
      </c>
      <c r="J146" s="9">
        <f>IFERROR(__xludf.DUMMYFUNCTION("""COMPUTED_VALUE"""),5.0)</f>
        <v>5</v>
      </c>
      <c r="K146" s="9">
        <f>IFERROR(__xludf.DUMMYFUNCTION("""COMPUTED_VALUE"""),0.0)</f>
        <v>0</v>
      </c>
      <c r="L146" s="9">
        <f>IFERROR(__xludf.DUMMYFUNCTION("""COMPUTED_VALUE"""),0.0)</f>
        <v>0</v>
      </c>
      <c r="M146" s="9">
        <f>IFERROR(__xludf.DUMMYFUNCTION("""COMPUTED_VALUE"""),39.0)</f>
        <v>39</v>
      </c>
      <c r="N146" s="9">
        <f>IFERROR(__xludf.DUMMYFUNCTION("""COMPUTED_VALUE"""),31.0)</f>
        <v>31</v>
      </c>
      <c r="O146" s="9">
        <f>IFERROR(__xludf.DUMMYFUNCTION("""COMPUTED_VALUE"""),0.0)</f>
        <v>0</v>
      </c>
      <c r="P146" s="9">
        <f>IFERROR(__xludf.DUMMYFUNCTION("""COMPUTED_VALUE"""),13.0)</f>
        <v>13</v>
      </c>
      <c r="Q146" s="9">
        <f>IFERROR(__xludf.DUMMYFUNCTION("""COMPUTED_VALUE"""),16.0)</f>
        <v>16</v>
      </c>
      <c r="R146" s="9">
        <f>IFERROR(__xludf.DUMMYFUNCTION("""COMPUTED_VALUE"""),11.0)</f>
        <v>11</v>
      </c>
      <c r="S146" s="9">
        <f>IFERROR(__xludf.DUMMYFUNCTION("""COMPUTED_VALUE"""),18.0)</f>
        <v>18</v>
      </c>
      <c r="T146" s="9">
        <f>IFERROR(__xludf.DUMMYFUNCTION("""COMPUTED_VALUE"""),2.0)</f>
        <v>2</v>
      </c>
      <c r="U146" s="9">
        <f>IFERROR(__xludf.DUMMYFUNCTION("""COMPUTED_VALUE"""),0.0)</f>
        <v>0</v>
      </c>
      <c r="V146" s="9">
        <f>IFERROR(__xludf.DUMMYFUNCTION("""COMPUTED_VALUE"""),27.0)</f>
        <v>27</v>
      </c>
      <c r="W146" s="9">
        <f>IFERROR(__xludf.DUMMYFUNCTION("""COMPUTED_VALUE"""),0.0)</f>
        <v>0</v>
      </c>
      <c r="X146" s="9">
        <f>IFERROR(__xludf.DUMMYFUNCTION("""COMPUTED_VALUE"""),20.0)</f>
        <v>20</v>
      </c>
      <c r="Y146" s="9">
        <f>IFERROR(__xludf.DUMMYFUNCTION("""COMPUTED_VALUE"""),33.0)</f>
        <v>33</v>
      </c>
      <c r="Z146" s="9">
        <f>IFERROR(__xludf.DUMMYFUNCTION("""COMPUTED_VALUE"""),2.0)</f>
        <v>2</v>
      </c>
      <c r="AA146" s="9">
        <f>IFERROR(__xludf.DUMMYFUNCTION("""COMPUTED_VALUE"""),0.0)</f>
        <v>0</v>
      </c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</row>
    <row r="147">
      <c r="A147" s="8">
        <f>IFERROR(__xludf.DUMMYFUNCTION("""COMPUTED_VALUE"""),45265.0)</f>
        <v>45265</v>
      </c>
      <c r="B147" s="9">
        <f>IFERROR(__xludf.DUMMYFUNCTION("""COMPUTED_VALUE"""),47.0)</f>
        <v>47</v>
      </c>
      <c r="C147" s="9">
        <f>IFERROR(__xludf.DUMMYFUNCTION("""COMPUTED_VALUE"""),175.0)</f>
        <v>175</v>
      </c>
      <c r="D147" s="9">
        <f>IFERROR(__xludf.DUMMYFUNCTION("""COMPUTED_VALUE"""),4.0)</f>
        <v>4</v>
      </c>
      <c r="E147" s="9">
        <f>IFERROR(__xludf.DUMMYFUNCTION("""COMPUTED_VALUE"""),3191.0)</f>
        <v>3191</v>
      </c>
      <c r="F147" s="9">
        <f>IFERROR(__xludf.DUMMYFUNCTION("""COMPUTED_VALUE"""),68.0)</f>
        <v>68</v>
      </c>
      <c r="G147" s="9">
        <f>IFERROR(__xludf.DUMMYFUNCTION("""COMPUTED_VALUE"""),0.0)</f>
        <v>0</v>
      </c>
      <c r="H147" s="9"/>
      <c r="I147" s="9">
        <f>IFERROR(__xludf.DUMMYFUNCTION("""COMPUTED_VALUE"""),37.0)</f>
        <v>37</v>
      </c>
      <c r="J147" s="9">
        <f>IFERROR(__xludf.DUMMYFUNCTION("""COMPUTED_VALUE"""),5.0)</f>
        <v>5</v>
      </c>
      <c r="K147" s="9">
        <f>IFERROR(__xludf.DUMMYFUNCTION("""COMPUTED_VALUE"""),0.0)</f>
        <v>0</v>
      </c>
      <c r="L147" s="9">
        <f>IFERROR(__xludf.DUMMYFUNCTION("""COMPUTED_VALUE"""),0.0)</f>
        <v>0</v>
      </c>
      <c r="M147" s="9">
        <f>IFERROR(__xludf.DUMMYFUNCTION("""COMPUTED_VALUE"""),42.0)</f>
        <v>42</v>
      </c>
      <c r="N147" s="9">
        <f>IFERROR(__xludf.DUMMYFUNCTION("""COMPUTED_VALUE"""),37.0)</f>
        <v>37</v>
      </c>
      <c r="O147" s="9">
        <f>IFERROR(__xludf.DUMMYFUNCTION("""COMPUTED_VALUE"""),0.0)</f>
        <v>0</v>
      </c>
      <c r="P147" s="9">
        <f>IFERROR(__xludf.DUMMYFUNCTION("""COMPUTED_VALUE"""),10.0)</f>
        <v>10</v>
      </c>
      <c r="Q147" s="9">
        <f>IFERROR(__xludf.DUMMYFUNCTION("""COMPUTED_VALUE"""),30.0)</f>
        <v>30</v>
      </c>
      <c r="R147" s="9">
        <f>IFERROR(__xludf.DUMMYFUNCTION("""COMPUTED_VALUE"""),7.0)</f>
        <v>7</v>
      </c>
      <c r="S147" s="9">
        <f>IFERROR(__xludf.DUMMYFUNCTION("""COMPUTED_VALUE"""),18.0)</f>
        <v>18</v>
      </c>
      <c r="T147" s="9">
        <f>IFERROR(__xludf.DUMMYFUNCTION("""COMPUTED_VALUE"""),0.0)</f>
        <v>0</v>
      </c>
      <c r="U147" s="9">
        <f>IFERROR(__xludf.DUMMYFUNCTION("""COMPUTED_VALUE"""),0.0)</f>
        <v>0</v>
      </c>
      <c r="V147" s="9">
        <f>IFERROR(__xludf.DUMMYFUNCTION("""COMPUTED_VALUE"""),37.0)</f>
        <v>37</v>
      </c>
      <c r="W147" s="9">
        <f>IFERROR(__xludf.DUMMYFUNCTION("""COMPUTED_VALUE"""),0.0)</f>
        <v>0</v>
      </c>
      <c r="X147" s="9">
        <f>IFERROR(__xludf.DUMMYFUNCTION("""COMPUTED_VALUE"""),19.0)</f>
        <v>19</v>
      </c>
      <c r="Y147" s="9">
        <f>IFERROR(__xludf.DUMMYFUNCTION("""COMPUTED_VALUE"""),38.0)</f>
        <v>38</v>
      </c>
      <c r="Z147" s="9">
        <f>IFERROR(__xludf.DUMMYFUNCTION("""COMPUTED_VALUE"""),0.0)</f>
        <v>0</v>
      </c>
      <c r="AA147" s="9">
        <f>IFERROR(__xludf.DUMMYFUNCTION("""COMPUTED_VALUE"""),0.0)</f>
        <v>0</v>
      </c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</row>
    <row r="148">
      <c r="A148" s="8">
        <f>IFERROR(__xludf.DUMMYFUNCTION("""COMPUTED_VALUE"""),45266.0)</f>
        <v>45266</v>
      </c>
      <c r="B148" s="9">
        <f>IFERROR(__xludf.DUMMYFUNCTION("""COMPUTED_VALUE"""),68.0)</f>
        <v>68</v>
      </c>
      <c r="C148" s="9">
        <f>IFERROR(__xludf.DUMMYFUNCTION("""COMPUTED_VALUE"""),260.0)</f>
        <v>260</v>
      </c>
      <c r="D148" s="9">
        <f>IFERROR(__xludf.DUMMYFUNCTION("""COMPUTED_VALUE"""),4.0)</f>
        <v>4</v>
      </c>
      <c r="E148" s="9">
        <f>IFERROR(__xludf.DUMMYFUNCTION("""COMPUTED_VALUE"""),4274.0)</f>
        <v>4274</v>
      </c>
      <c r="F148" s="9">
        <f>IFERROR(__xludf.DUMMYFUNCTION("""COMPUTED_VALUE"""),63.0)</f>
        <v>63</v>
      </c>
      <c r="G148" s="9">
        <f>IFERROR(__xludf.DUMMYFUNCTION("""COMPUTED_VALUE"""),0.0)</f>
        <v>0</v>
      </c>
      <c r="H148" s="9"/>
      <c r="I148" s="9">
        <f>IFERROR(__xludf.DUMMYFUNCTION("""COMPUTED_VALUE"""),40.0)</f>
        <v>40</v>
      </c>
      <c r="J148" s="9">
        <f>IFERROR(__xludf.DUMMYFUNCTION("""COMPUTED_VALUE"""),9.0)</f>
        <v>9</v>
      </c>
      <c r="K148" s="9">
        <f>IFERROR(__xludf.DUMMYFUNCTION("""COMPUTED_VALUE"""),2.0)</f>
        <v>2</v>
      </c>
      <c r="L148" s="9">
        <f>IFERROR(__xludf.DUMMYFUNCTION("""COMPUTED_VALUE"""),1.0)</f>
        <v>1</v>
      </c>
      <c r="M148" s="9">
        <f>IFERROR(__xludf.DUMMYFUNCTION("""COMPUTED_VALUE"""),52.0)</f>
        <v>52</v>
      </c>
      <c r="N148" s="9">
        <f>IFERROR(__xludf.DUMMYFUNCTION("""COMPUTED_VALUE"""),50.0)</f>
        <v>50</v>
      </c>
      <c r="O148" s="9">
        <f>IFERROR(__xludf.DUMMYFUNCTION("""COMPUTED_VALUE"""),0.0)</f>
        <v>0</v>
      </c>
      <c r="P148" s="9">
        <f>IFERROR(__xludf.DUMMYFUNCTION("""COMPUTED_VALUE"""),18.0)</f>
        <v>18</v>
      </c>
      <c r="Q148" s="9">
        <f>IFERROR(__xludf.DUMMYFUNCTION("""COMPUTED_VALUE"""),31.0)</f>
        <v>31</v>
      </c>
      <c r="R148" s="9">
        <f>IFERROR(__xludf.DUMMYFUNCTION("""COMPUTED_VALUE"""),15.0)</f>
        <v>15</v>
      </c>
      <c r="S148" s="9">
        <f>IFERROR(__xludf.DUMMYFUNCTION("""COMPUTED_VALUE"""),27.0)</f>
        <v>27</v>
      </c>
      <c r="T148" s="9">
        <f>IFERROR(__xludf.DUMMYFUNCTION("""COMPUTED_VALUE"""),2.0)</f>
        <v>2</v>
      </c>
      <c r="U148" s="9">
        <f>IFERROR(__xludf.DUMMYFUNCTION("""COMPUTED_VALUE"""),0.0)</f>
        <v>0</v>
      </c>
      <c r="V148" s="9">
        <f>IFERROR(__xludf.DUMMYFUNCTION("""COMPUTED_VALUE"""),46.0)</f>
        <v>46</v>
      </c>
      <c r="W148" s="9">
        <f>IFERROR(__xludf.DUMMYFUNCTION("""COMPUTED_VALUE"""),0.0)</f>
        <v>0</v>
      </c>
      <c r="X148" s="9">
        <f>IFERROR(__xludf.DUMMYFUNCTION("""COMPUTED_VALUE"""),24.0)</f>
        <v>24</v>
      </c>
      <c r="Y148" s="9">
        <f>IFERROR(__xludf.DUMMYFUNCTION("""COMPUTED_VALUE"""),51.0)</f>
        <v>51</v>
      </c>
      <c r="Z148" s="9">
        <f>IFERROR(__xludf.DUMMYFUNCTION("""COMPUTED_VALUE"""),2.0)</f>
        <v>2</v>
      </c>
      <c r="AA148" s="9">
        <f>IFERROR(__xludf.DUMMYFUNCTION("""COMPUTED_VALUE"""),0.0)</f>
        <v>0</v>
      </c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</row>
    <row r="149">
      <c r="A149" s="8">
        <f>IFERROR(__xludf.DUMMYFUNCTION("""COMPUTED_VALUE"""),45267.0)</f>
        <v>45267</v>
      </c>
      <c r="B149" s="9">
        <f>IFERROR(__xludf.DUMMYFUNCTION("""COMPUTED_VALUE"""),75.0)</f>
        <v>75</v>
      </c>
      <c r="C149" s="9">
        <f>IFERROR(__xludf.DUMMYFUNCTION("""COMPUTED_VALUE"""),279.0)</f>
        <v>279</v>
      </c>
      <c r="D149" s="9">
        <f>IFERROR(__xludf.DUMMYFUNCTION("""COMPUTED_VALUE"""),4.0)</f>
        <v>4</v>
      </c>
      <c r="E149" s="9">
        <f>IFERROR(__xludf.DUMMYFUNCTION("""COMPUTED_VALUE"""),5075.0)</f>
        <v>5075</v>
      </c>
      <c r="F149" s="9">
        <f>IFERROR(__xludf.DUMMYFUNCTION("""COMPUTED_VALUE"""),68.0)</f>
        <v>68</v>
      </c>
      <c r="G149" s="9">
        <f>IFERROR(__xludf.DUMMYFUNCTION("""COMPUTED_VALUE"""),0.0)</f>
        <v>0</v>
      </c>
      <c r="H149" s="9"/>
      <c r="I149" s="9">
        <f>IFERROR(__xludf.DUMMYFUNCTION("""COMPUTED_VALUE"""),48.0)</f>
        <v>48</v>
      </c>
      <c r="J149" s="9">
        <f>IFERROR(__xludf.DUMMYFUNCTION("""COMPUTED_VALUE"""),9.0)</f>
        <v>9</v>
      </c>
      <c r="K149" s="9">
        <f>IFERROR(__xludf.DUMMYFUNCTION("""COMPUTED_VALUE"""),3.0)</f>
        <v>3</v>
      </c>
      <c r="L149" s="9">
        <f>IFERROR(__xludf.DUMMYFUNCTION("""COMPUTED_VALUE"""),0.0)</f>
        <v>0</v>
      </c>
      <c r="M149" s="9">
        <f>IFERROR(__xludf.DUMMYFUNCTION("""COMPUTED_VALUE"""),60.0)</f>
        <v>60</v>
      </c>
      <c r="N149" s="9">
        <f>IFERROR(__xludf.DUMMYFUNCTION("""COMPUTED_VALUE"""),61.0)</f>
        <v>61</v>
      </c>
      <c r="O149" s="9">
        <f>IFERROR(__xludf.DUMMYFUNCTION("""COMPUTED_VALUE"""),1.0)</f>
        <v>1</v>
      </c>
      <c r="P149" s="9">
        <f>IFERROR(__xludf.DUMMYFUNCTION("""COMPUTED_VALUE"""),13.0)</f>
        <v>13</v>
      </c>
      <c r="Q149" s="9">
        <f>IFERROR(__xludf.DUMMYFUNCTION("""COMPUTED_VALUE"""),38.0)</f>
        <v>38</v>
      </c>
      <c r="R149" s="9">
        <f>IFERROR(__xludf.DUMMYFUNCTION("""COMPUTED_VALUE"""),7.0)</f>
        <v>7</v>
      </c>
      <c r="S149" s="9">
        <f>IFERROR(__xludf.DUMMYFUNCTION("""COMPUTED_VALUE"""),21.0)</f>
        <v>21</v>
      </c>
      <c r="T149" s="9">
        <f>IFERROR(__xludf.DUMMYFUNCTION("""COMPUTED_VALUE"""),7.0)</f>
        <v>7</v>
      </c>
      <c r="U149" s="9">
        <f>IFERROR(__xludf.DUMMYFUNCTION("""COMPUTED_VALUE"""),0.0)</f>
        <v>0</v>
      </c>
      <c r="V149" s="9">
        <f>IFERROR(__xludf.DUMMYFUNCTION("""COMPUTED_VALUE"""),46.0)</f>
        <v>46</v>
      </c>
      <c r="W149" s="9">
        <f>IFERROR(__xludf.DUMMYFUNCTION("""COMPUTED_VALUE"""),1.0)</f>
        <v>1</v>
      </c>
      <c r="X149" s="9">
        <f>IFERROR(__xludf.DUMMYFUNCTION("""COMPUTED_VALUE"""),38.0)</f>
        <v>38</v>
      </c>
      <c r="Y149" s="9">
        <f>IFERROR(__xludf.DUMMYFUNCTION("""COMPUTED_VALUE"""),56.0)</f>
        <v>56</v>
      </c>
      <c r="Z149" s="9">
        <f>IFERROR(__xludf.DUMMYFUNCTION("""COMPUTED_VALUE"""),8.0)</f>
        <v>8</v>
      </c>
      <c r="AA149" s="9">
        <f>IFERROR(__xludf.DUMMYFUNCTION("""COMPUTED_VALUE"""),1.0)</f>
        <v>1</v>
      </c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</row>
    <row r="150">
      <c r="A150" s="8">
        <f>IFERROR(__xludf.DUMMYFUNCTION("""COMPUTED_VALUE"""),45268.0)</f>
        <v>45268</v>
      </c>
      <c r="B150" s="9">
        <f>IFERROR(__xludf.DUMMYFUNCTION("""COMPUTED_VALUE"""),53.0)</f>
        <v>53</v>
      </c>
      <c r="C150" s="9">
        <f>IFERROR(__xludf.DUMMYFUNCTION("""COMPUTED_VALUE"""),220.0)</f>
        <v>220</v>
      </c>
      <c r="D150" s="9">
        <f>IFERROR(__xludf.DUMMYFUNCTION("""COMPUTED_VALUE"""),4.0)</f>
        <v>4</v>
      </c>
      <c r="E150" s="9">
        <f>IFERROR(__xludf.DUMMYFUNCTION("""COMPUTED_VALUE"""),4001.0)</f>
        <v>4001</v>
      </c>
      <c r="F150" s="9">
        <f>IFERROR(__xludf.DUMMYFUNCTION("""COMPUTED_VALUE"""),75.0)</f>
        <v>75</v>
      </c>
      <c r="G150" s="9">
        <f>IFERROR(__xludf.DUMMYFUNCTION("""COMPUTED_VALUE"""),0.0)</f>
        <v>0</v>
      </c>
      <c r="H150" s="9"/>
      <c r="I150" s="9">
        <f>IFERROR(__xludf.DUMMYFUNCTION("""COMPUTED_VALUE"""),27.0)</f>
        <v>27</v>
      </c>
      <c r="J150" s="9">
        <f>IFERROR(__xludf.DUMMYFUNCTION("""COMPUTED_VALUE"""),10.0)</f>
        <v>10</v>
      </c>
      <c r="K150" s="9">
        <f>IFERROR(__xludf.DUMMYFUNCTION("""COMPUTED_VALUE"""),2.0)</f>
        <v>2</v>
      </c>
      <c r="L150" s="9">
        <f>IFERROR(__xludf.DUMMYFUNCTION("""COMPUTED_VALUE"""),0.0)</f>
        <v>0</v>
      </c>
      <c r="M150" s="9">
        <f>IFERROR(__xludf.DUMMYFUNCTION("""COMPUTED_VALUE"""),39.0)</f>
        <v>39</v>
      </c>
      <c r="N150" s="9">
        <f>IFERROR(__xludf.DUMMYFUNCTION("""COMPUTED_VALUE"""),42.0)</f>
        <v>42</v>
      </c>
      <c r="O150" s="9">
        <f>IFERROR(__xludf.DUMMYFUNCTION("""COMPUTED_VALUE"""),0.0)</f>
        <v>0</v>
      </c>
      <c r="P150" s="9">
        <f>IFERROR(__xludf.DUMMYFUNCTION("""COMPUTED_VALUE"""),10.0)</f>
        <v>10</v>
      </c>
      <c r="Q150" s="9">
        <f>IFERROR(__xludf.DUMMYFUNCTION("""COMPUTED_VALUE"""),29.0)</f>
        <v>29</v>
      </c>
      <c r="R150" s="9">
        <f>IFERROR(__xludf.DUMMYFUNCTION("""COMPUTED_VALUE"""),5.0)</f>
        <v>5</v>
      </c>
      <c r="S150" s="9">
        <f>IFERROR(__xludf.DUMMYFUNCTION("""COMPUTED_VALUE"""),23.0)</f>
        <v>23</v>
      </c>
      <c r="T150" s="9">
        <f>IFERROR(__xludf.DUMMYFUNCTION("""COMPUTED_VALUE"""),3.0)</f>
        <v>3</v>
      </c>
      <c r="U150" s="9">
        <f>IFERROR(__xludf.DUMMYFUNCTION("""COMPUTED_VALUE"""),0.0)</f>
        <v>0</v>
      </c>
      <c r="V150" s="9">
        <f>IFERROR(__xludf.DUMMYFUNCTION("""COMPUTED_VALUE"""),34.0)</f>
        <v>34</v>
      </c>
      <c r="W150" s="9">
        <f>IFERROR(__xludf.DUMMYFUNCTION("""COMPUTED_VALUE"""),0.0)</f>
        <v>0</v>
      </c>
      <c r="X150" s="9">
        <f>IFERROR(__xludf.DUMMYFUNCTION("""COMPUTED_VALUE"""),34.0)</f>
        <v>34</v>
      </c>
      <c r="Y150" s="9">
        <f>IFERROR(__xludf.DUMMYFUNCTION("""COMPUTED_VALUE"""),39.0)</f>
        <v>39</v>
      </c>
      <c r="Z150" s="9">
        <f>IFERROR(__xludf.DUMMYFUNCTION("""COMPUTED_VALUE"""),3.0)</f>
        <v>3</v>
      </c>
      <c r="AA150" s="9">
        <f>IFERROR(__xludf.DUMMYFUNCTION("""COMPUTED_VALUE"""),0.0)</f>
        <v>0</v>
      </c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</row>
    <row r="151">
      <c r="A151" s="8">
        <f>IFERROR(__xludf.DUMMYFUNCTION("""COMPUTED_VALUE"""),45269.0)</f>
        <v>45269</v>
      </c>
      <c r="B151" s="9">
        <f>IFERROR(__xludf.DUMMYFUNCTION("""COMPUTED_VALUE"""),0.0)</f>
        <v>0</v>
      </c>
      <c r="C151" s="9">
        <f>IFERROR(__xludf.DUMMYFUNCTION("""COMPUTED_VALUE"""),0.0)</f>
        <v>0</v>
      </c>
      <c r="D151" s="9">
        <f>IFERROR(__xludf.DUMMYFUNCTION("""COMPUTED_VALUE"""),0.0)</f>
        <v>0</v>
      </c>
      <c r="E151" s="9">
        <f>IFERROR(__xludf.DUMMYFUNCTION("""COMPUTED_VALUE"""),0.0)</f>
        <v>0</v>
      </c>
      <c r="F151" s="9">
        <f>IFERROR(__xludf.DUMMYFUNCTION("""COMPUTED_VALUE"""),0.0)</f>
        <v>0</v>
      </c>
      <c r="G151" s="9">
        <f>IFERROR(__xludf.DUMMYFUNCTION("""COMPUTED_VALUE"""),0.0)</f>
        <v>0</v>
      </c>
      <c r="H151" s="9"/>
      <c r="I151" s="9">
        <f>IFERROR(__xludf.DUMMYFUNCTION("""COMPUTED_VALUE"""),0.0)</f>
        <v>0</v>
      </c>
      <c r="J151" s="9">
        <f>IFERROR(__xludf.DUMMYFUNCTION("""COMPUTED_VALUE"""),0.0)</f>
        <v>0</v>
      </c>
      <c r="K151" s="9">
        <f>IFERROR(__xludf.DUMMYFUNCTION("""COMPUTED_VALUE"""),0.0)</f>
        <v>0</v>
      </c>
      <c r="L151" s="9">
        <f>IFERROR(__xludf.DUMMYFUNCTION("""COMPUTED_VALUE"""),0.0)</f>
        <v>0</v>
      </c>
      <c r="M151" s="9">
        <f>IFERROR(__xludf.DUMMYFUNCTION("""COMPUTED_VALUE"""),0.0)</f>
        <v>0</v>
      </c>
      <c r="N151" s="9">
        <f>IFERROR(__xludf.DUMMYFUNCTION("""COMPUTED_VALUE"""),0.0)</f>
        <v>0</v>
      </c>
      <c r="O151" s="9">
        <f>IFERROR(__xludf.DUMMYFUNCTION("""COMPUTED_VALUE"""),0.0)</f>
        <v>0</v>
      </c>
      <c r="P151" s="9">
        <f>IFERROR(__xludf.DUMMYFUNCTION("""COMPUTED_VALUE"""),0.0)</f>
        <v>0</v>
      </c>
      <c r="Q151" s="9">
        <f>IFERROR(__xludf.DUMMYFUNCTION("""COMPUTED_VALUE"""),0.0)</f>
        <v>0</v>
      </c>
      <c r="R151" s="9">
        <f>IFERROR(__xludf.DUMMYFUNCTION("""COMPUTED_VALUE"""),0.0)</f>
        <v>0</v>
      </c>
      <c r="S151" s="9">
        <f>IFERROR(__xludf.DUMMYFUNCTION("""COMPUTED_VALUE"""),0.0)</f>
        <v>0</v>
      </c>
      <c r="T151" s="9">
        <f>IFERROR(__xludf.DUMMYFUNCTION("""COMPUTED_VALUE"""),0.0)</f>
        <v>0</v>
      </c>
      <c r="U151" s="9">
        <f>IFERROR(__xludf.DUMMYFUNCTION("""COMPUTED_VALUE"""),0.0)</f>
        <v>0</v>
      </c>
      <c r="V151" s="9">
        <f>IFERROR(__xludf.DUMMYFUNCTION("""COMPUTED_VALUE"""),0.0)</f>
        <v>0</v>
      </c>
      <c r="W151" s="9">
        <f>IFERROR(__xludf.DUMMYFUNCTION("""COMPUTED_VALUE"""),0.0)</f>
        <v>0</v>
      </c>
      <c r="X151" s="9">
        <f>IFERROR(__xludf.DUMMYFUNCTION("""COMPUTED_VALUE"""),0.0)</f>
        <v>0</v>
      </c>
      <c r="Y151" s="9">
        <f>IFERROR(__xludf.DUMMYFUNCTION("""COMPUTED_VALUE"""),0.0)</f>
        <v>0</v>
      </c>
      <c r="Z151" s="9">
        <f>IFERROR(__xludf.DUMMYFUNCTION("""COMPUTED_VALUE"""),0.0)</f>
        <v>0</v>
      </c>
      <c r="AA151" s="9">
        <f>IFERROR(__xludf.DUMMYFUNCTION("""COMPUTED_VALUE"""),0.0)</f>
        <v>0</v>
      </c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</row>
    <row r="152">
      <c r="A152" s="8">
        <f>IFERROR(__xludf.DUMMYFUNCTION("""COMPUTED_VALUE"""),45270.0)</f>
        <v>45270</v>
      </c>
      <c r="B152" s="9">
        <f>IFERROR(__xludf.DUMMYFUNCTION("""COMPUTED_VALUE"""),0.0)</f>
        <v>0</v>
      </c>
      <c r="C152" s="9">
        <f>IFERROR(__xludf.DUMMYFUNCTION("""COMPUTED_VALUE"""),0.0)</f>
        <v>0</v>
      </c>
      <c r="D152" s="9">
        <f>IFERROR(__xludf.DUMMYFUNCTION("""COMPUTED_VALUE"""),0.0)</f>
        <v>0</v>
      </c>
      <c r="E152" s="9">
        <f>IFERROR(__xludf.DUMMYFUNCTION("""COMPUTED_VALUE"""),0.0)</f>
        <v>0</v>
      </c>
      <c r="F152" s="9">
        <f>IFERROR(__xludf.DUMMYFUNCTION("""COMPUTED_VALUE"""),0.0)</f>
        <v>0</v>
      </c>
      <c r="G152" s="9">
        <f>IFERROR(__xludf.DUMMYFUNCTION("""COMPUTED_VALUE"""),0.0)</f>
        <v>0</v>
      </c>
      <c r="H152" s="9"/>
      <c r="I152" s="9">
        <f>IFERROR(__xludf.DUMMYFUNCTION("""COMPUTED_VALUE"""),0.0)</f>
        <v>0</v>
      </c>
      <c r="J152" s="9">
        <f>IFERROR(__xludf.DUMMYFUNCTION("""COMPUTED_VALUE"""),0.0)</f>
        <v>0</v>
      </c>
      <c r="K152" s="9">
        <f>IFERROR(__xludf.DUMMYFUNCTION("""COMPUTED_VALUE"""),0.0)</f>
        <v>0</v>
      </c>
      <c r="L152" s="9">
        <f>IFERROR(__xludf.DUMMYFUNCTION("""COMPUTED_VALUE"""),0.0)</f>
        <v>0</v>
      </c>
      <c r="M152" s="9">
        <f>IFERROR(__xludf.DUMMYFUNCTION("""COMPUTED_VALUE"""),0.0)</f>
        <v>0</v>
      </c>
      <c r="N152" s="9">
        <f>IFERROR(__xludf.DUMMYFUNCTION("""COMPUTED_VALUE"""),0.0)</f>
        <v>0</v>
      </c>
      <c r="O152" s="9">
        <f>IFERROR(__xludf.DUMMYFUNCTION("""COMPUTED_VALUE"""),0.0)</f>
        <v>0</v>
      </c>
      <c r="P152" s="9">
        <f>IFERROR(__xludf.DUMMYFUNCTION("""COMPUTED_VALUE"""),0.0)</f>
        <v>0</v>
      </c>
      <c r="Q152" s="9">
        <f>IFERROR(__xludf.DUMMYFUNCTION("""COMPUTED_VALUE"""),0.0)</f>
        <v>0</v>
      </c>
      <c r="R152" s="9">
        <f>IFERROR(__xludf.DUMMYFUNCTION("""COMPUTED_VALUE"""),0.0)</f>
        <v>0</v>
      </c>
      <c r="S152" s="9">
        <f>IFERROR(__xludf.DUMMYFUNCTION("""COMPUTED_VALUE"""),0.0)</f>
        <v>0</v>
      </c>
      <c r="T152" s="9">
        <f>IFERROR(__xludf.DUMMYFUNCTION("""COMPUTED_VALUE"""),0.0)</f>
        <v>0</v>
      </c>
      <c r="U152" s="9">
        <f>IFERROR(__xludf.DUMMYFUNCTION("""COMPUTED_VALUE"""),0.0)</f>
        <v>0</v>
      </c>
      <c r="V152" s="9">
        <f>IFERROR(__xludf.DUMMYFUNCTION("""COMPUTED_VALUE"""),0.0)</f>
        <v>0</v>
      </c>
      <c r="W152" s="9">
        <f>IFERROR(__xludf.DUMMYFUNCTION("""COMPUTED_VALUE"""),0.0)</f>
        <v>0</v>
      </c>
      <c r="X152" s="9">
        <f>IFERROR(__xludf.DUMMYFUNCTION("""COMPUTED_VALUE"""),0.0)</f>
        <v>0</v>
      </c>
      <c r="Y152" s="9">
        <f>IFERROR(__xludf.DUMMYFUNCTION("""COMPUTED_VALUE"""),0.0)</f>
        <v>0</v>
      </c>
      <c r="Z152" s="9">
        <f>IFERROR(__xludf.DUMMYFUNCTION("""COMPUTED_VALUE"""),0.0)</f>
        <v>0</v>
      </c>
      <c r="AA152" s="9">
        <f>IFERROR(__xludf.DUMMYFUNCTION("""COMPUTED_VALUE"""),0.0)</f>
        <v>0</v>
      </c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</row>
    <row r="153">
      <c r="A153" s="8">
        <f>IFERROR(__xludf.DUMMYFUNCTION("""COMPUTED_VALUE"""),45271.0)</f>
        <v>45271</v>
      </c>
      <c r="B153" s="9">
        <f>IFERROR(__xludf.DUMMYFUNCTION("""COMPUTED_VALUE"""),71.0)</f>
        <v>71</v>
      </c>
      <c r="C153" s="9">
        <f>IFERROR(__xludf.DUMMYFUNCTION("""COMPUTED_VALUE"""),267.0)</f>
        <v>267</v>
      </c>
      <c r="D153" s="9">
        <f>IFERROR(__xludf.DUMMYFUNCTION("""COMPUTED_VALUE"""),4.0)</f>
        <v>4</v>
      </c>
      <c r="E153" s="9">
        <f>IFERROR(__xludf.DUMMYFUNCTION("""COMPUTED_VALUE"""),4615.0)</f>
        <v>4615</v>
      </c>
      <c r="F153" s="9">
        <f>IFERROR(__xludf.DUMMYFUNCTION("""COMPUTED_VALUE"""),65.0)</f>
        <v>65</v>
      </c>
      <c r="G153" s="9">
        <f>IFERROR(__xludf.DUMMYFUNCTION("""COMPUTED_VALUE"""),0.0)</f>
        <v>0</v>
      </c>
      <c r="H153" s="9"/>
      <c r="I153" s="9">
        <f>IFERROR(__xludf.DUMMYFUNCTION("""COMPUTED_VALUE"""),34.0)</f>
        <v>34</v>
      </c>
      <c r="J153" s="9">
        <f>IFERROR(__xludf.DUMMYFUNCTION("""COMPUTED_VALUE"""),7.0)</f>
        <v>7</v>
      </c>
      <c r="K153" s="9">
        <f>IFERROR(__xludf.DUMMYFUNCTION("""COMPUTED_VALUE"""),0.0)</f>
        <v>0</v>
      </c>
      <c r="L153" s="9">
        <f>IFERROR(__xludf.DUMMYFUNCTION("""COMPUTED_VALUE"""),2.0)</f>
        <v>2</v>
      </c>
      <c r="M153" s="9">
        <f>IFERROR(__xludf.DUMMYFUNCTION("""COMPUTED_VALUE"""),45.0)</f>
        <v>45</v>
      </c>
      <c r="N153" s="9">
        <f>IFERROR(__xludf.DUMMYFUNCTION("""COMPUTED_VALUE"""),58.0)</f>
        <v>58</v>
      </c>
      <c r="O153" s="9">
        <f>IFERROR(__xludf.DUMMYFUNCTION("""COMPUTED_VALUE"""),0.0)</f>
        <v>0</v>
      </c>
      <c r="P153" s="9">
        <f>IFERROR(__xludf.DUMMYFUNCTION("""COMPUTED_VALUE"""),13.0)</f>
        <v>13</v>
      </c>
      <c r="Q153" s="9">
        <f>IFERROR(__xludf.DUMMYFUNCTION("""COMPUTED_VALUE"""),42.0)</f>
        <v>42</v>
      </c>
      <c r="R153" s="9">
        <f>IFERROR(__xludf.DUMMYFUNCTION("""COMPUTED_VALUE"""),8.0)</f>
        <v>8</v>
      </c>
      <c r="S153" s="9">
        <f>IFERROR(__xludf.DUMMYFUNCTION("""COMPUTED_VALUE"""),26.0)</f>
        <v>26</v>
      </c>
      <c r="T153" s="9">
        <f>IFERROR(__xludf.DUMMYFUNCTION("""COMPUTED_VALUE"""),2.0)</f>
        <v>2</v>
      </c>
      <c r="U153" s="9">
        <f>IFERROR(__xludf.DUMMYFUNCTION("""COMPUTED_VALUE"""),0.0)</f>
        <v>0</v>
      </c>
      <c r="V153" s="9">
        <f>IFERROR(__xludf.DUMMYFUNCTION("""COMPUTED_VALUE"""),50.0)</f>
        <v>50</v>
      </c>
      <c r="W153" s="9">
        <f>IFERROR(__xludf.DUMMYFUNCTION("""COMPUTED_VALUE"""),0.0)</f>
        <v>0</v>
      </c>
      <c r="X153" s="9">
        <f>IFERROR(__xludf.DUMMYFUNCTION("""COMPUTED_VALUE"""),33.0)</f>
        <v>33</v>
      </c>
      <c r="Y153" s="9">
        <f>IFERROR(__xludf.DUMMYFUNCTION("""COMPUTED_VALUE"""),56.0)</f>
        <v>56</v>
      </c>
      <c r="Z153" s="9">
        <f>IFERROR(__xludf.DUMMYFUNCTION("""COMPUTED_VALUE"""),2.0)</f>
        <v>2</v>
      </c>
      <c r="AA153" s="9">
        <f>IFERROR(__xludf.DUMMYFUNCTION("""COMPUTED_VALUE"""),0.0)</f>
        <v>0</v>
      </c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</row>
    <row r="154">
      <c r="A154" s="8">
        <f>IFERROR(__xludf.DUMMYFUNCTION("""COMPUTED_VALUE"""),45272.0)</f>
        <v>45272</v>
      </c>
      <c r="B154" s="9">
        <f>IFERROR(__xludf.DUMMYFUNCTION("""COMPUTED_VALUE"""),45.0)</f>
        <v>45</v>
      </c>
      <c r="C154" s="9">
        <f>IFERROR(__xludf.DUMMYFUNCTION("""COMPUTED_VALUE"""),187.0)</f>
        <v>187</v>
      </c>
      <c r="D154" s="9">
        <f>IFERROR(__xludf.DUMMYFUNCTION("""COMPUTED_VALUE"""),4.0)</f>
        <v>4</v>
      </c>
      <c r="E154" s="9">
        <f>IFERROR(__xludf.DUMMYFUNCTION("""COMPUTED_VALUE"""),3096.0)</f>
        <v>3096</v>
      </c>
      <c r="F154" s="9">
        <f>IFERROR(__xludf.DUMMYFUNCTION("""COMPUTED_VALUE"""),69.0)</f>
        <v>69</v>
      </c>
      <c r="G154" s="9">
        <f>IFERROR(__xludf.DUMMYFUNCTION("""COMPUTED_VALUE"""),0.0)</f>
        <v>0</v>
      </c>
      <c r="H154" s="9"/>
      <c r="I154" s="9">
        <f>IFERROR(__xludf.DUMMYFUNCTION("""COMPUTED_VALUE"""),37.0)</f>
        <v>37</v>
      </c>
      <c r="J154" s="9">
        <f>IFERROR(__xludf.DUMMYFUNCTION("""COMPUTED_VALUE"""),4.0)</f>
        <v>4</v>
      </c>
      <c r="K154" s="9">
        <f>IFERROR(__xludf.DUMMYFUNCTION("""COMPUTED_VALUE"""),0.0)</f>
        <v>0</v>
      </c>
      <c r="L154" s="9">
        <f>IFERROR(__xludf.DUMMYFUNCTION("""COMPUTED_VALUE"""),0.0)</f>
        <v>0</v>
      </c>
      <c r="M154" s="9">
        <f>IFERROR(__xludf.DUMMYFUNCTION("""COMPUTED_VALUE"""),41.0)</f>
        <v>41</v>
      </c>
      <c r="N154" s="9">
        <f>IFERROR(__xludf.DUMMYFUNCTION("""COMPUTED_VALUE"""),38.0)</f>
        <v>38</v>
      </c>
      <c r="O154" s="9">
        <f>IFERROR(__xludf.DUMMYFUNCTION("""COMPUTED_VALUE"""),0.0)</f>
        <v>0</v>
      </c>
      <c r="P154" s="9">
        <f>IFERROR(__xludf.DUMMYFUNCTION("""COMPUTED_VALUE"""),7.0)</f>
        <v>7</v>
      </c>
      <c r="Q154" s="9">
        <f>IFERROR(__xludf.DUMMYFUNCTION("""COMPUTED_VALUE"""),25.0)</f>
        <v>25</v>
      </c>
      <c r="R154" s="9">
        <f>IFERROR(__xludf.DUMMYFUNCTION("""COMPUTED_VALUE"""),4.0)</f>
        <v>4</v>
      </c>
      <c r="S154" s="9">
        <f>IFERROR(__xludf.DUMMYFUNCTION("""COMPUTED_VALUE"""),17.0)</f>
        <v>17</v>
      </c>
      <c r="T154" s="9">
        <f>IFERROR(__xludf.DUMMYFUNCTION("""COMPUTED_VALUE"""),2.0)</f>
        <v>2</v>
      </c>
      <c r="U154" s="9">
        <f>IFERROR(__xludf.DUMMYFUNCTION("""COMPUTED_VALUE"""),0.0)</f>
        <v>0</v>
      </c>
      <c r="V154" s="9">
        <f>IFERROR(__xludf.DUMMYFUNCTION("""COMPUTED_VALUE"""),29.0)</f>
        <v>29</v>
      </c>
      <c r="W154" s="9">
        <f>IFERROR(__xludf.DUMMYFUNCTION("""COMPUTED_VALUE"""),0.0)</f>
        <v>0</v>
      </c>
      <c r="X154" s="9">
        <f>IFERROR(__xludf.DUMMYFUNCTION("""COMPUTED_VALUE"""),26.0)</f>
        <v>26</v>
      </c>
      <c r="Y154" s="9">
        <f>IFERROR(__xludf.DUMMYFUNCTION("""COMPUTED_VALUE"""),32.0)</f>
        <v>32</v>
      </c>
      <c r="Z154" s="9">
        <f>IFERROR(__xludf.DUMMYFUNCTION("""COMPUTED_VALUE"""),2.0)</f>
        <v>2</v>
      </c>
      <c r="AA154" s="9">
        <f>IFERROR(__xludf.DUMMYFUNCTION("""COMPUTED_VALUE"""),0.0)</f>
        <v>0</v>
      </c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</row>
    <row r="155">
      <c r="A155" s="8">
        <f>IFERROR(__xludf.DUMMYFUNCTION("""COMPUTED_VALUE"""),45273.0)</f>
        <v>45273</v>
      </c>
      <c r="B155" s="9">
        <f>IFERROR(__xludf.DUMMYFUNCTION("""COMPUTED_VALUE"""),30.0)</f>
        <v>30</v>
      </c>
      <c r="C155" s="9">
        <f>IFERROR(__xludf.DUMMYFUNCTION("""COMPUTED_VALUE"""),130.0)</f>
        <v>130</v>
      </c>
      <c r="D155" s="9">
        <f>IFERROR(__xludf.DUMMYFUNCTION("""COMPUTED_VALUE"""),4.0)</f>
        <v>4</v>
      </c>
      <c r="E155" s="9">
        <f>IFERROR(__xludf.DUMMYFUNCTION("""COMPUTED_VALUE"""),2448.0)</f>
        <v>2448</v>
      </c>
      <c r="F155" s="9">
        <f>IFERROR(__xludf.DUMMYFUNCTION("""COMPUTED_VALUE"""),82.0)</f>
        <v>82</v>
      </c>
      <c r="G155" s="9">
        <f>IFERROR(__xludf.DUMMYFUNCTION("""COMPUTED_VALUE"""),0.0)</f>
        <v>0</v>
      </c>
      <c r="H155" s="9"/>
      <c r="I155" s="9">
        <f>IFERROR(__xludf.DUMMYFUNCTION("""COMPUTED_VALUE"""),26.0)</f>
        <v>26</v>
      </c>
      <c r="J155" s="9">
        <f>IFERROR(__xludf.DUMMYFUNCTION("""COMPUTED_VALUE"""),2.0)</f>
        <v>2</v>
      </c>
      <c r="K155" s="9">
        <f>IFERROR(__xludf.DUMMYFUNCTION("""COMPUTED_VALUE"""),0.0)</f>
        <v>0</v>
      </c>
      <c r="L155" s="9">
        <f>IFERROR(__xludf.DUMMYFUNCTION("""COMPUTED_VALUE"""),0.0)</f>
        <v>0</v>
      </c>
      <c r="M155" s="9">
        <f>IFERROR(__xludf.DUMMYFUNCTION("""COMPUTED_VALUE"""),28.0)</f>
        <v>28</v>
      </c>
      <c r="N155" s="9">
        <f>IFERROR(__xludf.DUMMYFUNCTION("""COMPUTED_VALUE"""),24.0)</f>
        <v>24</v>
      </c>
      <c r="O155" s="9">
        <f>IFERROR(__xludf.DUMMYFUNCTION("""COMPUTED_VALUE"""),0.0)</f>
        <v>0</v>
      </c>
      <c r="P155" s="9">
        <f>IFERROR(__xludf.DUMMYFUNCTION("""COMPUTED_VALUE"""),6.0)</f>
        <v>6</v>
      </c>
      <c r="Q155" s="9">
        <f>IFERROR(__xludf.DUMMYFUNCTION("""COMPUTED_VALUE"""),13.0)</f>
        <v>13</v>
      </c>
      <c r="R155" s="9">
        <f>IFERROR(__xludf.DUMMYFUNCTION("""COMPUTED_VALUE"""),3.0)</f>
        <v>3</v>
      </c>
      <c r="S155" s="9">
        <f>IFERROR(__xludf.DUMMYFUNCTION("""COMPUTED_VALUE"""),8.0)</f>
        <v>8</v>
      </c>
      <c r="T155" s="9">
        <f>IFERROR(__xludf.DUMMYFUNCTION("""COMPUTED_VALUE"""),4.0)</f>
        <v>4</v>
      </c>
      <c r="U155" s="9">
        <f>IFERROR(__xludf.DUMMYFUNCTION("""COMPUTED_VALUE"""),0.0)</f>
        <v>0</v>
      </c>
      <c r="V155" s="9">
        <f>IFERROR(__xludf.DUMMYFUNCTION("""COMPUTED_VALUE"""),16.0)</f>
        <v>16</v>
      </c>
      <c r="W155" s="9">
        <f>IFERROR(__xludf.DUMMYFUNCTION("""COMPUTED_VALUE"""),2.0)</f>
        <v>2</v>
      </c>
      <c r="X155" s="9">
        <f>IFERROR(__xludf.DUMMYFUNCTION("""COMPUTED_VALUE"""),30.0)</f>
        <v>30</v>
      </c>
      <c r="Y155" s="9">
        <f>IFERROR(__xludf.DUMMYFUNCTION("""COMPUTED_VALUE"""),22.0)</f>
        <v>22</v>
      </c>
      <c r="Z155" s="9">
        <f>IFERROR(__xludf.DUMMYFUNCTION("""COMPUTED_VALUE"""),6.0)</f>
        <v>6</v>
      </c>
      <c r="AA155" s="9">
        <f>IFERROR(__xludf.DUMMYFUNCTION("""COMPUTED_VALUE"""),0.0)</f>
        <v>0</v>
      </c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</row>
    <row r="156">
      <c r="A156" s="8">
        <f>IFERROR(__xludf.DUMMYFUNCTION("""COMPUTED_VALUE"""),45274.0)</f>
        <v>45274</v>
      </c>
      <c r="B156" s="9">
        <f>IFERROR(__xludf.DUMMYFUNCTION("""COMPUTED_VALUE"""),50.0)</f>
        <v>50</v>
      </c>
      <c r="C156" s="9">
        <f>IFERROR(__xludf.DUMMYFUNCTION("""COMPUTED_VALUE"""),203.0)</f>
        <v>203</v>
      </c>
      <c r="D156" s="9">
        <f>IFERROR(__xludf.DUMMYFUNCTION("""COMPUTED_VALUE"""),4.0)</f>
        <v>4</v>
      </c>
      <c r="E156" s="9">
        <f>IFERROR(__xludf.DUMMYFUNCTION("""COMPUTED_VALUE"""),4009.0)</f>
        <v>4009</v>
      </c>
      <c r="F156" s="9">
        <f>IFERROR(__xludf.DUMMYFUNCTION("""COMPUTED_VALUE"""),80.0)</f>
        <v>80</v>
      </c>
      <c r="G156" s="9">
        <f>IFERROR(__xludf.DUMMYFUNCTION("""COMPUTED_VALUE"""),0.0)</f>
        <v>0</v>
      </c>
      <c r="H156" s="9"/>
      <c r="I156" s="9">
        <f>IFERROR(__xludf.DUMMYFUNCTION("""COMPUTED_VALUE"""),42.0)</f>
        <v>42</v>
      </c>
      <c r="J156" s="9">
        <f>IFERROR(__xludf.DUMMYFUNCTION("""COMPUTED_VALUE"""),4.0)</f>
        <v>4</v>
      </c>
      <c r="K156" s="9">
        <f>IFERROR(__xludf.DUMMYFUNCTION("""COMPUTED_VALUE"""),0.0)</f>
        <v>0</v>
      </c>
      <c r="L156" s="9">
        <f>IFERROR(__xludf.DUMMYFUNCTION("""COMPUTED_VALUE"""),0.0)</f>
        <v>0</v>
      </c>
      <c r="M156" s="9">
        <f>IFERROR(__xludf.DUMMYFUNCTION("""COMPUTED_VALUE"""),46.0)</f>
        <v>46</v>
      </c>
      <c r="N156" s="9">
        <f>IFERROR(__xludf.DUMMYFUNCTION("""COMPUTED_VALUE"""),40.0)</f>
        <v>40</v>
      </c>
      <c r="O156" s="9">
        <f>IFERROR(__xludf.DUMMYFUNCTION("""COMPUTED_VALUE"""),0.0)</f>
        <v>0</v>
      </c>
      <c r="P156" s="9">
        <f>IFERROR(__xludf.DUMMYFUNCTION("""COMPUTED_VALUE"""),10.0)</f>
        <v>10</v>
      </c>
      <c r="Q156" s="9">
        <f>IFERROR(__xludf.DUMMYFUNCTION("""COMPUTED_VALUE"""),20.0)</f>
        <v>20</v>
      </c>
      <c r="R156" s="9">
        <f>IFERROR(__xludf.DUMMYFUNCTION("""COMPUTED_VALUE"""),7.0)</f>
        <v>7</v>
      </c>
      <c r="S156" s="9">
        <f>IFERROR(__xludf.DUMMYFUNCTION("""COMPUTED_VALUE"""),20.0)</f>
        <v>20</v>
      </c>
      <c r="T156" s="9">
        <f>IFERROR(__xludf.DUMMYFUNCTION("""COMPUTED_VALUE"""),1.0)</f>
        <v>1</v>
      </c>
      <c r="U156" s="9">
        <f>IFERROR(__xludf.DUMMYFUNCTION("""COMPUTED_VALUE"""),0.0)</f>
        <v>0</v>
      </c>
      <c r="V156" s="9">
        <f>IFERROR(__xludf.DUMMYFUNCTION("""COMPUTED_VALUE"""),27.0)</f>
        <v>27</v>
      </c>
      <c r="W156" s="9">
        <f>IFERROR(__xludf.DUMMYFUNCTION("""COMPUTED_VALUE"""),0.0)</f>
        <v>0</v>
      </c>
      <c r="X156" s="9">
        <f>IFERROR(__xludf.DUMMYFUNCTION("""COMPUTED_VALUE"""),49.0)</f>
        <v>49</v>
      </c>
      <c r="Y156" s="9">
        <f>IFERROR(__xludf.DUMMYFUNCTION("""COMPUTED_VALUE"""),30.0)</f>
        <v>30</v>
      </c>
      <c r="Z156" s="9">
        <f>IFERROR(__xludf.DUMMYFUNCTION("""COMPUTED_VALUE"""),1.0)</f>
        <v>1</v>
      </c>
      <c r="AA156" s="9">
        <f>IFERROR(__xludf.DUMMYFUNCTION("""COMPUTED_VALUE"""),0.0)</f>
        <v>0</v>
      </c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</row>
    <row r="157">
      <c r="A157" s="8">
        <f>IFERROR(__xludf.DUMMYFUNCTION("""COMPUTED_VALUE"""),45275.0)</f>
        <v>45275</v>
      </c>
      <c r="B157" s="9">
        <f>IFERROR(__xludf.DUMMYFUNCTION("""COMPUTED_VALUE"""),60.0)</f>
        <v>60</v>
      </c>
      <c r="C157" s="9">
        <f>IFERROR(__xludf.DUMMYFUNCTION("""COMPUTED_VALUE"""),274.0)</f>
        <v>274</v>
      </c>
      <c r="D157" s="9">
        <f>IFERROR(__xludf.DUMMYFUNCTION("""COMPUTED_VALUE"""),5.0)</f>
        <v>5</v>
      </c>
      <c r="E157" s="9">
        <f>IFERROR(__xludf.DUMMYFUNCTION("""COMPUTED_VALUE"""),4448.0)</f>
        <v>4448</v>
      </c>
      <c r="F157" s="9">
        <f>IFERROR(__xludf.DUMMYFUNCTION("""COMPUTED_VALUE"""),74.0)</f>
        <v>74</v>
      </c>
      <c r="G157" s="9">
        <f>IFERROR(__xludf.DUMMYFUNCTION("""COMPUTED_VALUE"""),0.0)</f>
        <v>0</v>
      </c>
      <c r="H157" s="9"/>
      <c r="I157" s="9">
        <f>IFERROR(__xludf.DUMMYFUNCTION("""COMPUTED_VALUE"""),42.0)</f>
        <v>42</v>
      </c>
      <c r="J157" s="9">
        <f>IFERROR(__xludf.DUMMYFUNCTION("""COMPUTED_VALUE"""),5.0)</f>
        <v>5</v>
      </c>
      <c r="K157" s="9">
        <f>IFERROR(__xludf.DUMMYFUNCTION("""COMPUTED_VALUE"""),1.0)</f>
        <v>1</v>
      </c>
      <c r="L157" s="9">
        <f>IFERROR(__xludf.DUMMYFUNCTION("""COMPUTED_VALUE"""),1.0)</f>
        <v>1</v>
      </c>
      <c r="M157" s="9">
        <f>IFERROR(__xludf.DUMMYFUNCTION("""COMPUTED_VALUE"""),49.0)</f>
        <v>49</v>
      </c>
      <c r="N157" s="9">
        <f>IFERROR(__xludf.DUMMYFUNCTION("""COMPUTED_VALUE"""),43.0)</f>
        <v>43</v>
      </c>
      <c r="O157" s="9">
        <f>IFERROR(__xludf.DUMMYFUNCTION("""COMPUTED_VALUE"""),0.0)</f>
        <v>0</v>
      </c>
      <c r="P157" s="9">
        <f>IFERROR(__xludf.DUMMYFUNCTION("""COMPUTED_VALUE"""),17.0)</f>
        <v>17</v>
      </c>
      <c r="Q157" s="9">
        <f>IFERROR(__xludf.DUMMYFUNCTION("""COMPUTED_VALUE"""),26.0)</f>
        <v>26</v>
      </c>
      <c r="R157" s="9">
        <f>IFERROR(__xludf.DUMMYFUNCTION("""COMPUTED_VALUE"""),12.0)</f>
        <v>12</v>
      </c>
      <c r="S157" s="9">
        <f>IFERROR(__xludf.DUMMYFUNCTION("""COMPUTED_VALUE"""),17.0)</f>
        <v>17</v>
      </c>
      <c r="T157" s="9">
        <f>IFERROR(__xludf.DUMMYFUNCTION("""COMPUTED_VALUE"""),1.0)</f>
        <v>1</v>
      </c>
      <c r="U157" s="9">
        <f>IFERROR(__xludf.DUMMYFUNCTION("""COMPUTED_VALUE"""),0.0)</f>
        <v>0</v>
      </c>
      <c r="V157" s="9">
        <f>IFERROR(__xludf.DUMMYFUNCTION("""COMPUTED_VALUE"""),38.0)</f>
        <v>38</v>
      </c>
      <c r="W157" s="9">
        <f>IFERROR(__xludf.DUMMYFUNCTION("""COMPUTED_VALUE"""),1.0)</f>
        <v>1</v>
      </c>
      <c r="X157" s="9">
        <f>IFERROR(__xludf.DUMMYFUNCTION("""COMPUTED_VALUE"""),36.0)</f>
        <v>36</v>
      </c>
      <c r="Y157" s="9">
        <f>IFERROR(__xludf.DUMMYFUNCTION("""COMPUTED_VALUE"""),48.0)</f>
        <v>48</v>
      </c>
      <c r="Z157" s="9">
        <f>IFERROR(__xludf.DUMMYFUNCTION("""COMPUTED_VALUE"""),2.0)</f>
        <v>2</v>
      </c>
      <c r="AA157" s="9">
        <f>IFERROR(__xludf.DUMMYFUNCTION("""COMPUTED_VALUE"""),0.0)</f>
        <v>0</v>
      </c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</row>
    <row r="158">
      <c r="A158" s="8">
        <f>IFERROR(__xludf.DUMMYFUNCTION("""COMPUTED_VALUE"""),45276.0)</f>
        <v>45276</v>
      </c>
      <c r="B158" s="9">
        <f>IFERROR(__xludf.DUMMYFUNCTION("""COMPUTED_VALUE"""),0.0)</f>
        <v>0</v>
      </c>
      <c r="C158" s="9">
        <f>IFERROR(__xludf.DUMMYFUNCTION("""COMPUTED_VALUE"""),0.0)</f>
        <v>0</v>
      </c>
      <c r="D158" s="9">
        <f>IFERROR(__xludf.DUMMYFUNCTION("""COMPUTED_VALUE"""),0.0)</f>
        <v>0</v>
      </c>
      <c r="E158" s="9">
        <f>IFERROR(__xludf.DUMMYFUNCTION("""COMPUTED_VALUE"""),0.0)</f>
        <v>0</v>
      </c>
      <c r="F158" s="9">
        <f>IFERROR(__xludf.DUMMYFUNCTION("""COMPUTED_VALUE"""),0.0)</f>
        <v>0</v>
      </c>
      <c r="G158" s="9">
        <f>IFERROR(__xludf.DUMMYFUNCTION("""COMPUTED_VALUE"""),0.0)</f>
        <v>0</v>
      </c>
      <c r="H158" s="9"/>
      <c r="I158" s="9">
        <f>IFERROR(__xludf.DUMMYFUNCTION("""COMPUTED_VALUE"""),0.0)</f>
        <v>0</v>
      </c>
      <c r="J158" s="9">
        <f>IFERROR(__xludf.DUMMYFUNCTION("""COMPUTED_VALUE"""),0.0)</f>
        <v>0</v>
      </c>
      <c r="K158" s="9">
        <f>IFERROR(__xludf.DUMMYFUNCTION("""COMPUTED_VALUE"""),0.0)</f>
        <v>0</v>
      </c>
      <c r="L158" s="9">
        <f>IFERROR(__xludf.DUMMYFUNCTION("""COMPUTED_VALUE"""),0.0)</f>
        <v>0</v>
      </c>
      <c r="M158" s="9">
        <f>IFERROR(__xludf.DUMMYFUNCTION("""COMPUTED_VALUE"""),0.0)</f>
        <v>0</v>
      </c>
      <c r="N158" s="9">
        <f>IFERROR(__xludf.DUMMYFUNCTION("""COMPUTED_VALUE"""),0.0)</f>
        <v>0</v>
      </c>
      <c r="O158" s="9">
        <f>IFERROR(__xludf.DUMMYFUNCTION("""COMPUTED_VALUE"""),0.0)</f>
        <v>0</v>
      </c>
      <c r="P158" s="9">
        <f>IFERROR(__xludf.DUMMYFUNCTION("""COMPUTED_VALUE"""),0.0)</f>
        <v>0</v>
      </c>
      <c r="Q158" s="9">
        <f>IFERROR(__xludf.DUMMYFUNCTION("""COMPUTED_VALUE"""),0.0)</f>
        <v>0</v>
      </c>
      <c r="R158" s="9">
        <f>IFERROR(__xludf.DUMMYFUNCTION("""COMPUTED_VALUE"""),0.0)</f>
        <v>0</v>
      </c>
      <c r="S158" s="9">
        <f>IFERROR(__xludf.DUMMYFUNCTION("""COMPUTED_VALUE"""),0.0)</f>
        <v>0</v>
      </c>
      <c r="T158" s="9">
        <f>IFERROR(__xludf.DUMMYFUNCTION("""COMPUTED_VALUE"""),0.0)</f>
        <v>0</v>
      </c>
      <c r="U158" s="9">
        <f>IFERROR(__xludf.DUMMYFUNCTION("""COMPUTED_VALUE"""),0.0)</f>
        <v>0</v>
      </c>
      <c r="V158" s="9">
        <f>IFERROR(__xludf.DUMMYFUNCTION("""COMPUTED_VALUE"""),0.0)</f>
        <v>0</v>
      </c>
      <c r="W158" s="9">
        <f>IFERROR(__xludf.DUMMYFUNCTION("""COMPUTED_VALUE"""),0.0)</f>
        <v>0</v>
      </c>
      <c r="X158" s="9">
        <f>IFERROR(__xludf.DUMMYFUNCTION("""COMPUTED_VALUE"""),0.0)</f>
        <v>0</v>
      </c>
      <c r="Y158" s="9">
        <f>IFERROR(__xludf.DUMMYFUNCTION("""COMPUTED_VALUE"""),0.0)</f>
        <v>0</v>
      </c>
      <c r="Z158" s="9">
        <f>IFERROR(__xludf.DUMMYFUNCTION("""COMPUTED_VALUE"""),0.0)</f>
        <v>0</v>
      </c>
      <c r="AA158" s="9">
        <f>IFERROR(__xludf.DUMMYFUNCTION("""COMPUTED_VALUE"""),0.0)</f>
        <v>0</v>
      </c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</row>
    <row r="159">
      <c r="A159" s="8">
        <f>IFERROR(__xludf.DUMMYFUNCTION("""COMPUTED_VALUE"""),45277.0)</f>
        <v>45277</v>
      </c>
      <c r="B159" s="9">
        <f>IFERROR(__xludf.DUMMYFUNCTION("""COMPUTED_VALUE"""),0.0)</f>
        <v>0</v>
      </c>
      <c r="C159" s="9">
        <f>IFERROR(__xludf.DUMMYFUNCTION("""COMPUTED_VALUE"""),0.0)</f>
        <v>0</v>
      </c>
      <c r="D159" s="9">
        <f>IFERROR(__xludf.DUMMYFUNCTION("""COMPUTED_VALUE"""),0.0)</f>
        <v>0</v>
      </c>
      <c r="E159" s="9">
        <f>IFERROR(__xludf.DUMMYFUNCTION("""COMPUTED_VALUE"""),0.0)</f>
        <v>0</v>
      </c>
      <c r="F159" s="9">
        <f>IFERROR(__xludf.DUMMYFUNCTION("""COMPUTED_VALUE"""),0.0)</f>
        <v>0</v>
      </c>
      <c r="G159" s="9">
        <f>IFERROR(__xludf.DUMMYFUNCTION("""COMPUTED_VALUE"""),0.0)</f>
        <v>0</v>
      </c>
      <c r="H159" s="9"/>
      <c r="I159" s="9">
        <f>IFERROR(__xludf.DUMMYFUNCTION("""COMPUTED_VALUE"""),0.0)</f>
        <v>0</v>
      </c>
      <c r="J159" s="9">
        <f>IFERROR(__xludf.DUMMYFUNCTION("""COMPUTED_VALUE"""),0.0)</f>
        <v>0</v>
      </c>
      <c r="K159" s="9">
        <f>IFERROR(__xludf.DUMMYFUNCTION("""COMPUTED_VALUE"""),0.0)</f>
        <v>0</v>
      </c>
      <c r="L159" s="9">
        <f>IFERROR(__xludf.DUMMYFUNCTION("""COMPUTED_VALUE"""),0.0)</f>
        <v>0</v>
      </c>
      <c r="M159" s="9">
        <f>IFERROR(__xludf.DUMMYFUNCTION("""COMPUTED_VALUE"""),0.0)</f>
        <v>0</v>
      </c>
      <c r="N159" s="9">
        <f>IFERROR(__xludf.DUMMYFUNCTION("""COMPUTED_VALUE"""),0.0)</f>
        <v>0</v>
      </c>
      <c r="O159" s="9">
        <f>IFERROR(__xludf.DUMMYFUNCTION("""COMPUTED_VALUE"""),0.0)</f>
        <v>0</v>
      </c>
      <c r="P159" s="9">
        <f>IFERROR(__xludf.DUMMYFUNCTION("""COMPUTED_VALUE"""),0.0)</f>
        <v>0</v>
      </c>
      <c r="Q159" s="9">
        <f>IFERROR(__xludf.DUMMYFUNCTION("""COMPUTED_VALUE"""),0.0)</f>
        <v>0</v>
      </c>
      <c r="R159" s="9">
        <f>IFERROR(__xludf.DUMMYFUNCTION("""COMPUTED_VALUE"""),0.0)</f>
        <v>0</v>
      </c>
      <c r="S159" s="9">
        <f>IFERROR(__xludf.DUMMYFUNCTION("""COMPUTED_VALUE"""),0.0)</f>
        <v>0</v>
      </c>
      <c r="T159" s="9">
        <f>IFERROR(__xludf.DUMMYFUNCTION("""COMPUTED_VALUE"""),0.0)</f>
        <v>0</v>
      </c>
      <c r="U159" s="9">
        <f>IFERROR(__xludf.DUMMYFUNCTION("""COMPUTED_VALUE"""),0.0)</f>
        <v>0</v>
      </c>
      <c r="V159" s="9">
        <f>IFERROR(__xludf.DUMMYFUNCTION("""COMPUTED_VALUE"""),0.0)</f>
        <v>0</v>
      </c>
      <c r="W159" s="9">
        <f>IFERROR(__xludf.DUMMYFUNCTION("""COMPUTED_VALUE"""),0.0)</f>
        <v>0</v>
      </c>
      <c r="X159" s="9">
        <f>IFERROR(__xludf.DUMMYFUNCTION("""COMPUTED_VALUE"""),0.0)</f>
        <v>0</v>
      </c>
      <c r="Y159" s="9">
        <f>IFERROR(__xludf.DUMMYFUNCTION("""COMPUTED_VALUE"""),0.0)</f>
        <v>0</v>
      </c>
      <c r="Z159" s="9">
        <f>IFERROR(__xludf.DUMMYFUNCTION("""COMPUTED_VALUE"""),0.0)</f>
        <v>0</v>
      </c>
      <c r="AA159" s="9">
        <f>IFERROR(__xludf.DUMMYFUNCTION("""COMPUTED_VALUE"""),0.0)</f>
        <v>0</v>
      </c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</row>
    <row r="160">
      <c r="A160" s="8">
        <f>IFERROR(__xludf.DUMMYFUNCTION("""COMPUTED_VALUE"""),45278.0)</f>
        <v>45278</v>
      </c>
      <c r="B160" s="9">
        <f>IFERROR(__xludf.DUMMYFUNCTION("""COMPUTED_VALUE"""),58.0)</f>
        <v>58</v>
      </c>
      <c r="C160" s="9">
        <f>IFERROR(__xludf.DUMMYFUNCTION("""COMPUTED_VALUE"""),211.0)</f>
        <v>211</v>
      </c>
      <c r="D160" s="9">
        <f>IFERROR(__xludf.DUMMYFUNCTION("""COMPUTED_VALUE"""),4.0)</f>
        <v>4</v>
      </c>
      <c r="E160" s="9">
        <f>IFERROR(__xludf.DUMMYFUNCTION("""COMPUTED_VALUE"""),3503.0)</f>
        <v>3503</v>
      </c>
      <c r="F160" s="9">
        <f>IFERROR(__xludf.DUMMYFUNCTION("""COMPUTED_VALUE"""),60.0)</f>
        <v>60</v>
      </c>
      <c r="G160" s="9">
        <f>IFERROR(__xludf.DUMMYFUNCTION("""COMPUTED_VALUE"""),0.0)</f>
        <v>0</v>
      </c>
      <c r="H160" s="9"/>
      <c r="I160" s="9">
        <f>IFERROR(__xludf.DUMMYFUNCTION("""COMPUTED_VALUE"""),39.0)</f>
        <v>39</v>
      </c>
      <c r="J160" s="9">
        <f>IFERROR(__xludf.DUMMYFUNCTION("""COMPUTED_VALUE"""),5.0)</f>
        <v>5</v>
      </c>
      <c r="K160" s="9">
        <f>IFERROR(__xludf.DUMMYFUNCTION("""COMPUTED_VALUE"""),0.0)</f>
        <v>0</v>
      </c>
      <c r="L160" s="9">
        <f>IFERROR(__xludf.DUMMYFUNCTION("""COMPUTED_VALUE"""),1.0)</f>
        <v>1</v>
      </c>
      <c r="M160" s="9">
        <f>IFERROR(__xludf.DUMMYFUNCTION("""COMPUTED_VALUE"""),45.0)</f>
        <v>45</v>
      </c>
      <c r="N160" s="9">
        <f>IFERROR(__xludf.DUMMYFUNCTION("""COMPUTED_VALUE"""),40.0)</f>
        <v>40</v>
      </c>
      <c r="O160" s="9">
        <f>IFERROR(__xludf.DUMMYFUNCTION("""COMPUTED_VALUE"""),1.0)</f>
        <v>1</v>
      </c>
      <c r="P160" s="9">
        <f>IFERROR(__xludf.DUMMYFUNCTION("""COMPUTED_VALUE"""),17.0)</f>
        <v>17</v>
      </c>
      <c r="Q160" s="9">
        <f>IFERROR(__xludf.DUMMYFUNCTION("""COMPUTED_VALUE"""),29.0)</f>
        <v>29</v>
      </c>
      <c r="R160" s="9">
        <f>IFERROR(__xludf.DUMMYFUNCTION("""COMPUTED_VALUE"""),14.0)</f>
        <v>14</v>
      </c>
      <c r="S160" s="9">
        <f>IFERROR(__xludf.DUMMYFUNCTION("""COMPUTED_VALUE"""),16.0)</f>
        <v>16</v>
      </c>
      <c r="T160" s="9">
        <f>IFERROR(__xludf.DUMMYFUNCTION("""COMPUTED_VALUE"""),0.0)</f>
        <v>0</v>
      </c>
      <c r="U160" s="9">
        <f>IFERROR(__xludf.DUMMYFUNCTION("""COMPUTED_VALUE"""),0.0)</f>
        <v>0</v>
      </c>
      <c r="V160" s="9">
        <f>IFERROR(__xludf.DUMMYFUNCTION("""COMPUTED_VALUE"""),43.0)</f>
        <v>43</v>
      </c>
      <c r="W160" s="9">
        <f>IFERROR(__xludf.DUMMYFUNCTION("""COMPUTED_VALUE"""),2.0)</f>
        <v>2</v>
      </c>
      <c r="X160" s="9">
        <f>IFERROR(__xludf.DUMMYFUNCTION("""COMPUTED_VALUE"""),21.0)</f>
        <v>21</v>
      </c>
      <c r="Y160" s="9">
        <f>IFERROR(__xludf.DUMMYFUNCTION("""COMPUTED_VALUE"""),49.0)</f>
        <v>49</v>
      </c>
      <c r="Z160" s="9">
        <f>IFERROR(__xludf.DUMMYFUNCTION("""COMPUTED_VALUE"""),2.0)</f>
        <v>2</v>
      </c>
      <c r="AA160" s="9">
        <f>IFERROR(__xludf.DUMMYFUNCTION("""COMPUTED_VALUE"""),0.0)</f>
        <v>0</v>
      </c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</row>
    <row r="161">
      <c r="A161" s="8">
        <f>IFERROR(__xludf.DUMMYFUNCTION("""COMPUTED_VALUE"""),45279.0)</f>
        <v>45279</v>
      </c>
      <c r="B161" s="9">
        <f>IFERROR(__xludf.DUMMYFUNCTION("""COMPUTED_VALUE"""),50.0)</f>
        <v>50</v>
      </c>
      <c r="C161" s="9">
        <f>IFERROR(__xludf.DUMMYFUNCTION("""COMPUTED_VALUE"""),179.0)</f>
        <v>179</v>
      </c>
      <c r="D161" s="9">
        <f>IFERROR(__xludf.DUMMYFUNCTION("""COMPUTED_VALUE"""),4.0)</f>
        <v>4</v>
      </c>
      <c r="E161" s="9">
        <f>IFERROR(__xludf.DUMMYFUNCTION("""COMPUTED_VALUE"""),3214.0)</f>
        <v>3214</v>
      </c>
      <c r="F161" s="9">
        <f>IFERROR(__xludf.DUMMYFUNCTION("""COMPUTED_VALUE"""),64.0)</f>
        <v>64</v>
      </c>
      <c r="G161" s="9">
        <f>IFERROR(__xludf.DUMMYFUNCTION("""COMPUTED_VALUE"""),0.0)</f>
        <v>0</v>
      </c>
      <c r="H161" s="9"/>
      <c r="I161" s="9">
        <f>IFERROR(__xludf.DUMMYFUNCTION("""COMPUTED_VALUE"""),42.0)</f>
        <v>42</v>
      </c>
      <c r="J161" s="9">
        <f>IFERROR(__xludf.DUMMYFUNCTION("""COMPUTED_VALUE"""),4.0)</f>
        <v>4</v>
      </c>
      <c r="K161" s="9">
        <f>IFERROR(__xludf.DUMMYFUNCTION("""COMPUTED_VALUE"""),0.0)</f>
        <v>0</v>
      </c>
      <c r="L161" s="9">
        <f>IFERROR(__xludf.DUMMYFUNCTION("""COMPUTED_VALUE"""),0.0)</f>
        <v>0</v>
      </c>
      <c r="M161" s="9">
        <f>IFERROR(__xludf.DUMMYFUNCTION("""COMPUTED_VALUE"""),46.0)</f>
        <v>46</v>
      </c>
      <c r="N161" s="9">
        <f>IFERROR(__xludf.DUMMYFUNCTION("""COMPUTED_VALUE"""),39.0)</f>
        <v>39</v>
      </c>
      <c r="O161" s="9">
        <f>IFERROR(__xludf.DUMMYFUNCTION("""COMPUTED_VALUE"""),1.0)</f>
        <v>1</v>
      </c>
      <c r="P161" s="9">
        <f>IFERROR(__xludf.DUMMYFUNCTION("""COMPUTED_VALUE"""),10.0)</f>
        <v>10</v>
      </c>
      <c r="Q161" s="9">
        <f>IFERROR(__xludf.DUMMYFUNCTION("""COMPUTED_VALUE"""),19.0)</f>
        <v>19</v>
      </c>
      <c r="R161" s="9">
        <f>IFERROR(__xludf.DUMMYFUNCTION("""COMPUTED_VALUE"""),8.0)</f>
        <v>8</v>
      </c>
      <c r="S161" s="9">
        <f>IFERROR(__xludf.DUMMYFUNCTION("""COMPUTED_VALUE"""),19.0)</f>
        <v>19</v>
      </c>
      <c r="T161" s="9">
        <f>IFERROR(__xludf.DUMMYFUNCTION("""COMPUTED_VALUE"""),2.0)</f>
        <v>2</v>
      </c>
      <c r="U161" s="9">
        <f>IFERROR(__xludf.DUMMYFUNCTION("""COMPUTED_VALUE"""),0.0)</f>
        <v>0</v>
      </c>
      <c r="V161" s="9">
        <f>IFERROR(__xludf.DUMMYFUNCTION("""COMPUTED_VALUE"""),27.0)</f>
        <v>27</v>
      </c>
      <c r="W161" s="9">
        <f>IFERROR(__xludf.DUMMYFUNCTION("""COMPUTED_VALUE"""),0.0)</f>
        <v>0</v>
      </c>
      <c r="X161" s="9">
        <f>IFERROR(__xludf.DUMMYFUNCTION("""COMPUTED_VALUE"""),27.0)</f>
        <v>27</v>
      </c>
      <c r="Y161" s="9">
        <f>IFERROR(__xludf.DUMMYFUNCTION("""COMPUTED_VALUE"""),31.0)</f>
        <v>31</v>
      </c>
      <c r="Z161" s="9">
        <f>IFERROR(__xludf.DUMMYFUNCTION("""COMPUTED_VALUE"""),2.0)</f>
        <v>2</v>
      </c>
      <c r="AA161" s="9">
        <f>IFERROR(__xludf.DUMMYFUNCTION("""COMPUTED_VALUE"""),0.0)</f>
        <v>0</v>
      </c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</row>
    <row r="162">
      <c r="A162" s="8">
        <f>IFERROR(__xludf.DUMMYFUNCTION("""COMPUTED_VALUE"""),45280.0)</f>
        <v>45280</v>
      </c>
      <c r="B162" s="9">
        <f>IFERROR(__xludf.DUMMYFUNCTION("""COMPUTED_VALUE"""),60.0)</f>
        <v>60</v>
      </c>
      <c r="C162" s="9">
        <f>IFERROR(__xludf.DUMMYFUNCTION("""COMPUTED_VALUE"""),239.0)</f>
        <v>239</v>
      </c>
      <c r="D162" s="9">
        <f>IFERROR(__xludf.DUMMYFUNCTION("""COMPUTED_VALUE"""),4.0)</f>
        <v>4</v>
      </c>
      <c r="E162" s="9">
        <f>IFERROR(__xludf.DUMMYFUNCTION("""COMPUTED_VALUE"""),4635.0)</f>
        <v>4635</v>
      </c>
      <c r="F162" s="9">
        <f>IFERROR(__xludf.DUMMYFUNCTION("""COMPUTED_VALUE"""),77.0)</f>
        <v>77</v>
      </c>
      <c r="G162" s="9">
        <f>IFERROR(__xludf.DUMMYFUNCTION("""COMPUTED_VALUE"""),0.0)</f>
        <v>0</v>
      </c>
      <c r="H162" s="9"/>
      <c r="I162" s="9">
        <f>IFERROR(__xludf.DUMMYFUNCTION("""COMPUTED_VALUE"""),41.0)</f>
        <v>41</v>
      </c>
      <c r="J162" s="9">
        <f>IFERROR(__xludf.DUMMYFUNCTION("""COMPUTED_VALUE"""),6.0)</f>
        <v>6</v>
      </c>
      <c r="K162" s="9">
        <f>IFERROR(__xludf.DUMMYFUNCTION("""COMPUTED_VALUE"""),1.0)</f>
        <v>1</v>
      </c>
      <c r="L162" s="9">
        <f>IFERROR(__xludf.DUMMYFUNCTION("""COMPUTED_VALUE"""),1.0)</f>
        <v>1</v>
      </c>
      <c r="M162" s="9">
        <f>IFERROR(__xludf.DUMMYFUNCTION("""COMPUTED_VALUE"""),49.0)</f>
        <v>49</v>
      </c>
      <c r="N162" s="9">
        <f>IFERROR(__xludf.DUMMYFUNCTION("""COMPUTED_VALUE"""),46.0)</f>
        <v>46</v>
      </c>
      <c r="O162" s="9">
        <f>IFERROR(__xludf.DUMMYFUNCTION("""COMPUTED_VALUE"""),0.0)</f>
        <v>0</v>
      </c>
      <c r="P162" s="9">
        <f>IFERROR(__xludf.DUMMYFUNCTION("""COMPUTED_VALUE"""),14.0)</f>
        <v>14</v>
      </c>
      <c r="Q162" s="9">
        <f>IFERROR(__xludf.DUMMYFUNCTION("""COMPUTED_VALUE"""),29.0)</f>
        <v>29</v>
      </c>
      <c r="R162" s="9">
        <f>IFERROR(__xludf.DUMMYFUNCTION("""COMPUTED_VALUE"""),7.0)</f>
        <v>7</v>
      </c>
      <c r="S162" s="9">
        <f>IFERROR(__xludf.DUMMYFUNCTION("""COMPUTED_VALUE"""),22.0)</f>
        <v>22</v>
      </c>
      <c r="T162" s="9">
        <f>IFERROR(__xludf.DUMMYFUNCTION("""COMPUTED_VALUE"""),3.0)</f>
        <v>3</v>
      </c>
      <c r="U162" s="9">
        <f>IFERROR(__xludf.DUMMYFUNCTION("""COMPUTED_VALUE"""),0.0)</f>
        <v>0</v>
      </c>
      <c r="V162" s="9">
        <f>IFERROR(__xludf.DUMMYFUNCTION("""COMPUTED_VALUE"""),36.0)</f>
        <v>36</v>
      </c>
      <c r="W162" s="9">
        <f>IFERROR(__xludf.DUMMYFUNCTION("""COMPUTED_VALUE"""),2.0)</f>
        <v>2</v>
      </c>
      <c r="X162" s="9">
        <f>IFERROR(__xludf.DUMMYFUNCTION("""COMPUTED_VALUE"""),44.0)</f>
        <v>44</v>
      </c>
      <c r="Y162" s="9">
        <f>IFERROR(__xludf.DUMMYFUNCTION("""COMPUTED_VALUE"""),44.0)</f>
        <v>44</v>
      </c>
      <c r="Z162" s="9">
        <f>IFERROR(__xludf.DUMMYFUNCTION("""COMPUTED_VALUE"""),5.0)</f>
        <v>5</v>
      </c>
      <c r="AA162" s="9">
        <f>IFERROR(__xludf.DUMMYFUNCTION("""COMPUTED_VALUE"""),0.0)</f>
        <v>0</v>
      </c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</row>
    <row r="163">
      <c r="A163" s="8">
        <f>IFERROR(__xludf.DUMMYFUNCTION("""COMPUTED_VALUE"""),45281.0)</f>
        <v>45281</v>
      </c>
      <c r="B163" s="9">
        <f>IFERROR(__xludf.DUMMYFUNCTION("""COMPUTED_VALUE"""),103.0)</f>
        <v>103</v>
      </c>
      <c r="C163" s="9">
        <f>IFERROR(__xludf.DUMMYFUNCTION("""COMPUTED_VALUE"""),399.0)</f>
        <v>399</v>
      </c>
      <c r="D163" s="9">
        <f>IFERROR(__xludf.DUMMYFUNCTION("""COMPUTED_VALUE"""),4.0)</f>
        <v>4</v>
      </c>
      <c r="E163" s="9">
        <f>IFERROR(__xludf.DUMMYFUNCTION("""COMPUTED_VALUE"""),7332.0)</f>
        <v>7332</v>
      </c>
      <c r="F163" s="9">
        <f>IFERROR(__xludf.DUMMYFUNCTION("""COMPUTED_VALUE"""),71.0)</f>
        <v>71</v>
      </c>
      <c r="G163" s="9">
        <f>IFERROR(__xludf.DUMMYFUNCTION("""COMPUTED_VALUE"""),0.0)</f>
        <v>0</v>
      </c>
      <c r="H163" s="9"/>
      <c r="I163" s="9">
        <f>IFERROR(__xludf.DUMMYFUNCTION("""COMPUTED_VALUE"""),50.0)</f>
        <v>50</v>
      </c>
      <c r="J163" s="9">
        <f>IFERROR(__xludf.DUMMYFUNCTION("""COMPUTED_VALUE"""),12.0)</f>
        <v>12</v>
      </c>
      <c r="K163" s="9">
        <f>IFERROR(__xludf.DUMMYFUNCTION("""COMPUTED_VALUE"""),5.0)</f>
        <v>5</v>
      </c>
      <c r="L163" s="9">
        <f>IFERROR(__xludf.DUMMYFUNCTION("""COMPUTED_VALUE"""),1.0)</f>
        <v>1</v>
      </c>
      <c r="M163" s="9">
        <f>IFERROR(__xludf.DUMMYFUNCTION("""COMPUTED_VALUE"""),69.0)</f>
        <v>69</v>
      </c>
      <c r="N163" s="9">
        <f>IFERROR(__xludf.DUMMYFUNCTION("""COMPUTED_VALUE"""),71.0)</f>
        <v>71</v>
      </c>
      <c r="O163" s="9">
        <f>IFERROR(__xludf.DUMMYFUNCTION("""COMPUTED_VALUE"""),0.0)</f>
        <v>0</v>
      </c>
      <c r="P163" s="9">
        <f>IFERROR(__xludf.DUMMYFUNCTION("""COMPUTED_VALUE"""),32.0)</f>
        <v>32</v>
      </c>
      <c r="Q163" s="9">
        <f>IFERROR(__xludf.DUMMYFUNCTION("""COMPUTED_VALUE"""),49.0)</f>
        <v>49</v>
      </c>
      <c r="R163" s="9">
        <f>IFERROR(__xludf.DUMMYFUNCTION("""COMPUTED_VALUE"""),22.0)</f>
        <v>22</v>
      </c>
      <c r="S163" s="9">
        <f>IFERROR(__xludf.DUMMYFUNCTION("""COMPUTED_VALUE"""),41.0)</f>
        <v>41</v>
      </c>
      <c r="T163" s="9">
        <f>IFERROR(__xludf.DUMMYFUNCTION("""COMPUTED_VALUE"""),1.0)</f>
        <v>1</v>
      </c>
      <c r="U163" s="9">
        <f>IFERROR(__xludf.DUMMYFUNCTION("""COMPUTED_VALUE"""),0.0)</f>
        <v>0</v>
      </c>
      <c r="V163" s="9">
        <f>IFERROR(__xludf.DUMMYFUNCTION("""COMPUTED_VALUE"""),71.0)</f>
        <v>71</v>
      </c>
      <c r="W163" s="9">
        <f>IFERROR(__xludf.DUMMYFUNCTION("""COMPUTED_VALUE"""),1.0)</f>
        <v>1</v>
      </c>
      <c r="X163" s="9">
        <f>IFERROR(__xludf.DUMMYFUNCTION("""COMPUTED_VALUE"""),57.0)</f>
        <v>57</v>
      </c>
      <c r="Y163" s="9">
        <f>IFERROR(__xludf.DUMMYFUNCTION("""COMPUTED_VALUE"""),78.0)</f>
        <v>78</v>
      </c>
      <c r="Z163" s="9">
        <f>IFERROR(__xludf.DUMMYFUNCTION("""COMPUTED_VALUE"""),2.0)</f>
        <v>2</v>
      </c>
      <c r="AA163" s="9">
        <f>IFERROR(__xludf.DUMMYFUNCTION("""COMPUTED_VALUE"""),0.0)</f>
        <v>0</v>
      </c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</row>
    <row r="164">
      <c r="A164" s="8">
        <f>IFERROR(__xludf.DUMMYFUNCTION("""COMPUTED_VALUE"""),45282.0)</f>
        <v>45282</v>
      </c>
      <c r="B164" s="9">
        <f>IFERROR(__xludf.DUMMYFUNCTION("""COMPUTED_VALUE"""),72.0)</f>
        <v>72</v>
      </c>
      <c r="C164" s="9">
        <f>IFERROR(__xludf.DUMMYFUNCTION("""COMPUTED_VALUE"""),286.0)</f>
        <v>286</v>
      </c>
      <c r="D164" s="9">
        <f>IFERROR(__xludf.DUMMYFUNCTION("""COMPUTED_VALUE"""),4.0)</f>
        <v>4</v>
      </c>
      <c r="E164" s="9">
        <f>IFERROR(__xludf.DUMMYFUNCTION("""COMPUTED_VALUE"""),5133.0)</f>
        <v>5133</v>
      </c>
      <c r="F164" s="9">
        <f>IFERROR(__xludf.DUMMYFUNCTION("""COMPUTED_VALUE"""),71.0)</f>
        <v>71</v>
      </c>
      <c r="G164" s="9">
        <f>IFERROR(__xludf.DUMMYFUNCTION("""COMPUTED_VALUE"""),0.0)</f>
        <v>0</v>
      </c>
      <c r="H164" s="9"/>
      <c r="I164" s="9">
        <f>IFERROR(__xludf.DUMMYFUNCTION("""COMPUTED_VALUE"""),54.0)</f>
        <v>54</v>
      </c>
      <c r="J164" s="9">
        <f>IFERROR(__xludf.DUMMYFUNCTION("""COMPUTED_VALUE"""),9.0)</f>
        <v>9</v>
      </c>
      <c r="K164" s="9">
        <f>IFERROR(__xludf.DUMMYFUNCTION("""COMPUTED_VALUE"""),0.0)</f>
        <v>0</v>
      </c>
      <c r="L164" s="9">
        <f>IFERROR(__xludf.DUMMYFUNCTION("""COMPUTED_VALUE"""),0.0)</f>
        <v>0</v>
      </c>
      <c r="M164" s="9">
        <f>IFERROR(__xludf.DUMMYFUNCTION("""COMPUTED_VALUE"""),63.0)</f>
        <v>63</v>
      </c>
      <c r="N164" s="9">
        <f>IFERROR(__xludf.DUMMYFUNCTION("""COMPUTED_VALUE"""),52.0)</f>
        <v>52</v>
      </c>
      <c r="O164" s="9">
        <f>IFERROR(__xludf.DUMMYFUNCTION("""COMPUTED_VALUE"""),0.0)</f>
        <v>0</v>
      </c>
      <c r="P164" s="9">
        <f>IFERROR(__xludf.DUMMYFUNCTION("""COMPUTED_VALUE"""),20.0)</f>
        <v>20</v>
      </c>
      <c r="Q164" s="9">
        <f>IFERROR(__xludf.DUMMYFUNCTION("""COMPUTED_VALUE"""),32.0)</f>
        <v>32</v>
      </c>
      <c r="R164" s="9">
        <f>IFERROR(__xludf.DUMMYFUNCTION("""COMPUTED_VALUE"""),13.0)</f>
        <v>13</v>
      </c>
      <c r="S164" s="9">
        <f>IFERROR(__xludf.DUMMYFUNCTION("""COMPUTED_VALUE"""),32.0)</f>
        <v>32</v>
      </c>
      <c r="T164" s="9">
        <f>IFERROR(__xludf.DUMMYFUNCTION("""COMPUTED_VALUE"""),2.0)</f>
        <v>2</v>
      </c>
      <c r="U164" s="9">
        <f>IFERROR(__xludf.DUMMYFUNCTION("""COMPUTED_VALUE"""),0.0)</f>
        <v>0</v>
      </c>
      <c r="V164" s="9">
        <f>IFERROR(__xludf.DUMMYFUNCTION("""COMPUTED_VALUE"""),45.0)</f>
        <v>45</v>
      </c>
      <c r="W164" s="9">
        <f>IFERROR(__xludf.DUMMYFUNCTION("""COMPUTED_VALUE"""),1.0)</f>
        <v>1</v>
      </c>
      <c r="X164" s="9">
        <f>IFERROR(__xludf.DUMMYFUNCTION("""COMPUTED_VALUE"""),42.0)</f>
        <v>42</v>
      </c>
      <c r="Y164" s="9">
        <f>IFERROR(__xludf.DUMMYFUNCTION("""COMPUTED_VALUE"""),49.0)</f>
        <v>49</v>
      </c>
      <c r="Z164" s="9">
        <f>IFERROR(__xludf.DUMMYFUNCTION("""COMPUTED_VALUE"""),3.0)</f>
        <v>3</v>
      </c>
      <c r="AA164" s="9">
        <f>IFERROR(__xludf.DUMMYFUNCTION("""COMPUTED_VALUE"""),0.0)</f>
        <v>0</v>
      </c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</row>
    <row r="165">
      <c r="A165" s="8">
        <f>IFERROR(__xludf.DUMMYFUNCTION("""COMPUTED_VALUE"""),45283.0)</f>
        <v>45283</v>
      </c>
      <c r="B165" s="9">
        <f>IFERROR(__xludf.DUMMYFUNCTION("""COMPUTED_VALUE"""),0.0)</f>
        <v>0</v>
      </c>
      <c r="C165" s="9">
        <f>IFERROR(__xludf.DUMMYFUNCTION("""COMPUTED_VALUE"""),0.0)</f>
        <v>0</v>
      </c>
      <c r="D165" s="9">
        <f>IFERROR(__xludf.DUMMYFUNCTION("""COMPUTED_VALUE"""),0.0)</f>
        <v>0</v>
      </c>
      <c r="E165" s="9">
        <f>IFERROR(__xludf.DUMMYFUNCTION("""COMPUTED_VALUE"""),0.0)</f>
        <v>0</v>
      </c>
      <c r="F165" s="9">
        <f>IFERROR(__xludf.DUMMYFUNCTION("""COMPUTED_VALUE"""),0.0)</f>
        <v>0</v>
      </c>
      <c r="G165" s="9">
        <f>IFERROR(__xludf.DUMMYFUNCTION("""COMPUTED_VALUE"""),0.0)</f>
        <v>0</v>
      </c>
      <c r="H165" s="9"/>
      <c r="I165" s="9">
        <f>IFERROR(__xludf.DUMMYFUNCTION("""COMPUTED_VALUE"""),0.0)</f>
        <v>0</v>
      </c>
      <c r="J165" s="9">
        <f>IFERROR(__xludf.DUMMYFUNCTION("""COMPUTED_VALUE"""),0.0)</f>
        <v>0</v>
      </c>
      <c r="K165" s="9">
        <f>IFERROR(__xludf.DUMMYFUNCTION("""COMPUTED_VALUE"""),0.0)</f>
        <v>0</v>
      </c>
      <c r="L165" s="9">
        <f>IFERROR(__xludf.DUMMYFUNCTION("""COMPUTED_VALUE"""),0.0)</f>
        <v>0</v>
      </c>
      <c r="M165" s="9">
        <f>IFERROR(__xludf.DUMMYFUNCTION("""COMPUTED_VALUE"""),0.0)</f>
        <v>0</v>
      </c>
      <c r="N165" s="9">
        <f>IFERROR(__xludf.DUMMYFUNCTION("""COMPUTED_VALUE"""),0.0)</f>
        <v>0</v>
      </c>
      <c r="O165" s="9">
        <f>IFERROR(__xludf.DUMMYFUNCTION("""COMPUTED_VALUE"""),0.0)</f>
        <v>0</v>
      </c>
      <c r="P165" s="9">
        <f>IFERROR(__xludf.DUMMYFUNCTION("""COMPUTED_VALUE"""),0.0)</f>
        <v>0</v>
      </c>
      <c r="Q165" s="9">
        <f>IFERROR(__xludf.DUMMYFUNCTION("""COMPUTED_VALUE"""),0.0)</f>
        <v>0</v>
      </c>
      <c r="R165" s="9">
        <f>IFERROR(__xludf.DUMMYFUNCTION("""COMPUTED_VALUE"""),0.0)</f>
        <v>0</v>
      </c>
      <c r="S165" s="9">
        <f>IFERROR(__xludf.DUMMYFUNCTION("""COMPUTED_VALUE"""),0.0)</f>
        <v>0</v>
      </c>
      <c r="T165" s="9">
        <f>IFERROR(__xludf.DUMMYFUNCTION("""COMPUTED_VALUE"""),0.0)</f>
        <v>0</v>
      </c>
      <c r="U165" s="9">
        <f>IFERROR(__xludf.DUMMYFUNCTION("""COMPUTED_VALUE"""),0.0)</f>
        <v>0</v>
      </c>
      <c r="V165" s="9">
        <f>IFERROR(__xludf.DUMMYFUNCTION("""COMPUTED_VALUE"""),0.0)</f>
        <v>0</v>
      </c>
      <c r="W165" s="9">
        <f>IFERROR(__xludf.DUMMYFUNCTION("""COMPUTED_VALUE"""),0.0)</f>
        <v>0</v>
      </c>
      <c r="X165" s="9">
        <f>IFERROR(__xludf.DUMMYFUNCTION("""COMPUTED_VALUE"""),0.0)</f>
        <v>0</v>
      </c>
      <c r="Y165" s="9">
        <f>IFERROR(__xludf.DUMMYFUNCTION("""COMPUTED_VALUE"""),0.0)</f>
        <v>0</v>
      </c>
      <c r="Z165" s="9">
        <f>IFERROR(__xludf.DUMMYFUNCTION("""COMPUTED_VALUE"""),0.0)</f>
        <v>0</v>
      </c>
      <c r="AA165" s="9">
        <f>IFERROR(__xludf.DUMMYFUNCTION("""COMPUTED_VALUE"""),0.0)</f>
        <v>0</v>
      </c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</row>
    <row r="166">
      <c r="A166" s="8">
        <f>IFERROR(__xludf.DUMMYFUNCTION("""COMPUTED_VALUE"""),45284.0)</f>
        <v>45284</v>
      </c>
      <c r="B166" s="9">
        <f>IFERROR(__xludf.DUMMYFUNCTION("""COMPUTED_VALUE"""),0.0)</f>
        <v>0</v>
      </c>
      <c r="C166" s="9">
        <f>IFERROR(__xludf.DUMMYFUNCTION("""COMPUTED_VALUE"""),0.0)</f>
        <v>0</v>
      </c>
      <c r="D166" s="9">
        <f>IFERROR(__xludf.DUMMYFUNCTION("""COMPUTED_VALUE"""),0.0)</f>
        <v>0</v>
      </c>
      <c r="E166" s="9">
        <f>IFERROR(__xludf.DUMMYFUNCTION("""COMPUTED_VALUE"""),0.0)</f>
        <v>0</v>
      </c>
      <c r="F166" s="9">
        <f>IFERROR(__xludf.DUMMYFUNCTION("""COMPUTED_VALUE"""),0.0)</f>
        <v>0</v>
      </c>
      <c r="G166" s="9">
        <f>IFERROR(__xludf.DUMMYFUNCTION("""COMPUTED_VALUE"""),0.0)</f>
        <v>0</v>
      </c>
      <c r="H166" s="9"/>
      <c r="I166" s="9">
        <f>IFERROR(__xludf.DUMMYFUNCTION("""COMPUTED_VALUE"""),0.0)</f>
        <v>0</v>
      </c>
      <c r="J166" s="9">
        <f>IFERROR(__xludf.DUMMYFUNCTION("""COMPUTED_VALUE"""),0.0)</f>
        <v>0</v>
      </c>
      <c r="K166" s="9">
        <f>IFERROR(__xludf.DUMMYFUNCTION("""COMPUTED_VALUE"""),0.0)</f>
        <v>0</v>
      </c>
      <c r="L166" s="9">
        <f>IFERROR(__xludf.DUMMYFUNCTION("""COMPUTED_VALUE"""),0.0)</f>
        <v>0</v>
      </c>
      <c r="M166" s="9">
        <f>IFERROR(__xludf.DUMMYFUNCTION("""COMPUTED_VALUE"""),0.0)</f>
        <v>0</v>
      </c>
      <c r="N166" s="9">
        <f>IFERROR(__xludf.DUMMYFUNCTION("""COMPUTED_VALUE"""),0.0)</f>
        <v>0</v>
      </c>
      <c r="O166" s="9">
        <f>IFERROR(__xludf.DUMMYFUNCTION("""COMPUTED_VALUE"""),0.0)</f>
        <v>0</v>
      </c>
      <c r="P166" s="9">
        <f>IFERROR(__xludf.DUMMYFUNCTION("""COMPUTED_VALUE"""),0.0)</f>
        <v>0</v>
      </c>
      <c r="Q166" s="9">
        <f>IFERROR(__xludf.DUMMYFUNCTION("""COMPUTED_VALUE"""),0.0)</f>
        <v>0</v>
      </c>
      <c r="R166" s="9">
        <f>IFERROR(__xludf.DUMMYFUNCTION("""COMPUTED_VALUE"""),0.0)</f>
        <v>0</v>
      </c>
      <c r="S166" s="9">
        <f>IFERROR(__xludf.DUMMYFUNCTION("""COMPUTED_VALUE"""),0.0)</f>
        <v>0</v>
      </c>
      <c r="T166" s="9">
        <f>IFERROR(__xludf.DUMMYFUNCTION("""COMPUTED_VALUE"""),0.0)</f>
        <v>0</v>
      </c>
      <c r="U166" s="9">
        <f>IFERROR(__xludf.DUMMYFUNCTION("""COMPUTED_VALUE"""),0.0)</f>
        <v>0</v>
      </c>
      <c r="V166" s="9">
        <f>IFERROR(__xludf.DUMMYFUNCTION("""COMPUTED_VALUE"""),0.0)</f>
        <v>0</v>
      </c>
      <c r="W166" s="9">
        <f>IFERROR(__xludf.DUMMYFUNCTION("""COMPUTED_VALUE"""),0.0)</f>
        <v>0</v>
      </c>
      <c r="X166" s="9">
        <f>IFERROR(__xludf.DUMMYFUNCTION("""COMPUTED_VALUE"""),0.0)</f>
        <v>0</v>
      </c>
      <c r="Y166" s="9">
        <f>IFERROR(__xludf.DUMMYFUNCTION("""COMPUTED_VALUE"""),0.0)</f>
        <v>0</v>
      </c>
      <c r="Z166" s="9">
        <f>IFERROR(__xludf.DUMMYFUNCTION("""COMPUTED_VALUE"""),0.0)</f>
        <v>0</v>
      </c>
      <c r="AA166" s="9">
        <f>IFERROR(__xludf.DUMMYFUNCTION("""COMPUTED_VALUE"""),0.0)</f>
        <v>0</v>
      </c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</row>
    <row r="167">
      <c r="A167" s="8">
        <f>IFERROR(__xludf.DUMMYFUNCTION("""COMPUTED_VALUE"""),45285.0)</f>
        <v>45285</v>
      </c>
      <c r="B167" s="9">
        <f>IFERROR(__xludf.DUMMYFUNCTION("""COMPUTED_VALUE"""),8.0)</f>
        <v>8</v>
      </c>
      <c r="C167" s="9">
        <f>IFERROR(__xludf.DUMMYFUNCTION("""COMPUTED_VALUE"""),22.0)</f>
        <v>22</v>
      </c>
      <c r="D167" s="9">
        <f>IFERROR(__xludf.DUMMYFUNCTION("""COMPUTED_VALUE"""),3.0)</f>
        <v>3</v>
      </c>
      <c r="E167" s="9">
        <f>IFERROR(__xludf.DUMMYFUNCTION("""COMPUTED_VALUE"""),293.0)</f>
        <v>293</v>
      </c>
      <c r="F167" s="9">
        <f>IFERROR(__xludf.DUMMYFUNCTION("""COMPUTED_VALUE"""),37.0)</f>
        <v>37</v>
      </c>
      <c r="G167" s="9">
        <f>IFERROR(__xludf.DUMMYFUNCTION("""COMPUTED_VALUE"""),0.0)</f>
        <v>0</v>
      </c>
      <c r="H167" s="9"/>
      <c r="I167" s="9">
        <f>IFERROR(__xludf.DUMMYFUNCTION("""COMPUTED_VALUE"""),0.0)</f>
        <v>0</v>
      </c>
      <c r="J167" s="9">
        <f>IFERROR(__xludf.DUMMYFUNCTION("""COMPUTED_VALUE"""),0.0)</f>
        <v>0</v>
      </c>
      <c r="K167" s="9">
        <f>IFERROR(__xludf.DUMMYFUNCTION("""COMPUTED_VALUE"""),0.0)</f>
        <v>0</v>
      </c>
      <c r="L167" s="9">
        <f>IFERROR(__xludf.DUMMYFUNCTION("""COMPUTED_VALUE"""),1.0)</f>
        <v>1</v>
      </c>
      <c r="M167" s="9">
        <f>IFERROR(__xludf.DUMMYFUNCTION("""COMPUTED_VALUE"""),1.0)</f>
        <v>1</v>
      </c>
      <c r="N167" s="9">
        <f>IFERROR(__xludf.DUMMYFUNCTION("""COMPUTED_VALUE"""),0.0)</f>
        <v>0</v>
      </c>
      <c r="O167" s="9">
        <f>IFERROR(__xludf.DUMMYFUNCTION("""COMPUTED_VALUE"""),0.0)</f>
        <v>0</v>
      </c>
      <c r="P167" s="9">
        <f>IFERROR(__xludf.DUMMYFUNCTION("""COMPUTED_VALUE"""),8.0)</f>
        <v>8</v>
      </c>
      <c r="Q167" s="9">
        <f>IFERROR(__xludf.DUMMYFUNCTION("""COMPUTED_VALUE"""),0.0)</f>
        <v>0</v>
      </c>
      <c r="R167" s="9">
        <f>IFERROR(__xludf.DUMMYFUNCTION("""COMPUTED_VALUE"""),6.0)</f>
        <v>6</v>
      </c>
      <c r="S167" s="9">
        <f>IFERROR(__xludf.DUMMYFUNCTION("""COMPUTED_VALUE"""),0.0)</f>
        <v>0</v>
      </c>
      <c r="T167" s="9">
        <f>IFERROR(__xludf.DUMMYFUNCTION("""COMPUTED_VALUE"""),0.0)</f>
        <v>0</v>
      </c>
      <c r="U167" s="9">
        <f>IFERROR(__xludf.DUMMYFUNCTION("""COMPUTED_VALUE"""),0.0)</f>
        <v>0</v>
      </c>
      <c r="V167" s="9">
        <f>IFERROR(__xludf.DUMMYFUNCTION("""COMPUTED_VALUE"""),6.0)</f>
        <v>6</v>
      </c>
      <c r="W167" s="9">
        <f>IFERROR(__xludf.DUMMYFUNCTION("""COMPUTED_VALUE"""),0.0)</f>
        <v>0</v>
      </c>
      <c r="X167" s="9">
        <f>IFERROR(__xludf.DUMMYFUNCTION("""COMPUTED_VALUE"""),0.0)</f>
        <v>0</v>
      </c>
      <c r="Y167" s="9">
        <f>IFERROR(__xludf.DUMMYFUNCTION("""COMPUTED_VALUE"""),6.0)</f>
        <v>6</v>
      </c>
      <c r="Z167" s="9">
        <f>IFERROR(__xludf.DUMMYFUNCTION("""COMPUTED_VALUE"""),0.0)</f>
        <v>0</v>
      </c>
      <c r="AA167" s="9">
        <f>IFERROR(__xludf.DUMMYFUNCTION("""COMPUTED_VALUE"""),0.0)</f>
        <v>0</v>
      </c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</row>
    <row r="168">
      <c r="A168" s="8">
        <f>IFERROR(__xludf.DUMMYFUNCTION("""COMPUTED_VALUE"""),45286.0)</f>
        <v>45286</v>
      </c>
      <c r="B168" s="9">
        <f>IFERROR(__xludf.DUMMYFUNCTION("""COMPUTED_VALUE"""),48.0)</f>
        <v>48</v>
      </c>
      <c r="C168" s="9">
        <f>IFERROR(__xludf.DUMMYFUNCTION("""COMPUTED_VALUE"""),186.0)</f>
        <v>186</v>
      </c>
      <c r="D168" s="9">
        <f>IFERROR(__xludf.DUMMYFUNCTION("""COMPUTED_VALUE"""),4.0)</f>
        <v>4</v>
      </c>
      <c r="E168" s="9">
        <f>IFERROR(__xludf.DUMMYFUNCTION("""COMPUTED_VALUE"""),3372.0)</f>
        <v>3372</v>
      </c>
      <c r="F168" s="9">
        <f>IFERROR(__xludf.DUMMYFUNCTION("""COMPUTED_VALUE"""),70.0)</f>
        <v>70</v>
      </c>
      <c r="G168" s="9">
        <f>IFERROR(__xludf.DUMMYFUNCTION("""COMPUTED_VALUE"""),0.0)</f>
        <v>0</v>
      </c>
      <c r="H168" s="9"/>
      <c r="I168" s="9">
        <f>IFERROR(__xludf.DUMMYFUNCTION("""COMPUTED_VALUE"""),31.0)</f>
        <v>31</v>
      </c>
      <c r="J168" s="9">
        <f>IFERROR(__xludf.DUMMYFUNCTION("""COMPUTED_VALUE"""),7.0)</f>
        <v>7</v>
      </c>
      <c r="K168" s="9">
        <f>IFERROR(__xludf.DUMMYFUNCTION("""COMPUTED_VALUE"""),1.0)</f>
        <v>1</v>
      </c>
      <c r="L168" s="9">
        <f>IFERROR(__xludf.DUMMYFUNCTION("""COMPUTED_VALUE"""),0.0)</f>
        <v>0</v>
      </c>
      <c r="M168" s="9">
        <f>IFERROR(__xludf.DUMMYFUNCTION("""COMPUTED_VALUE"""),39.0)</f>
        <v>39</v>
      </c>
      <c r="N168" s="9">
        <f>IFERROR(__xludf.DUMMYFUNCTION("""COMPUTED_VALUE"""),31.0)</f>
        <v>31</v>
      </c>
      <c r="O168" s="9">
        <f>IFERROR(__xludf.DUMMYFUNCTION("""COMPUTED_VALUE"""),0.0)</f>
        <v>0</v>
      </c>
      <c r="P168" s="9">
        <f>IFERROR(__xludf.DUMMYFUNCTION("""COMPUTED_VALUE"""),15.0)</f>
        <v>15</v>
      </c>
      <c r="Q168" s="9">
        <f>IFERROR(__xludf.DUMMYFUNCTION("""COMPUTED_VALUE"""),22.0)</f>
        <v>22</v>
      </c>
      <c r="R168" s="9">
        <f>IFERROR(__xludf.DUMMYFUNCTION("""COMPUTED_VALUE"""),8.0)</f>
        <v>8</v>
      </c>
      <c r="S168" s="9">
        <f>IFERROR(__xludf.DUMMYFUNCTION("""COMPUTED_VALUE"""),21.0)</f>
        <v>21</v>
      </c>
      <c r="T168" s="9">
        <f>IFERROR(__xludf.DUMMYFUNCTION("""COMPUTED_VALUE"""),0.0)</f>
        <v>0</v>
      </c>
      <c r="U168" s="9">
        <f>IFERROR(__xludf.DUMMYFUNCTION("""COMPUTED_VALUE"""),0.0)</f>
        <v>0</v>
      </c>
      <c r="V168" s="9">
        <f>IFERROR(__xludf.DUMMYFUNCTION("""COMPUTED_VALUE"""),30.0)</f>
        <v>30</v>
      </c>
      <c r="W168" s="9">
        <f>IFERROR(__xludf.DUMMYFUNCTION("""COMPUTED_VALUE"""),0.0)</f>
        <v>0</v>
      </c>
      <c r="X168" s="9">
        <f>IFERROR(__xludf.DUMMYFUNCTION("""COMPUTED_VALUE"""),28.0)</f>
        <v>28</v>
      </c>
      <c r="Y168" s="9">
        <f>IFERROR(__xludf.DUMMYFUNCTION("""COMPUTED_VALUE"""),33.0)</f>
        <v>33</v>
      </c>
      <c r="Z168" s="9">
        <f>IFERROR(__xludf.DUMMYFUNCTION("""COMPUTED_VALUE"""),0.0)</f>
        <v>0</v>
      </c>
      <c r="AA168" s="9">
        <f>IFERROR(__xludf.DUMMYFUNCTION("""COMPUTED_VALUE"""),0.0)</f>
        <v>0</v>
      </c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</row>
    <row r="169">
      <c r="A169" s="8">
        <f>IFERROR(__xludf.DUMMYFUNCTION("""COMPUTED_VALUE"""),45287.0)</f>
        <v>45287</v>
      </c>
      <c r="B169" s="9">
        <f>IFERROR(__xludf.DUMMYFUNCTION("""COMPUTED_VALUE"""),36.0)</f>
        <v>36</v>
      </c>
      <c r="C169" s="9">
        <f>IFERROR(__xludf.DUMMYFUNCTION("""COMPUTED_VALUE"""),124.0)</f>
        <v>124</v>
      </c>
      <c r="D169" s="9">
        <f>IFERROR(__xludf.DUMMYFUNCTION("""COMPUTED_VALUE"""),3.0)</f>
        <v>3</v>
      </c>
      <c r="E169" s="9">
        <f>IFERROR(__xludf.DUMMYFUNCTION("""COMPUTED_VALUE"""),2174.0)</f>
        <v>2174</v>
      </c>
      <c r="F169" s="9">
        <f>IFERROR(__xludf.DUMMYFUNCTION("""COMPUTED_VALUE"""),60.0)</f>
        <v>60</v>
      </c>
      <c r="G169" s="9">
        <f>IFERROR(__xludf.DUMMYFUNCTION("""COMPUTED_VALUE"""),0.0)</f>
        <v>0</v>
      </c>
      <c r="H169" s="9"/>
      <c r="I169" s="9">
        <f>IFERROR(__xludf.DUMMYFUNCTION("""COMPUTED_VALUE"""),22.0)</f>
        <v>22</v>
      </c>
      <c r="J169" s="9">
        <f>IFERROR(__xludf.DUMMYFUNCTION("""COMPUTED_VALUE"""),1.0)</f>
        <v>1</v>
      </c>
      <c r="K169" s="9">
        <f>IFERROR(__xludf.DUMMYFUNCTION("""COMPUTED_VALUE"""),4.0)</f>
        <v>4</v>
      </c>
      <c r="L169" s="9">
        <f>IFERROR(__xludf.DUMMYFUNCTION("""COMPUTED_VALUE"""),0.0)</f>
        <v>0</v>
      </c>
      <c r="M169" s="9">
        <f>IFERROR(__xludf.DUMMYFUNCTION("""COMPUTED_VALUE"""),27.0)</f>
        <v>27</v>
      </c>
      <c r="N169" s="9">
        <f>IFERROR(__xludf.DUMMYFUNCTION("""COMPUTED_VALUE"""),29.0)</f>
        <v>29</v>
      </c>
      <c r="O169" s="9">
        <f>IFERROR(__xludf.DUMMYFUNCTION("""COMPUTED_VALUE"""),0.0)</f>
        <v>0</v>
      </c>
      <c r="P169" s="9">
        <f>IFERROR(__xludf.DUMMYFUNCTION("""COMPUTED_VALUE"""),6.0)</f>
        <v>6</v>
      </c>
      <c r="Q169" s="9">
        <f>IFERROR(__xludf.DUMMYFUNCTION("""COMPUTED_VALUE"""),20.0)</f>
        <v>20</v>
      </c>
      <c r="R169" s="9">
        <f>IFERROR(__xludf.DUMMYFUNCTION("""COMPUTED_VALUE"""),3.0)</f>
        <v>3</v>
      </c>
      <c r="S169" s="9">
        <f>IFERROR(__xludf.DUMMYFUNCTION("""COMPUTED_VALUE"""),5.0)</f>
        <v>5</v>
      </c>
      <c r="T169" s="9">
        <f>IFERROR(__xludf.DUMMYFUNCTION("""COMPUTED_VALUE"""),0.0)</f>
        <v>0</v>
      </c>
      <c r="U169" s="9">
        <f>IFERROR(__xludf.DUMMYFUNCTION("""COMPUTED_VALUE"""),0.0)</f>
        <v>0</v>
      </c>
      <c r="V169" s="9">
        <f>IFERROR(__xludf.DUMMYFUNCTION("""COMPUTED_VALUE"""),23.0)</f>
        <v>23</v>
      </c>
      <c r="W169" s="9">
        <f>IFERROR(__xludf.DUMMYFUNCTION("""COMPUTED_VALUE"""),0.0)</f>
        <v>0</v>
      </c>
      <c r="X169" s="9">
        <f>IFERROR(__xludf.DUMMYFUNCTION("""COMPUTED_VALUE"""),19.0)</f>
        <v>19</v>
      </c>
      <c r="Y169" s="9">
        <f>IFERROR(__xludf.DUMMYFUNCTION("""COMPUTED_VALUE"""),23.0)</f>
        <v>23</v>
      </c>
      <c r="Z169" s="9">
        <f>IFERROR(__xludf.DUMMYFUNCTION("""COMPUTED_VALUE"""),0.0)</f>
        <v>0</v>
      </c>
      <c r="AA169" s="9">
        <f>IFERROR(__xludf.DUMMYFUNCTION("""COMPUTED_VALUE"""),0.0)</f>
        <v>0</v>
      </c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</row>
    <row r="170">
      <c r="A170" s="8">
        <f>IFERROR(__xludf.DUMMYFUNCTION("""COMPUTED_VALUE"""),45288.0)</f>
        <v>45288</v>
      </c>
      <c r="B170" s="9">
        <f>IFERROR(__xludf.DUMMYFUNCTION("""COMPUTED_VALUE"""),31.0)</f>
        <v>31</v>
      </c>
      <c r="C170" s="9">
        <f>IFERROR(__xludf.DUMMYFUNCTION("""COMPUTED_VALUE"""),145.0)</f>
        <v>145</v>
      </c>
      <c r="D170" s="9">
        <f>IFERROR(__xludf.DUMMYFUNCTION("""COMPUTED_VALUE"""),5.0)</f>
        <v>5</v>
      </c>
      <c r="E170" s="9">
        <f>IFERROR(__xludf.DUMMYFUNCTION("""COMPUTED_VALUE"""),2203.0)</f>
        <v>2203</v>
      </c>
      <c r="F170" s="9">
        <f>IFERROR(__xludf.DUMMYFUNCTION("""COMPUTED_VALUE"""),71.0)</f>
        <v>71</v>
      </c>
      <c r="G170" s="9">
        <f>IFERROR(__xludf.DUMMYFUNCTION("""COMPUTED_VALUE"""),0.0)</f>
        <v>0</v>
      </c>
      <c r="H170" s="9"/>
      <c r="I170" s="9">
        <f>IFERROR(__xludf.DUMMYFUNCTION("""COMPUTED_VALUE"""),26.0)</f>
        <v>26</v>
      </c>
      <c r="J170" s="9">
        <f>IFERROR(__xludf.DUMMYFUNCTION("""COMPUTED_VALUE"""),1.0)</f>
        <v>1</v>
      </c>
      <c r="K170" s="9">
        <f>IFERROR(__xludf.DUMMYFUNCTION("""COMPUTED_VALUE"""),1.0)</f>
        <v>1</v>
      </c>
      <c r="L170" s="9">
        <f>IFERROR(__xludf.DUMMYFUNCTION("""COMPUTED_VALUE"""),0.0)</f>
        <v>0</v>
      </c>
      <c r="M170" s="9">
        <f>IFERROR(__xludf.DUMMYFUNCTION("""COMPUTED_VALUE"""),28.0)</f>
        <v>28</v>
      </c>
      <c r="N170" s="9">
        <f>IFERROR(__xludf.DUMMYFUNCTION("""COMPUTED_VALUE"""),31.0)</f>
        <v>31</v>
      </c>
      <c r="O170" s="9">
        <f>IFERROR(__xludf.DUMMYFUNCTION("""COMPUTED_VALUE"""),0.0)</f>
        <v>0</v>
      </c>
      <c r="P170" s="9">
        <f>IFERROR(__xludf.DUMMYFUNCTION("""COMPUTED_VALUE"""),0.0)</f>
        <v>0</v>
      </c>
      <c r="Q170" s="9">
        <f>IFERROR(__xludf.DUMMYFUNCTION("""COMPUTED_VALUE"""),17.0)</f>
        <v>17</v>
      </c>
      <c r="R170" s="9">
        <f>IFERROR(__xludf.DUMMYFUNCTION("""COMPUTED_VALUE"""),0.0)</f>
        <v>0</v>
      </c>
      <c r="S170" s="9">
        <f>IFERROR(__xludf.DUMMYFUNCTION("""COMPUTED_VALUE"""),13.0)</f>
        <v>13</v>
      </c>
      <c r="T170" s="9">
        <f>IFERROR(__xludf.DUMMYFUNCTION("""COMPUTED_VALUE"""),3.0)</f>
        <v>3</v>
      </c>
      <c r="U170" s="9">
        <f>IFERROR(__xludf.DUMMYFUNCTION("""COMPUTED_VALUE"""),0.0)</f>
        <v>0</v>
      </c>
      <c r="V170" s="9">
        <f>IFERROR(__xludf.DUMMYFUNCTION("""COMPUTED_VALUE"""),17.0)</f>
        <v>17</v>
      </c>
      <c r="W170" s="9">
        <f>IFERROR(__xludf.DUMMYFUNCTION("""COMPUTED_VALUE"""),0.0)</f>
        <v>0</v>
      </c>
      <c r="X170" s="9">
        <f>IFERROR(__xludf.DUMMYFUNCTION("""COMPUTED_VALUE"""),19.0)</f>
        <v>19</v>
      </c>
      <c r="Y170" s="9">
        <f>IFERROR(__xludf.DUMMYFUNCTION("""COMPUTED_VALUE"""),21.0)</f>
        <v>21</v>
      </c>
      <c r="Z170" s="9">
        <f>IFERROR(__xludf.DUMMYFUNCTION("""COMPUTED_VALUE"""),3.0)</f>
        <v>3</v>
      </c>
      <c r="AA170" s="9">
        <f>IFERROR(__xludf.DUMMYFUNCTION("""COMPUTED_VALUE"""),0.0)</f>
        <v>0</v>
      </c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</row>
    <row r="171">
      <c r="A171" s="8">
        <f>IFERROR(__xludf.DUMMYFUNCTION("""COMPUTED_VALUE"""),45289.0)</f>
        <v>45289</v>
      </c>
      <c r="B171" s="9">
        <f>IFERROR(__xludf.DUMMYFUNCTION("""COMPUTED_VALUE"""),33.0)</f>
        <v>33</v>
      </c>
      <c r="C171" s="9">
        <f>IFERROR(__xludf.DUMMYFUNCTION("""COMPUTED_VALUE"""),121.0)</f>
        <v>121</v>
      </c>
      <c r="D171" s="9">
        <f>IFERROR(__xludf.DUMMYFUNCTION("""COMPUTED_VALUE"""),4.0)</f>
        <v>4</v>
      </c>
      <c r="E171" s="9">
        <f>IFERROR(__xludf.DUMMYFUNCTION("""COMPUTED_VALUE"""),2313.0)</f>
        <v>2313</v>
      </c>
      <c r="F171" s="9">
        <f>IFERROR(__xludf.DUMMYFUNCTION("""COMPUTED_VALUE"""),70.0)</f>
        <v>70</v>
      </c>
      <c r="G171" s="9">
        <f>IFERROR(__xludf.DUMMYFUNCTION("""COMPUTED_VALUE"""),0.0)</f>
        <v>0</v>
      </c>
      <c r="H171" s="9"/>
      <c r="I171" s="9">
        <f>IFERROR(__xludf.DUMMYFUNCTION("""COMPUTED_VALUE"""),26.0)</f>
        <v>26</v>
      </c>
      <c r="J171" s="9">
        <f>IFERROR(__xludf.DUMMYFUNCTION("""COMPUTED_VALUE"""),2.0)</f>
        <v>2</v>
      </c>
      <c r="K171" s="9">
        <f>IFERROR(__xludf.DUMMYFUNCTION("""COMPUTED_VALUE"""),1.0)</f>
        <v>1</v>
      </c>
      <c r="L171" s="9">
        <f>IFERROR(__xludf.DUMMYFUNCTION("""COMPUTED_VALUE"""),0.0)</f>
        <v>0</v>
      </c>
      <c r="M171" s="9">
        <f>IFERROR(__xludf.DUMMYFUNCTION("""COMPUTED_VALUE"""),29.0)</f>
        <v>29</v>
      </c>
      <c r="N171" s="9">
        <f>IFERROR(__xludf.DUMMYFUNCTION("""COMPUTED_VALUE"""),29.0)</f>
        <v>29</v>
      </c>
      <c r="O171" s="9">
        <f>IFERROR(__xludf.DUMMYFUNCTION("""COMPUTED_VALUE"""),0.0)</f>
        <v>0</v>
      </c>
      <c r="P171" s="9">
        <f>IFERROR(__xludf.DUMMYFUNCTION("""COMPUTED_VALUE"""),4.0)</f>
        <v>4</v>
      </c>
      <c r="Q171" s="9">
        <f>IFERROR(__xludf.DUMMYFUNCTION("""COMPUTED_VALUE"""),17.0)</f>
        <v>17</v>
      </c>
      <c r="R171" s="9">
        <f>IFERROR(__xludf.DUMMYFUNCTION("""COMPUTED_VALUE"""),2.0)</f>
        <v>2</v>
      </c>
      <c r="S171" s="9">
        <f>IFERROR(__xludf.DUMMYFUNCTION("""COMPUTED_VALUE"""),16.0)</f>
        <v>16</v>
      </c>
      <c r="T171" s="9">
        <f>IFERROR(__xludf.DUMMYFUNCTION("""COMPUTED_VALUE"""),1.0)</f>
        <v>1</v>
      </c>
      <c r="U171" s="9">
        <f>IFERROR(__xludf.DUMMYFUNCTION("""COMPUTED_VALUE"""),0.0)</f>
        <v>0</v>
      </c>
      <c r="V171" s="9">
        <f>IFERROR(__xludf.DUMMYFUNCTION("""COMPUTED_VALUE"""),19.0)</f>
        <v>19</v>
      </c>
      <c r="W171" s="9">
        <f>IFERROR(__xludf.DUMMYFUNCTION("""COMPUTED_VALUE"""),1.0)</f>
        <v>1</v>
      </c>
      <c r="X171" s="9">
        <f>IFERROR(__xludf.DUMMYFUNCTION("""COMPUTED_VALUE"""),12.0)</f>
        <v>12</v>
      </c>
      <c r="Y171" s="9">
        <f>IFERROR(__xludf.DUMMYFUNCTION("""COMPUTED_VALUE"""),22.0)</f>
        <v>22</v>
      </c>
      <c r="Z171" s="9">
        <f>IFERROR(__xludf.DUMMYFUNCTION("""COMPUTED_VALUE"""),2.0)</f>
        <v>2</v>
      </c>
      <c r="AA171" s="9">
        <f>IFERROR(__xludf.DUMMYFUNCTION("""COMPUTED_VALUE"""),0.0)</f>
        <v>0</v>
      </c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</row>
    <row r="172">
      <c r="A172" s="8">
        <f>IFERROR(__xludf.DUMMYFUNCTION("""COMPUTED_VALUE"""),45290.0)</f>
        <v>45290</v>
      </c>
      <c r="B172" s="9">
        <f>IFERROR(__xludf.DUMMYFUNCTION("""COMPUTED_VALUE"""),0.0)</f>
        <v>0</v>
      </c>
      <c r="C172" s="9">
        <f>IFERROR(__xludf.DUMMYFUNCTION("""COMPUTED_VALUE"""),0.0)</f>
        <v>0</v>
      </c>
      <c r="D172" s="9">
        <f>IFERROR(__xludf.DUMMYFUNCTION("""COMPUTED_VALUE"""),0.0)</f>
        <v>0</v>
      </c>
      <c r="E172" s="9">
        <f>IFERROR(__xludf.DUMMYFUNCTION("""COMPUTED_VALUE"""),0.0)</f>
        <v>0</v>
      </c>
      <c r="F172" s="9">
        <f>IFERROR(__xludf.DUMMYFUNCTION("""COMPUTED_VALUE"""),0.0)</f>
        <v>0</v>
      </c>
      <c r="G172" s="9">
        <f>IFERROR(__xludf.DUMMYFUNCTION("""COMPUTED_VALUE"""),0.0)</f>
        <v>0</v>
      </c>
      <c r="H172" s="9"/>
      <c r="I172" s="9">
        <f>IFERROR(__xludf.DUMMYFUNCTION("""COMPUTED_VALUE"""),0.0)</f>
        <v>0</v>
      </c>
      <c r="J172" s="9">
        <f>IFERROR(__xludf.DUMMYFUNCTION("""COMPUTED_VALUE"""),0.0)</f>
        <v>0</v>
      </c>
      <c r="K172" s="9">
        <f>IFERROR(__xludf.DUMMYFUNCTION("""COMPUTED_VALUE"""),0.0)</f>
        <v>0</v>
      </c>
      <c r="L172" s="9">
        <f>IFERROR(__xludf.DUMMYFUNCTION("""COMPUTED_VALUE"""),0.0)</f>
        <v>0</v>
      </c>
      <c r="M172" s="9">
        <f>IFERROR(__xludf.DUMMYFUNCTION("""COMPUTED_VALUE"""),0.0)</f>
        <v>0</v>
      </c>
      <c r="N172" s="9">
        <f>IFERROR(__xludf.DUMMYFUNCTION("""COMPUTED_VALUE"""),0.0)</f>
        <v>0</v>
      </c>
      <c r="O172" s="9">
        <f>IFERROR(__xludf.DUMMYFUNCTION("""COMPUTED_VALUE"""),0.0)</f>
        <v>0</v>
      </c>
      <c r="P172" s="9">
        <f>IFERROR(__xludf.DUMMYFUNCTION("""COMPUTED_VALUE"""),0.0)</f>
        <v>0</v>
      </c>
      <c r="Q172" s="9">
        <f>IFERROR(__xludf.DUMMYFUNCTION("""COMPUTED_VALUE"""),0.0)</f>
        <v>0</v>
      </c>
      <c r="R172" s="9">
        <f>IFERROR(__xludf.DUMMYFUNCTION("""COMPUTED_VALUE"""),0.0)</f>
        <v>0</v>
      </c>
      <c r="S172" s="9">
        <f>IFERROR(__xludf.DUMMYFUNCTION("""COMPUTED_VALUE"""),0.0)</f>
        <v>0</v>
      </c>
      <c r="T172" s="9">
        <f>IFERROR(__xludf.DUMMYFUNCTION("""COMPUTED_VALUE"""),0.0)</f>
        <v>0</v>
      </c>
      <c r="U172" s="9">
        <f>IFERROR(__xludf.DUMMYFUNCTION("""COMPUTED_VALUE"""),0.0)</f>
        <v>0</v>
      </c>
      <c r="V172" s="9">
        <f>IFERROR(__xludf.DUMMYFUNCTION("""COMPUTED_VALUE"""),0.0)</f>
        <v>0</v>
      </c>
      <c r="W172" s="9">
        <f>IFERROR(__xludf.DUMMYFUNCTION("""COMPUTED_VALUE"""),0.0)</f>
        <v>0</v>
      </c>
      <c r="X172" s="9">
        <f>IFERROR(__xludf.DUMMYFUNCTION("""COMPUTED_VALUE"""),0.0)</f>
        <v>0</v>
      </c>
      <c r="Y172" s="9">
        <f>IFERROR(__xludf.DUMMYFUNCTION("""COMPUTED_VALUE"""),0.0)</f>
        <v>0</v>
      </c>
      <c r="Z172" s="9">
        <f>IFERROR(__xludf.DUMMYFUNCTION("""COMPUTED_VALUE"""),0.0)</f>
        <v>0</v>
      </c>
      <c r="AA172" s="9">
        <f>IFERROR(__xludf.DUMMYFUNCTION("""COMPUTED_VALUE"""),0.0)</f>
        <v>0</v>
      </c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</row>
    <row r="173">
      <c r="A173" s="8">
        <f>IFERROR(__xludf.DUMMYFUNCTION("""COMPUTED_VALUE"""),45291.0)</f>
        <v>45291</v>
      </c>
      <c r="B173" s="9">
        <f>IFERROR(__xludf.DUMMYFUNCTION("""COMPUTED_VALUE"""),0.0)</f>
        <v>0</v>
      </c>
      <c r="C173" s="9">
        <f>IFERROR(__xludf.DUMMYFUNCTION("""COMPUTED_VALUE"""),0.0)</f>
        <v>0</v>
      </c>
      <c r="D173" s="9">
        <f>IFERROR(__xludf.DUMMYFUNCTION("""COMPUTED_VALUE"""),0.0)</f>
        <v>0</v>
      </c>
      <c r="E173" s="9">
        <f>IFERROR(__xludf.DUMMYFUNCTION("""COMPUTED_VALUE"""),0.0)</f>
        <v>0</v>
      </c>
      <c r="F173" s="9">
        <f>IFERROR(__xludf.DUMMYFUNCTION("""COMPUTED_VALUE"""),0.0)</f>
        <v>0</v>
      </c>
      <c r="G173" s="9">
        <f>IFERROR(__xludf.DUMMYFUNCTION("""COMPUTED_VALUE"""),0.0)</f>
        <v>0</v>
      </c>
      <c r="H173" s="9"/>
      <c r="I173" s="9">
        <f>IFERROR(__xludf.DUMMYFUNCTION("""COMPUTED_VALUE"""),0.0)</f>
        <v>0</v>
      </c>
      <c r="J173" s="9">
        <f>IFERROR(__xludf.DUMMYFUNCTION("""COMPUTED_VALUE"""),0.0)</f>
        <v>0</v>
      </c>
      <c r="K173" s="9">
        <f>IFERROR(__xludf.DUMMYFUNCTION("""COMPUTED_VALUE"""),0.0)</f>
        <v>0</v>
      </c>
      <c r="L173" s="9">
        <f>IFERROR(__xludf.DUMMYFUNCTION("""COMPUTED_VALUE"""),0.0)</f>
        <v>0</v>
      </c>
      <c r="M173" s="9">
        <f>IFERROR(__xludf.DUMMYFUNCTION("""COMPUTED_VALUE"""),0.0)</f>
        <v>0</v>
      </c>
      <c r="N173" s="9">
        <f>IFERROR(__xludf.DUMMYFUNCTION("""COMPUTED_VALUE"""),0.0)</f>
        <v>0</v>
      </c>
      <c r="O173" s="9">
        <f>IFERROR(__xludf.DUMMYFUNCTION("""COMPUTED_VALUE"""),0.0)</f>
        <v>0</v>
      </c>
      <c r="P173" s="9">
        <f>IFERROR(__xludf.DUMMYFUNCTION("""COMPUTED_VALUE"""),0.0)</f>
        <v>0</v>
      </c>
      <c r="Q173" s="9">
        <f>IFERROR(__xludf.DUMMYFUNCTION("""COMPUTED_VALUE"""),0.0)</f>
        <v>0</v>
      </c>
      <c r="R173" s="9">
        <f>IFERROR(__xludf.DUMMYFUNCTION("""COMPUTED_VALUE"""),0.0)</f>
        <v>0</v>
      </c>
      <c r="S173" s="9">
        <f>IFERROR(__xludf.DUMMYFUNCTION("""COMPUTED_VALUE"""),0.0)</f>
        <v>0</v>
      </c>
      <c r="T173" s="9">
        <f>IFERROR(__xludf.DUMMYFUNCTION("""COMPUTED_VALUE"""),0.0)</f>
        <v>0</v>
      </c>
      <c r="U173" s="9">
        <f>IFERROR(__xludf.DUMMYFUNCTION("""COMPUTED_VALUE"""),0.0)</f>
        <v>0</v>
      </c>
      <c r="V173" s="9">
        <f>IFERROR(__xludf.DUMMYFUNCTION("""COMPUTED_VALUE"""),0.0)</f>
        <v>0</v>
      </c>
      <c r="W173" s="9">
        <f>IFERROR(__xludf.DUMMYFUNCTION("""COMPUTED_VALUE"""),0.0)</f>
        <v>0</v>
      </c>
      <c r="X173" s="9">
        <f>IFERROR(__xludf.DUMMYFUNCTION("""COMPUTED_VALUE"""),0.0)</f>
        <v>0</v>
      </c>
      <c r="Y173" s="9">
        <f>IFERROR(__xludf.DUMMYFUNCTION("""COMPUTED_VALUE"""),0.0)</f>
        <v>0</v>
      </c>
      <c r="Z173" s="9">
        <f>IFERROR(__xludf.DUMMYFUNCTION("""COMPUTED_VALUE"""),0.0)</f>
        <v>0</v>
      </c>
      <c r="AA173" s="9">
        <f>IFERROR(__xludf.DUMMYFUNCTION("""COMPUTED_VALUE"""),0.0)</f>
        <v>0</v>
      </c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</row>
    <row r="174">
      <c r="A174" s="8">
        <f>IFERROR(__xludf.DUMMYFUNCTION("""COMPUTED_VALUE"""),45292.0)</f>
        <v>45292</v>
      </c>
      <c r="B174" s="9">
        <f>IFERROR(__xludf.DUMMYFUNCTION("""COMPUTED_VALUE"""),0.0)</f>
        <v>0</v>
      </c>
      <c r="C174" s="9">
        <f>IFERROR(__xludf.DUMMYFUNCTION("""COMPUTED_VALUE"""),0.0)</f>
        <v>0</v>
      </c>
      <c r="D174" s="9">
        <f>IFERROR(__xludf.DUMMYFUNCTION("""COMPUTED_VALUE"""),0.0)</f>
        <v>0</v>
      </c>
      <c r="E174" s="9">
        <f>IFERROR(__xludf.DUMMYFUNCTION("""COMPUTED_VALUE"""),0.0)</f>
        <v>0</v>
      </c>
      <c r="F174" s="9">
        <f>IFERROR(__xludf.DUMMYFUNCTION("""COMPUTED_VALUE"""),0.0)</f>
        <v>0</v>
      </c>
      <c r="G174" s="9">
        <f>IFERROR(__xludf.DUMMYFUNCTION("""COMPUTED_VALUE"""),0.0)</f>
        <v>0</v>
      </c>
      <c r="H174" s="9"/>
      <c r="I174" s="9">
        <f>IFERROR(__xludf.DUMMYFUNCTION("""COMPUTED_VALUE"""),0.0)</f>
        <v>0</v>
      </c>
      <c r="J174" s="9">
        <f>IFERROR(__xludf.DUMMYFUNCTION("""COMPUTED_VALUE"""),0.0)</f>
        <v>0</v>
      </c>
      <c r="K174" s="9">
        <f>IFERROR(__xludf.DUMMYFUNCTION("""COMPUTED_VALUE"""),0.0)</f>
        <v>0</v>
      </c>
      <c r="L174" s="9">
        <f>IFERROR(__xludf.DUMMYFUNCTION("""COMPUTED_VALUE"""),0.0)</f>
        <v>0</v>
      </c>
      <c r="M174" s="9">
        <f>IFERROR(__xludf.DUMMYFUNCTION("""COMPUTED_VALUE"""),0.0)</f>
        <v>0</v>
      </c>
      <c r="N174" s="9">
        <f>IFERROR(__xludf.DUMMYFUNCTION("""COMPUTED_VALUE"""),0.0)</f>
        <v>0</v>
      </c>
      <c r="O174" s="9">
        <f>IFERROR(__xludf.DUMMYFUNCTION("""COMPUTED_VALUE"""),0.0)</f>
        <v>0</v>
      </c>
      <c r="P174" s="9">
        <f>IFERROR(__xludf.DUMMYFUNCTION("""COMPUTED_VALUE"""),0.0)</f>
        <v>0</v>
      </c>
      <c r="Q174" s="9">
        <f>IFERROR(__xludf.DUMMYFUNCTION("""COMPUTED_VALUE"""),0.0)</f>
        <v>0</v>
      </c>
      <c r="R174" s="9">
        <f>IFERROR(__xludf.DUMMYFUNCTION("""COMPUTED_VALUE"""),0.0)</f>
        <v>0</v>
      </c>
      <c r="S174" s="9">
        <f>IFERROR(__xludf.DUMMYFUNCTION("""COMPUTED_VALUE"""),0.0)</f>
        <v>0</v>
      </c>
      <c r="T174" s="9">
        <f>IFERROR(__xludf.DUMMYFUNCTION("""COMPUTED_VALUE"""),0.0)</f>
        <v>0</v>
      </c>
      <c r="U174" s="9">
        <f>IFERROR(__xludf.DUMMYFUNCTION("""COMPUTED_VALUE"""),0.0)</f>
        <v>0</v>
      </c>
      <c r="V174" s="9">
        <f>IFERROR(__xludf.DUMMYFUNCTION("""COMPUTED_VALUE"""),0.0)</f>
        <v>0</v>
      </c>
      <c r="W174" s="9">
        <f>IFERROR(__xludf.DUMMYFUNCTION("""COMPUTED_VALUE"""),0.0)</f>
        <v>0</v>
      </c>
      <c r="X174" s="9">
        <f>IFERROR(__xludf.DUMMYFUNCTION("""COMPUTED_VALUE"""),0.0)</f>
        <v>0</v>
      </c>
      <c r="Y174" s="9">
        <f>IFERROR(__xludf.DUMMYFUNCTION("""COMPUTED_VALUE"""),0.0)</f>
        <v>0</v>
      </c>
      <c r="Z174" s="9">
        <f>IFERROR(__xludf.DUMMYFUNCTION("""COMPUTED_VALUE"""),0.0)</f>
        <v>0</v>
      </c>
      <c r="AA174" s="9">
        <f>IFERROR(__xludf.DUMMYFUNCTION("""COMPUTED_VALUE"""),0.0)</f>
        <v>0</v>
      </c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</row>
    <row r="175">
      <c r="A175" s="8">
        <f>IFERROR(__xludf.DUMMYFUNCTION("""COMPUTED_VALUE"""),45293.0)</f>
        <v>45293</v>
      </c>
      <c r="B175" s="9">
        <f>IFERROR(__xludf.DUMMYFUNCTION("""COMPUTED_VALUE"""),26.0)</f>
        <v>26</v>
      </c>
      <c r="C175" s="9">
        <f>IFERROR(__xludf.DUMMYFUNCTION("""COMPUTED_VALUE"""),118.0)</f>
        <v>118</v>
      </c>
      <c r="D175" s="9">
        <f>IFERROR(__xludf.DUMMYFUNCTION("""COMPUTED_VALUE"""),5.0)</f>
        <v>5</v>
      </c>
      <c r="E175" s="9">
        <f>IFERROR(__xludf.DUMMYFUNCTION("""COMPUTED_VALUE"""),2629.0)</f>
        <v>2629</v>
      </c>
      <c r="F175" s="9">
        <f>IFERROR(__xludf.DUMMYFUNCTION("""COMPUTED_VALUE"""),101.0)</f>
        <v>101</v>
      </c>
      <c r="G175" s="9">
        <f>IFERROR(__xludf.DUMMYFUNCTION("""COMPUTED_VALUE"""),0.0)</f>
        <v>0</v>
      </c>
      <c r="H175" s="9"/>
      <c r="I175" s="9">
        <f>IFERROR(__xludf.DUMMYFUNCTION("""COMPUTED_VALUE"""),18.0)</f>
        <v>18</v>
      </c>
      <c r="J175" s="9">
        <f>IFERROR(__xludf.DUMMYFUNCTION("""COMPUTED_VALUE"""),4.0)</f>
        <v>4</v>
      </c>
      <c r="K175" s="9">
        <f>IFERROR(__xludf.DUMMYFUNCTION("""COMPUTED_VALUE"""),0.0)</f>
        <v>0</v>
      </c>
      <c r="L175" s="9">
        <f>IFERROR(__xludf.DUMMYFUNCTION("""COMPUTED_VALUE"""),0.0)</f>
        <v>0</v>
      </c>
      <c r="M175" s="9">
        <f>IFERROR(__xludf.DUMMYFUNCTION("""COMPUTED_VALUE"""),22.0)</f>
        <v>22</v>
      </c>
      <c r="N175" s="9">
        <f>IFERROR(__xludf.DUMMYFUNCTION("""COMPUTED_VALUE"""),20.0)</f>
        <v>20</v>
      </c>
      <c r="O175" s="9">
        <f>IFERROR(__xludf.DUMMYFUNCTION("""COMPUTED_VALUE"""),0.0)</f>
        <v>0</v>
      </c>
      <c r="P175" s="9">
        <f>IFERROR(__xludf.DUMMYFUNCTION("""COMPUTED_VALUE"""),6.0)</f>
        <v>6</v>
      </c>
      <c r="Q175" s="9">
        <f>IFERROR(__xludf.DUMMYFUNCTION("""COMPUTED_VALUE"""),12.0)</f>
        <v>12</v>
      </c>
      <c r="R175" s="9">
        <f>IFERROR(__xludf.DUMMYFUNCTION("""COMPUTED_VALUE"""),2.0)</f>
        <v>2</v>
      </c>
      <c r="S175" s="9">
        <f>IFERROR(__xludf.DUMMYFUNCTION("""COMPUTED_VALUE"""),18.0)</f>
        <v>18</v>
      </c>
      <c r="T175" s="9">
        <f>IFERROR(__xludf.DUMMYFUNCTION("""COMPUTED_VALUE"""),2.0)</f>
        <v>2</v>
      </c>
      <c r="U175" s="9">
        <f>IFERROR(__xludf.DUMMYFUNCTION("""COMPUTED_VALUE"""),0.0)</f>
        <v>0</v>
      </c>
      <c r="V175" s="9">
        <f>IFERROR(__xludf.DUMMYFUNCTION("""COMPUTED_VALUE"""),14.0)</f>
        <v>14</v>
      </c>
      <c r="W175" s="9">
        <f>IFERROR(__xludf.DUMMYFUNCTION("""COMPUTED_VALUE"""),0.0)</f>
        <v>0</v>
      </c>
      <c r="X175" s="9">
        <f>IFERROR(__xludf.DUMMYFUNCTION("""COMPUTED_VALUE"""),27.0)</f>
        <v>27</v>
      </c>
      <c r="Y175" s="9">
        <f>IFERROR(__xludf.DUMMYFUNCTION("""COMPUTED_VALUE"""),17.0)</f>
        <v>17</v>
      </c>
      <c r="Z175" s="9">
        <f>IFERROR(__xludf.DUMMYFUNCTION("""COMPUTED_VALUE"""),2.0)</f>
        <v>2</v>
      </c>
      <c r="AA175" s="9">
        <f>IFERROR(__xludf.DUMMYFUNCTION("""COMPUTED_VALUE"""),0.0)</f>
        <v>0</v>
      </c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</row>
    <row r="176">
      <c r="A176" s="8">
        <f>IFERROR(__xludf.DUMMYFUNCTION("""COMPUTED_VALUE"""),45294.0)</f>
        <v>45294</v>
      </c>
      <c r="B176" s="9">
        <f>IFERROR(__xludf.DUMMYFUNCTION("""COMPUTED_VALUE"""),26.0)</f>
        <v>26</v>
      </c>
      <c r="C176" s="9">
        <f>IFERROR(__xludf.DUMMYFUNCTION("""COMPUTED_VALUE"""),93.0)</f>
        <v>93</v>
      </c>
      <c r="D176" s="9">
        <f>IFERROR(__xludf.DUMMYFUNCTION("""COMPUTED_VALUE"""),4.0)</f>
        <v>4</v>
      </c>
      <c r="E176" s="9">
        <f>IFERROR(__xludf.DUMMYFUNCTION("""COMPUTED_VALUE"""),1817.0)</f>
        <v>1817</v>
      </c>
      <c r="F176" s="9">
        <f>IFERROR(__xludf.DUMMYFUNCTION("""COMPUTED_VALUE"""),70.0)</f>
        <v>70</v>
      </c>
      <c r="G176" s="9">
        <f>IFERROR(__xludf.DUMMYFUNCTION("""COMPUTED_VALUE"""),0.0)</f>
        <v>0</v>
      </c>
      <c r="H176" s="9"/>
      <c r="I176" s="9">
        <f>IFERROR(__xludf.DUMMYFUNCTION("""COMPUTED_VALUE"""),19.0)</f>
        <v>19</v>
      </c>
      <c r="J176" s="9">
        <f>IFERROR(__xludf.DUMMYFUNCTION("""COMPUTED_VALUE"""),0.0)</f>
        <v>0</v>
      </c>
      <c r="K176" s="9">
        <f>IFERROR(__xludf.DUMMYFUNCTION("""COMPUTED_VALUE"""),1.0)</f>
        <v>1</v>
      </c>
      <c r="L176" s="9">
        <f>IFERROR(__xludf.DUMMYFUNCTION("""COMPUTED_VALUE"""),1.0)</f>
        <v>1</v>
      </c>
      <c r="M176" s="9">
        <f>IFERROR(__xludf.DUMMYFUNCTION("""COMPUTED_VALUE"""),21.0)</f>
        <v>21</v>
      </c>
      <c r="N176" s="9">
        <f>IFERROR(__xludf.DUMMYFUNCTION("""COMPUTED_VALUE"""),21.0)</f>
        <v>21</v>
      </c>
      <c r="O176" s="9">
        <f>IFERROR(__xludf.DUMMYFUNCTION("""COMPUTED_VALUE"""),0.0)</f>
        <v>0</v>
      </c>
      <c r="P176" s="9">
        <f>IFERROR(__xludf.DUMMYFUNCTION("""COMPUTED_VALUE"""),5.0)</f>
        <v>5</v>
      </c>
      <c r="Q176" s="9">
        <f>IFERROR(__xludf.DUMMYFUNCTION("""COMPUTED_VALUE"""),13.0)</f>
        <v>13</v>
      </c>
      <c r="R176" s="9">
        <f>IFERROR(__xludf.DUMMYFUNCTION("""COMPUTED_VALUE"""),2.0)</f>
        <v>2</v>
      </c>
      <c r="S176" s="9">
        <f>IFERROR(__xludf.DUMMYFUNCTION("""COMPUTED_VALUE"""),10.0)</f>
        <v>10</v>
      </c>
      <c r="T176" s="9">
        <f>IFERROR(__xludf.DUMMYFUNCTION("""COMPUTED_VALUE"""),1.0)</f>
        <v>1</v>
      </c>
      <c r="U176" s="9">
        <f>IFERROR(__xludf.DUMMYFUNCTION("""COMPUTED_VALUE"""),0.0)</f>
        <v>0</v>
      </c>
      <c r="V176" s="9">
        <f>IFERROR(__xludf.DUMMYFUNCTION("""COMPUTED_VALUE"""),15.0)</f>
        <v>15</v>
      </c>
      <c r="W176" s="9">
        <f>IFERROR(__xludf.DUMMYFUNCTION("""COMPUTED_VALUE"""),0.0)</f>
        <v>0</v>
      </c>
      <c r="X176" s="9">
        <f>IFERROR(__xludf.DUMMYFUNCTION("""COMPUTED_VALUE"""),13.0)</f>
        <v>13</v>
      </c>
      <c r="Y176" s="9">
        <f>IFERROR(__xludf.DUMMYFUNCTION("""COMPUTED_VALUE"""),17.0)</f>
        <v>17</v>
      </c>
      <c r="Z176" s="9">
        <f>IFERROR(__xludf.DUMMYFUNCTION("""COMPUTED_VALUE"""),1.0)</f>
        <v>1</v>
      </c>
      <c r="AA176" s="9">
        <f>IFERROR(__xludf.DUMMYFUNCTION("""COMPUTED_VALUE"""),0.0)</f>
        <v>0</v>
      </c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</row>
    <row r="177">
      <c r="A177" s="8">
        <f>IFERROR(__xludf.DUMMYFUNCTION("""COMPUTED_VALUE"""),45295.0)</f>
        <v>45295</v>
      </c>
      <c r="B177" s="9">
        <f>IFERROR(__xludf.DUMMYFUNCTION("""COMPUTED_VALUE"""),22.0)</f>
        <v>22</v>
      </c>
      <c r="C177" s="9">
        <f>IFERROR(__xludf.DUMMYFUNCTION("""COMPUTED_VALUE"""),88.0)</f>
        <v>88</v>
      </c>
      <c r="D177" s="9">
        <f>IFERROR(__xludf.DUMMYFUNCTION("""COMPUTED_VALUE"""),4.0)</f>
        <v>4</v>
      </c>
      <c r="E177" s="9">
        <f>IFERROR(__xludf.DUMMYFUNCTION("""COMPUTED_VALUE"""),1785.0)</f>
        <v>1785</v>
      </c>
      <c r="F177" s="9">
        <f>IFERROR(__xludf.DUMMYFUNCTION("""COMPUTED_VALUE"""),81.0)</f>
        <v>81</v>
      </c>
      <c r="G177" s="9">
        <f>IFERROR(__xludf.DUMMYFUNCTION("""COMPUTED_VALUE"""),0.0)</f>
        <v>0</v>
      </c>
      <c r="H177" s="9"/>
      <c r="I177" s="9">
        <f>IFERROR(__xludf.DUMMYFUNCTION("""COMPUTED_VALUE"""),13.0)</f>
        <v>13</v>
      </c>
      <c r="J177" s="9">
        <f>IFERROR(__xludf.DUMMYFUNCTION("""COMPUTED_VALUE"""),3.0)</f>
        <v>3</v>
      </c>
      <c r="K177" s="9">
        <f>IFERROR(__xludf.DUMMYFUNCTION("""COMPUTED_VALUE"""),1.0)</f>
        <v>1</v>
      </c>
      <c r="L177" s="9">
        <f>IFERROR(__xludf.DUMMYFUNCTION("""COMPUTED_VALUE"""),0.0)</f>
        <v>0</v>
      </c>
      <c r="M177" s="9">
        <f>IFERROR(__xludf.DUMMYFUNCTION("""COMPUTED_VALUE"""),17.0)</f>
        <v>17</v>
      </c>
      <c r="N177" s="9">
        <f>IFERROR(__xludf.DUMMYFUNCTION("""COMPUTED_VALUE"""),18.0)</f>
        <v>18</v>
      </c>
      <c r="O177" s="9">
        <f>IFERROR(__xludf.DUMMYFUNCTION("""COMPUTED_VALUE"""),0.0)</f>
        <v>0</v>
      </c>
      <c r="P177" s="9">
        <f>IFERROR(__xludf.DUMMYFUNCTION("""COMPUTED_VALUE"""),4.0)</f>
        <v>4</v>
      </c>
      <c r="Q177" s="9">
        <f>IFERROR(__xludf.DUMMYFUNCTION("""COMPUTED_VALUE"""),12.0)</f>
        <v>12</v>
      </c>
      <c r="R177" s="9">
        <f>IFERROR(__xludf.DUMMYFUNCTION("""COMPUTED_VALUE"""),4.0)</f>
        <v>4</v>
      </c>
      <c r="S177" s="9">
        <f>IFERROR(__xludf.DUMMYFUNCTION("""COMPUTED_VALUE"""),7.0)</f>
        <v>7</v>
      </c>
      <c r="T177" s="9">
        <f>IFERROR(__xludf.DUMMYFUNCTION("""COMPUTED_VALUE"""),1.0)</f>
        <v>1</v>
      </c>
      <c r="U177" s="9">
        <f>IFERROR(__xludf.DUMMYFUNCTION("""COMPUTED_VALUE"""),0.0)</f>
        <v>0</v>
      </c>
      <c r="V177" s="9">
        <f>IFERROR(__xludf.DUMMYFUNCTION("""COMPUTED_VALUE"""),16.0)</f>
        <v>16</v>
      </c>
      <c r="W177" s="9">
        <f>IFERROR(__xludf.DUMMYFUNCTION("""COMPUTED_VALUE"""),0.0)</f>
        <v>0</v>
      </c>
      <c r="X177" s="9">
        <f>IFERROR(__xludf.DUMMYFUNCTION("""COMPUTED_VALUE"""),18.0)</f>
        <v>18</v>
      </c>
      <c r="Y177" s="9">
        <f>IFERROR(__xludf.DUMMYFUNCTION("""COMPUTED_VALUE"""),17.0)</f>
        <v>17</v>
      </c>
      <c r="Z177" s="9">
        <f>IFERROR(__xludf.DUMMYFUNCTION("""COMPUTED_VALUE"""),1.0)</f>
        <v>1</v>
      </c>
      <c r="AA177" s="9">
        <f>IFERROR(__xludf.DUMMYFUNCTION("""COMPUTED_VALUE"""),0.0)</f>
        <v>0</v>
      </c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</row>
    <row r="178">
      <c r="A178" s="8">
        <f>IFERROR(__xludf.DUMMYFUNCTION("""COMPUTED_VALUE"""),45296.0)</f>
        <v>45296</v>
      </c>
      <c r="B178" s="9">
        <f>IFERROR(__xludf.DUMMYFUNCTION("""COMPUTED_VALUE"""),23.0)</f>
        <v>23</v>
      </c>
      <c r="C178" s="9">
        <f>IFERROR(__xludf.DUMMYFUNCTION("""COMPUTED_VALUE"""),79.0)</f>
        <v>79</v>
      </c>
      <c r="D178" s="9">
        <f>IFERROR(__xludf.DUMMYFUNCTION("""COMPUTED_VALUE"""),3.0)</f>
        <v>3</v>
      </c>
      <c r="E178" s="9">
        <f>IFERROR(__xludf.DUMMYFUNCTION("""COMPUTED_VALUE"""),1405.0)</f>
        <v>1405</v>
      </c>
      <c r="F178" s="9">
        <f>IFERROR(__xludf.DUMMYFUNCTION("""COMPUTED_VALUE"""),61.0)</f>
        <v>61</v>
      </c>
      <c r="G178" s="9">
        <f>IFERROR(__xludf.DUMMYFUNCTION("""COMPUTED_VALUE"""),0.0)</f>
        <v>0</v>
      </c>
      <c r="H178" s="9"/>
      <c r="I178" s="9">
        <f>IFERROR(__xludf.DUMMYFUNCTION("""COMPUTED_VALUE"""),15.0)</f>
        <v>15</v>
      </c>
      <c r="J178" s="9">
        <f>IFERROR(__xludf.DUMMYFUNCTION("""COMPUTED_VALUE"""),4.0)</f>
        <v>4</v>
      </c>
      <c r="K178" s="9">
        <f>IFERROR(__xludf.DUMMYFUNCTION("""COMPUTED_VALUE"""),0.0)</f>
        <v>0</v>
      </c>
      <c r="L178" s="9">
        <f>IFERROR(__xludf.DUMMYFUNCTION("""COMPUTED_VALUE"""),0.0)</f>
        <v>0</v>
      </c>
      <c r="M178" s="9">
        <f>IFERROR(__xludf.DUMMYFUNCTION("""COMPUTED_VALUE"""),19.0)</f>
        <v>19</v>
      </c>
      <c r="N178" s="9">
        <f>IFERROR(__xludf.DUMMYFUNCTION("""COMPUTED_VALUE"""),18.0)</f>
        <v>18</v>
      </c>
      <c r="O178" s="9">
        <f>IFERROR(__xludf.DUMMYFUNCTION("""COMPUTED_VALUE"""),0.0)</f>
        <v>0</v>
      </c>
      <c r="P178" s="9">
        <f>IFERROR(__xludf.DUMMYFUNCTION("""COMPUTED_VALUE"""),5.0)</f>
        <v>5</v>
      </c>
      <c r="Q178" s="9">
        <f>IFERROR(__xludf.DUMMYFUNCTION("""COMPUTED_VALUE"""),8.0)</f>
        <v>8</v>
      </c>
      <c r="R178" s="9">
        <f>IFERROR(__xludf.DUMMYFUNCTION("""COMPUTED_VALUE"""),2.0)</f>
        <v>2</v>
      </c>
      <c r="S178" s="9">
        <f>IFERROR(__xludf.DUMMYFUNCTION("""COMPUTED_VALUE"""),6.0)</f>
        <v>6</v>
      </c>
      <c r="T178" s="9">
        <f>IFERROR(__xludf.DUMMYFUNCTION("""COMPUTED_VALUE"""),1.0)</f>
        <v>1</v>
      </c>
      <c r="U178" s="9">
        <f>IFERROR(__xludf.DUMMYFUNCTION("""COMPUTED_VALUE"""),0.0)</f>
        <v>0</v>
      </c>
      <c r="V178" s="9">
        <f>IFERROR(__xludf.DUMMYFUNCTION("""COMPUTED_VALUE"""),10.0)</f>
        <v>10</v>
      </c>
      <c r="W178" s="9">
        <f>IFERROR(__xludf.DUMMYFUNCTION("""COMPUTED_VALUE"""),0.0)</f>
        <v>0</v>
      </c>
      <c r="X178" s="9">
        <f>IFERROR(__xludf.DUMMYFUNCTION("""COMPUTED_VALUE"""),12.0)</f>
        <v>12</v>
      </c>
      <c r="Y178" s="9">
        <f>IFERROR(__xludf.DUMMYFUNCTION("""COMPUTED_VALUE"""),12.0)</f>
        <v>12</v>
      </c>
      <c r="Z178" s="9">
        <f>IFERROR(__xludf.DUMMYFUNCTION("""COMPUTED_VALUE"""),1.0)</f>
        <v>1</v>
      </c>
      <c r="AA178" s="9">
        <f>IFERROR(__xludf.DUMMYFUNCTION("""COMPUTED_VALUE"""),0.0)</f>
        <v>0</v>
      </c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</row>
    <row r="179">
      <c r="A179" s="8">
        <f>IFERROR(__xludf.DUMMYFUNCTION("""COMPUTED_VALUE"""),45297.0)</f>
        <v>45297</v>
      </c>
      <c r="B179" s="9">
        <f>IFERROR(__xludf.DUMMYFUNCTION("""COMPUTED_VALUE"""),12.0)</f>
        <v>12</v>
      </c>
      <c r="C179" s="9">
        <f>IFERROR(__xludf.DUMMYFUNCTION("""COMPUTED_VALUE"""),50.0)</f>
        <v>50</v>
      </c>
      <c r="D179" s="9">
        <f>IFERROR(__xludf.DUMMYFUNCTION("""COMPUTED_VALUE"""),4.0)</f>
        <v>4</v>
      </c>
      <c r="E179" s="9">
        <f>IFERROR(__xludf.DUMMYFUNCTION("""COMPUTED_VALUE"""),975.0)</f>
        <v>975</v>
      </c>
      <c r="F179" s="9">
        <f>IFERROR(__xludf.DUMMYFUNCTION("""COMPUTED_VALUE"""),81.0)</f>
        <v>81</v>
      </c>
      <c r="G179" s="9">
        <f>IFERROR(__xludf.DUMMYFUNCTION("""COMPUTED_VALUE"""),0.0)</f>
        <v>0</v>
      </c>
      <c r="H179" s="9"/>
      <c r="I179" s="9">
        <f>IFERROR(__xludf.DUMMYFUNCTION("""COMPUTED_VALUE"""),4.0)</f>
        <v>4</v>
      </c>
      <c r="J179" s="9">
        <f>IFERROR(__xludf.DUMMYFUNCTION("""COMPUTED_VALUE"""),2.0)</f>
        <v>2</v>
      </c>
      <c r="K179" s="9">
        <f>IFERROR(__xludf.DUMMYFUNCTION("""COMPUTED_VALUE"""),0.0)</f>
        <v>0</v>
      </c>
      <c r="L179" s="9">
        <f>IFERROR(__xludf.DUMMYFUNCTION("""COMPUTED_VALUE"""),1.0)</f>
        <v>1</v>
      </c>
      <c r="M179" s="9">
        <f>IFERROR(__xludf.DUMMYFUNCTION("""COMPUTED_VALUE"""),7.0)</f>
        <v>7</v>
      </c>
      <c r="N179" s="9">
        <f>IFERROR(__xludf.DUMMYFUNCTION("""COMPUTED_VALUE"""),10.0)</f>
        <v>10</v>
      </c>
      <c r="O179" s="9">
        <f>IFERROR(__xludf.DUMMYFUNCTION("""COMPUTED_VALUE"""),0.0)</f>
        <v>0</v>
      </c>
      <c r="P179" s="9">
        <f>IFERROR(__xludf.DUMMYFUNCTION("""COMPUTED_VALUE"""),2.0)</f>
        <v>2</v>
      </c>
      <c r="Q179" s="9">
        <f>IFERROR(__xludf.DUMMYFUNCTION("""COMPUTED_VALUE"""),7.0)</f>
        <v>7</v>
      </c>
      <c r="R179" s="9">
        <f>IFERROR(__xludf.DUMMYFUNCTION("""COMPUTED_VALUE"""),1.0)</f>
        <v>1</v>
      </c>
      <c r="S179" s="9">
        <f>IFERROR(__xludf.DUMMYFUNCTION("""COMPUTED_VALUE"""),6.0)</f>
        <v>6</v>
      </c>
      <c r="T179" s="9">
        <f>IFERROR(__xludf.DUMMYFUNCTION("""COMPUTED_VALUE"""),0.0)</f>
        <v>0</v>
      </c>
      <c r="U179" s="9">
        <f>IFERROR(__xludf.DUMMYFUNCTION("""COMPUTED_VALUE"""),0.0)</f>
        <v>0</v>
      </c>
      <c r="V179" s="9">
        <f>IFERROR(__xludf.DUMMYFUNCTION("""COMPUTED_VALUE"""),8.0)</f>
        <v>8</v>
      </c>
      <c r="W179" s="9">
        <f>IFERROR(__xludf.DUMMYFUNCTION("""COMPUTED_VALUE"""),0.0)</f>
        <v>0</v>
      </c>
      <c r="X179" s="9">
        <f>IFERROR(__xludf.DUMMYFUNCTION("""COMPUTED_VALUE"""),5.0)</f>
        <v>5</v>
      </c>
      <c r="Y179" s="9">
        <f>IFERROR(__xludf.DUMMYFUNCTION("""COMPUTED_VALUE"""),9.0)</f>
        <v>9</v>
      </c>
      <c r="Z179" s="9">
        <f>IFERROR(__xludf.DUMMYFUNCTION("""COMPUTED_VALUE"""),0.0)</f>
        <v>0</v>
      </c>
      <c r="AA179" s="9">
        <f>IFERROR(__xludf.DUMMYFUNCTION("""COMPUTED_VALUE"""),0.0)</f>
        <v>0</v>
      </c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</row>
    <row r="180">
      <c r="A180" s="8">
        <f>IFERROR(__xludf.DUMMYFUNCTION("""COMPUTED_VALUE"""),45298.0)</f>
        <v>45298</v>
      </c>
      <c r="B180" s="9">
        <f>IFERROR(__xludf.DUMMYFUNCTION("""COMPUTED_VALUE"""),0.0)</f>
        <v>0</v>
      </c>
      <c r="C180" s="9">
        <f>IFERROR(__xludf.DUMMYFUNCTION("""COMPUTED_VALUE"""),0.0)</f>
        <v>0</v>
      </c>
      <c r="D180" s="9">
        <f>IFERROR(__xludf.DUMMYFUNCTION("""COMPUTED_VALUE"""),0.0)</f>
        <v>0</v>
      </c>
      <c r="E180" s="9">
        <f>IFERROR(__xludf.DUMMYFUNCTION("""COMPUTED_VALUE"""),0.0)</f>
        <v>0</v>
      </c>
      <c r="F180" s="9">
        <f>IFERROR(__xludf.DUMMYFUNCTION("""COMPUTED_VALUE"""),0.0)</f>
        <v>0</v>
      </c>
      <c r="G180" s="9">
        <f>IFERROR(__xludf.DUMMYFUNCTION("""COMPUTED_VALUE"""),0.0)</f>
        <v>0</v>
      </c>
      <c r="H180" s="9"/>
      <c r="I180" s="9">
        <f>IFERROR(__xludf.DUMMYFUNCTION("""COMPUTED_VALUE"""),0.0)</f>
        <v>0</v>
      </c>
      <c r="J180" s="9">
        <f>IFERROR(__xludf.DUMMYFUNCTION("""COMPUTED_VALUE"""),0.0)</f>
        <v>0</v>
      </c>
      <c r="K180" s="9">
        <f>IFERROR(__xludf.DUMMYFUNCTION("""COMPUTED_VALUE"""),0.0)</f>
        <v>0</v>
      </c>
      <c r="L180" s="9">
        <f>IFERROR(__xludf.DUMMYFUNCTION("""COMPUTED_VALUE"""),0.0)</f>
        <v>0</v>
      </c>
      <c r="M180" s="9">
        <f>IFERROR(__xludf.DUMMYFUNCTION("""COMPUTED_VALUE"""),0.0)</f>
        <v>0</v>
      </c>
      <c r="N180" s="9">
        <f>IFERROR(__xludf.DUMMYFUNCTION("""COMPUTED_VALUE"""),0.0)</f>
        <v>0</v>
      </c>
      <c r="O180" s="9">
        <f>IFERROR(__xludf.DUMMYFUNCTION("""COMPUTED_VALUE"""),0.0)</f>
        <v>0</v>
      </c>
      <c r="P180" s="9">
        <f>IFERROR(__xludf.DUMMYFUNCTION("""COMPUTED_VALUE"""),0.0)</f>
        <v>0</v>
      </c>
      <c r="Q180" s="9">
        <f>IFERROR(__xludf.DUMMYFUNCTION("""COMPUTED_VALUE"""),0.0)</f>
        <v>0</v>
      </c>
      <c r="R180" s="9">
        <f>IFERROR(__xludf.DUMMYFUNCTION("""COMPUTED_VALUE"""),0.0)</f>
        <v>0</v>
      </c>
      <c r="S180" s="9">
        <f>IFERROR(__xludf.DUMMYFUNCTION("""COMPUTED_VALUE"""),0.0)</f>
        <v>0</v>
      </c>
      <c r="T180" s="9">
        <f>IFERROR(__xludf.DUMMYFUNCTION("""COMPUTED_VALUE"""),0.0)</f>
        <v>0</v>
      </c>
      <c r="U180" s="9">
        <f>IFERROR(__xludf.DUMMYFUNCTION("""COMPUTED_VALUE"""),0.0)</f>
        <v>0</v>
      </c>
      <c r="V180" s="9">
        <f>IFERROR(__xludf.DUMMYFUNCTION("""COMPUTED_VALUE"""),0.0)</f>
        <v>0</v>
      </c>
      <c r="W180" s="9">
        <f>IFERROR(__xludf.DUMMYFUNCTION("""COMPUTED_VALUE"""),0.0)</f>
        <v>0</v>
      </c>
      <c r="X180" s="9">
        <f>IFERROR(__xludf.DUMMYFUNCTION("""COMPUTED_VALUE"""),0.0)</f>
        <v>0</v>
      </c>
      <c r="Y180" s="9">
        <f>IFERROR(__xludf.DUMMYFUNCTION("""COMPUTED_VALUE"""),0.0)</f>
        <v>0</v>
      </c>
      <c r="Z180" s="9">
        <f>IFERROR(__xludf.DUMMYFUNCTION("""COMPUTED_VALUE"""),0.0)</f>
        <v>0</v>
      </c>
      <c r="AA180" s="9">
        <f>IFERROR(__xludf.DUMMYFUNCTION("""COMPUTED_VALUE"""),0.0)</f>
        <v>0</v>
      </c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</row>
    <row r="181">
      <c r="A181" s="8">
        <f>IFERROR(__xludf.DUMMYFUNCTION("""COMPUTED_VALUE"""),45299.0)</f>
        <v>45299</v>
      </c>
      <c r="B181" s="9">
        <f>IFERROR(__xludf.DUMMYFUNCTION("""COMPUTED_VALUE"""),19.0)</f>
        <v>19</v>
      </c>
      <c r="C181" s="9">
        <f>IFERROR(__xludf.DUMMYFUNCTION("""COMPUTED_VALUE"""),61.0)</f>
        <v>61</v>
      </c>
      <c r="D181" s="9">
        <f>IFERROR(__xludf.DUMMYFUNCTION("""COMPUTED_VALUE"""),3.0)</f>
        <v>3</v>
      </c>
      <c r="E181" s="9">
        <f>IFERROR(__xludf.DUMMYFUNCTION("""COMPUTED_VALUE"""),1124.0)</f>
        <v>1124</v>
      </c>
      <c r="F181" s="9">
        <f>IFERROR(__xludf.DUMMYFUNCTION("""COMPUTED_VALUE"""),59.0)</f>
        <v>59</v>
      </c>
      <c r="G181" s="9">
        <f>IFERROR(__xludf.DUMMYFUNCTION("""COMPUTED_VALUE"""),0.0)</f>
        <v>0</v>
      </c>
      <c r="H181" s="9"/>
      <c r="I181" s="9">
        <f>IFERROR(__xludf.DUMMYFUNCTION("""COMPUTED_VALUE"""),13.0)</f>
        <v>13</v>
      </c>
      <c r="J181" s="9">
        <f>IFERROR(__xludf.DUMMYFUNCTION("""COMPUTED_VALUE"""),3.0)</f>
        <v>3</v>
      </c>
      <c r="K181" s="9">
        <f>IFERROR(__xludf.DUMMYFUNCTION("""COMPUTED_VALUE"""),0.0)</f>
        <v>0</v>
      </c>
      <c r="L181" s="9">
        <f>IFERROR(__xludf.DUMMYFUNCTION("""COMPUTED_VALUE"""),0.0)</f>
        <v>0</v>
      </c>
      <c r="M181" s="9">
        <f>IFERROR(__xludf.DUMMYFUNCTION("""COMPUTED_VALUE"""),16.0)</f>
        <v>16</v>
      </c>
      <c r="N181" s="9">
        <f>IFERROR(__xludf.DUMMYFUNCTION("""COMPUTED_VALUE"""),15.0)</f>
        <v>15</v>
      </c>
      <c r="O181" s="9">
        <f>IFERROR(__xludf.DUMMYFUNCTION("""COMPUTED_VALUE"""),0.0)</f>
        <v>0</v>
      </c>
      <c r="P181" s="9">
        <f>IFERROR(__xludf.DUMMYFUNCTION("""COMPUTED_VALUE"""),4.0)</f>
        <v>4</v>
      </c>
      <c r="Q181" s="9">
        <f>IFERROR(__xludf.DUMMYFUNCTION("""COMPUTED_VALUE"""),7.0)</f>
        <v>7</v>
      </c>
      <c r="R181" s="9">
        <f>IFERROR(__xludf.DUMMYFUNCTION("""COMPUTED_VALUE"""),0.0)</f>
        <v>0</v>
      </c>
      <c r="S181" s="9">
        <f>IFERROR(__xludf.DUMMYFUNCTION("""COMPUTED_VALUE"""),5.0)</f>
        <v>5</v>
      </c>
      <c r="T181" s="9">
        <f>IFERROR(__xludf.DUMMYFUNCTION("""COMPUTED_VALUE"""),0.0)</f>
        <v>0</v>
      </c>
      <c r="U181" s="9">
        <f>IFERROR(__xludf.DUMMYFUNCTION("""COMPUTED_VALUE"""),0.0)</f>
        <v>0</v>
      </c>
      <c r="V181" s="9">
        <f>IFERROR(__xludf.DUMMYFUNCTION("""COMPUTED_VALUE"""),7.0)</f>
        <v>7</v>
      </c>
      <c r="W181" s="9">
        <f>IFERROR(__xludf.DUMMYFUNCTION("""COMPUTED_VALUE"""),0.0)</f>
        <v>0</v>
      </c>
      <c r="X181" s="9">
        <f>IFERROR(__xludf.DUMMYFUNCTION("""COMPUTED_VALUE"""),10.0)</f>
        <v>10</v>
      </c>
      <c r="Y181" s="9">
        <f>IFERROR(__xludf.DUMMYFUNCTION("""COMPUTED_VALUE"""),8.0)</f>
        <v>8</v>
      </c>
      <c r="Z181" s="9">
        <f>IFERROR(__xludf.DUMMYFUNCTION("""COMPUTED_VALUE"""),0.0)</f>
        <v>0</v>
      </c>
      <c r="AA181" s="9">
        <f>IFERROR(__xludf.DUMMYFUNCTION("""COMPUTED_VALUE"""),0.0)</f>
        <v>0</v>
      </c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</row>
    <row r="182">
      <c r="A182" s="8">
        <f>IFERROR(__xludf.DUMMYFUNCTION("""COMPUTED_VALUE"""),45300.0)</f>
        <v>45300</v>
      </c>
      <c r="B182" s="9">
        <f>IFERROR(__xludf.DUMMYFUNCTION("""COMPUTED_VALUE"""),19.0)</f>
        <v>19</v>
      </c>
      <c r="C182" s="9">
        <f>IFERROR(__xludf.DUMMYFUNCTION("""COMPUTED_VALUE"""),81.0)</f>
        <v>81</v>
      </c>
      <c r="D182" s="9">
        <f>IFERROR(__xludf.DUMMYFUNCTION("""COMPUTED_VALUE"""),4.0)</f>
        <v>4</v>
      </c>
      <c r="E182" s="9">
        <f>IFERROR(__xludf.DUMMYFUNCTION("""COMPUTED_VALUE"""),1521.0)</f>
        <v>1521</v>
      </c>
      <c r="F182" s="9">
        <f>IFERROR(__xludf.DUMMYFUNCTION("""COMPUTED_VALUE"""),80.0)</f>
        <v>80</v>
      </c>
      <c r="G182" s="9">
        <f>IFERROR(__xludf.DUMMYFUNCTION("""COMPUTED_VALUE"""),0.0)</f>
        <v>0</v>
      </c>
      <c r="H182" s="9"/>
      <c r="I182" s="9">
        <f>IFERROR(__xludf.DUMMYFUNCTION("""COMPUTED_VALUE"""),14.0)</f>
        <v>14</v>
      </c>
      <c r="J182" s="9">
        <f>IFERROR(__xludf.DUMMYFUNCTION("""COMPUTED_VALUE"""),1.0)</f>
        <v>1</v>
      </c>
      <c r="K182" s="9">
        <f>IFERROR(__xludf.DUMMYFUNCTION("""COMPUTED_VALUE"""),1.0)</f>
        <v>1</v>
      </c>
      <c r="L182" s="9">
        <f>IFERROR(__xludf.DUMMYFUNCTION("""COMPUTED_VALUE"""),0.0)</f>
        <v>0</v>
      </c>
      <c r="M182" s="9">
        <f>IFERROR(__xludf.DUMMYFUNCTION("""COMPUTED_VALUE"""),16.0)</f>
        <v>16</v>
      </c>
      <c r="N182" s="9">
        <f>IFERROR(__xludf.DUMMYFUNCTION("""COMPUTED_VALUE"""),16.0)</f>
        <v>16</v>
      </c>
      <c r="O182" s="9">
        <f>IFERROR(__xludf.DUMMYFUNCTION("""COMPUTED_VALUE"""),0.0)</f>
        <v>0</v>
      </c>
      <c r="P182" s="9">
        <f>IFERROR(__xludf.DUMMYFUNCTION("""COMPUTED_VALUE"""),3.0)</f>
        <v>3</v>
      </c>
      <c r="Q182" s="9">
        <f>IFERROR(__xludf.DUMMYFUNCTION("""COMPUTED_VALUE"""),12.0)</f>
        <v>12</v>
      </c>
      <c r="R182" s="9">
        <f>IFERROR(__xludf.DUMMYFUNCTION("""COMPUTED_VALUE"""),1.0)</f>
        <v>1</v>
      </c>
      <c r="S182" s="9">
        <f>IFERROR(__xludf.DUMMYFUNCTION("""COMPUTED_VALUE"""),13.0)</f>
        <v>13</v>
      </c>
      <c r="T182" s="9">
        <f>IFERROR(__xludf.DUMMYFUNCTION("""COMPUTED_VALUE"""),1.0)</f>
        <v>1</v>
      </c>
      <c r="U182" s="9">
        <f>IFERROR(__xludf.DUMMYFUNCTION("""COMPUTED_VALUE"""),0.0)</f>
        <v>0</v>
      </c>
      <c r="V182" s="9">
        <f>IFERROR(__xludf.DUMMYFUNCTION("""COMPUTED_VALUE"""),13.0)</f>
        <v>13</v>
      </c>
      <c r="W182" s="9">
        <f>IFERROR(__xludf.DUMMYFUNCTION("""COMPUTED_VALUE"""),0.0)</f>
        <v>0</v>
      </c>
      <c r="X182" s="9">
        <f>IFERROR(__xludf.DUMMYFUNCTION("""COMPUTED_VALUE"""),13.0)</f>
        <v>13</v>
      </c>
      <c r="Y182" s="9">
        <f>IFERROR(__xludf.DUMMYFUNCTION("""COMPUTED_VALUE"""),14.0)</f>
        <v>14</v>
      </c>
      <c r="Z182" s="9">
        <f>IFERROR(__xludf.DUMMYFUNCTION("""COMPUTED_VALUE"""),1.0)</f>
        <v>1</v>
      </c>
      <c r="AA182" s="9">
        <f>IFERROR(__xludf.DUMMYFUNCTION("""COMPUTED_VALUE"""),0.0)</f>
        <v>0</v>
      </c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  <c r="TB182" s="9"/>
      <c r="TC182" s="9"/>
      <c r="TD182" s="9"/>
      <c r="TE182" s="9"/>
      <c r="TF182" s="9"/>
      <c r="TG182" s="9"/>
      <c r="TH182" s="9"/>
      <c r="TI182" s="9"/>
      <c r="TJ182" s="9"/>
      <c r="TK182" s="9"/>
      <c r="TL182" s="9"/>
      <c r="TM182" s="9"/>
      <c r="TN182" s="9"/>
      <c r="TO182" s="9"/>
      <c r="TP182" s="9"/>
      <c r="TQ182" s="9"/>
      <c r="TR182" s="9"/>
      <c r="TS182" s="9"/>
      <c r="TT182" s="9"/>
      <c r="TU182" s="9"/>
      <c r="TV182" s="9"/>
      <c r="TW182" s="9"/>
      <c r="TX182" s="9"/>
      <c r="TY182" s="9"/>
      <c r="TZ182" s="9"/>
      <c r="UA182" s="9"/>
      <c r="UB182" s="9"/>
      <c r="UC182" s="9"/>
      <c r="UD182" s="9"/>
      <c r="UE182" s="9"/>
      <c r="UF182" s="9"/>
      <c r="UG182" s="9"/>
      <c r="UH182" s="9"/>
      <c r="UI182" s="9"/>
      <c r="UJ182" s="9"/>
    </row>
    <row r="183">
      <c r="A183" s="8">
        <f>IFERROR(__xludf.DUMMYFUNCTION("""COMPUTED_VALUE"""),45301.0)</f>
        <v>45301</v>
      </c>
      <c r="B183" s="9">
        <f>IFERROR(__xludf.DUMMYFUNCTION("""COMPUTED_VALUE"""),29.0)</f>
        <v>29</v>
      </c>
      <c r="C183" s="9">
        <f>IFERROR(__xludf.DUMMYFUNCTION("""COMPUTED_VALUE"""),101.0)</f>
        <v>101</v>
      </c>
      <c r="D183" s="9">
        <f>IFERROR(__xludf.DUMMYFUNCTION("""COMPUTED_VALUE"""),3.0)</f>
        <v>3</v>
      </c>
      <c r="E183" s="9">
        <f>IFERROR(__xludf.DUMMYFUNCTION("""COMPUTED_VALUE"""),1552.0)</f>
        <v>1552</v>
      </c>
      <c r="F183" s="9">
        <f>IFERROR(__xludf.DUMMYFUNCTION("""COMPUTED_VALUE"""),54.0)</f>
        <v>54</v>
      </c>
      <c r="G183" s="9">
        <f>IFERROR(__xludf.DUMMYFUNCTION("""COMPUTED_VALUE"""),0.0)</f>
        <v>0</v>
      </c>
      <c r="H183" s="9"/>
      <c r="I183" s="9">
        <f>IFERROR(__xludf.DUMMYFUNCTION("""COMPUTED_VALUE"""),16.0)</f>
        <v>16</v>
      </c>
      <c r="J183" s="9">
        <f>IFERROR(__xludf.DUMMYFUNCTION("""COMPUTED_VALUE"""),3.0)</f>
        <v>3</v>
      </c>
      <c r="K183" s="9">
        <f>IFERROR(__xludf.DUMMYFUNCTION("""COMPUTED_VALUE"""),1.0)</f>
        <v>1</v>
      </c>
      <c r="L183" s="9">
        <f>IFERROR(__xludf.DUMMYFUNCTION("""COMPUTED_VALUE"""),1.0)</f>
        <v>1</v>
      </c>
      <c r="M183" s="9">
        <f>IFERROR(__xludf.DUMMYFUNCTION("""COMPUTED_VALUE"""),21.0)</f>
        <v>21</v>
      </c>
      <c r="N183" s="9">
        <f>IFERROR(__xludf.DUMMYFUNCTION("""COMPUTED_VALUE"""),22.0)</f>
        <v>22</v>
      </c>
      <c r="O183" s="9">
        <f>IFERROR(__xludf.DUMMYFUNCTION("""COMPUTED_VALUE"""),1.0)</f>
        <v>1</v>
      </c>
      <c r="P183" s="9">
        <f>IFERROR(__xludf.DUMMYFUNCTION("""COMPUTED_VALUE"""),6.0)</f>
        <v>6</v>
      </c>
      <c r="Q183" s="9">
        <f>IFERROR(__xludf.DUMMYFUNCTION("""COMPUTED_VALUE"""),14.0)</f>
        <v>14</v>
      </c>
      <c r="R183" s="9">
        <f>IFERROR(__xludf.DUMMYFUNCTION("""COMPUTED_VALUE"""),3.0)</f>
        <v>3</v>
      </c>
      <c r="S183" s="9">
        <f>IFERROR(__xludf.DUMMYFUNCTION("""COMPUTED_VALUE"""),11.0)</f>
        <v>11</v>
      </c>
      <c r="T183" s="9">
        <f>IFERROR(__xludf.DUMMYFUNCTION("""COMPUTED_VALUE"""),0.0)</f>
        <v>0</v>
      </c>
      <c r="U183" s="9">
        <f>IFERROR(__xludf.DUMMYFUNCTION("""COMPUTED_VALUE"""),0.0)</f>
        <v>0</v>
      </c>
      <c r="V183" s="9">
        <f>IFERROR(__xludf.DUMMYFUNCTION("""COMPUTED_VALUE"""),17.0)</f>
        <v>17</v>
      </c>
      <c r="W183" s="9">
        <f>IFERROR(__xludf.DUMMYFUNCTION("""COMPUTED_VALUE"""),0.0)</f>
        <v>0</v>
      </c>
      <c r="X183" s="9">
        <f>IFERROR(__xludf.DUMMYFUNCTION("""COMPUTED_VALUE"""),9.0)</f>
        <v>9</v>
      </c>
      <c r="Y183" s="9">
        <f>IFERROR(__xludf.DUMMYFUNCTION("""COMPUTED_VALUE"""),19.0)</f>
        <v>19</v>
      </c>
      <c r="Z183" s="9">
        <f>IFERROR(__xludf.DUMMYFUNCTION("""COMPUTED_VALUE"""),0.0)</f>
        <v>0</v>
      </c>
      <c r="AA183" s="9">
        <f>IFERROR(__xludf.DUMMYFUNCTION("""COMPUTED_VALUE"""),0.0)</f>
        <v>0</v>
      </c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</row>
    <row r="184">
      <c r="A184" s="8">
        <f>IFERROR(__xludf.DUMMYFUNCTION("""COMPUTED_VALUE"""),45302.0)</f>
        <v>45302</v>
      </c>
      <c r="B184" s="9">
        <f>IFERROR(__xludf.DUMMYFUNCTION("""COMPUTED_VALUE"""),26.0)</f>
        <v>26</v>
      </c>
      <c r="C184" s="9">
        <f>IFERROR(__xludf.DUMMYFUNCTION("""COMPUTED_VALUE"""),97.0)</f>
        <v>97</v>
      </c>
      <c r="D184" s="9">
        <f>IFERROR(__xludf.DUMMYFUNCTION("""COMPUTED_VALUE"""),4.0)</f>
        <v>4</v>
      </c>
      <c r="E184" s="9">
        <f>IFERROR(__xludf.DUMMYFUNCTION("""COMPUTED_VALUE"""),1670.0)</f>
        <v>1670</v>
      </c>
      <c r="F184" s="9">
        <f>IFERROR(__xludf.DUMMYFUNCTION("""COMPUTED_VALUE"""),64.0)</f>
        <v>64</v>
      </c>
      <c r="G184" s="9">
        <f>IFERROR(__xludf.DUMMYFUNCTION("""COMPUTED_VALUE"""),0.0)</f>
        <v>0</v>
      </c>
      <c r="H184" s="9"/>
      <c r="I184" s="9">
        <f>IFERROR(__xludf.DUMMYFUNCTION("""COMPUTED_VALUE"""),20.0)</f>
        <v>20</v>
      </c>
      <c r="J184" s="9">
        <f>IFERROR(__xludf.DUMMYFUNCTION("""COMPUTED_VALUE"""),3.0)</f>
        <v>3</v>
      </c>
      <c r="K184" s="9">
        <f>IFERROR(__xludf.DUMMYFUNCTION("""COMPUTED_VALUE"""),0.0)</f>
        <v>0</v>
      </c>
      <c r="L184" s="9">
        <f>IFERROR(__xludf.DUMMYFUNCTION("""COMPUTED_VALUE"""),0.0)</f>
        <v>0</v>
      </c>
      <c r="M184" s="9">
        <f>IFERROR(__xludf.DUMMYFUNCTION("""COMPUTED_VALUE"""),23.0)</f>
        <v>23</v>
      </c>
      <c r="N184" s="9">
        <f>IFERROR(__xludf.DUMMYFUNCTION("""COMPUTED_VALUE"""),18.0)</f>
        <v>18</v>
      </c>
      <c r="O184" s="9">
        <f>IFERROR(__xludf.DUMMYFUNCTION("""COMPUTED_VALUE"""),0.0)</f>
        <v>0</v>
      </c>
      <c r="P184" s="9">
        <f>IFERROR(__xludf.DUMMYFUNCTION("""COMPUTED_VALUE"""),8.0)</f>
        <v>8</v>
      </c>
      <c r="Q184" s="9">
        <f>IFERROR(__xludf.DUMMYFUNCTION("""COMPUTED_VALUE"""),11.0)</f>
        <v>11</v>
      </c>
      <c r="R184" s="9">
        <f>IFERROR(__xludf.DUMMYFUNCTION("""COMPUTED_VALUE"""),6.0)</f>
        <v>6</v>
      </c>
      <c r="S184" s="9">
        <f>IFERROR(__xludf.DUMMYFUNCTION("""COMPUTED_VALUE"""),5.0)</f>
        <v>5</v>
      </c>
      <c r="T184" s="9">
        <f>IFERROR(__xludf.DUMMYFUNCTION("""COMPUTED_VALUE"""),0.0)</f>
        <v>0</v>
      </c>
      <c r="U184" s="9">
        <f>IFERROR(__xludf.DUMMYFUNCTION("""COMPUTED_VALUE"""),0.0)</f>
        <v>0</v>
      </c>
      <c r="V184" s="9">
        <f>IFERROR(__xludf.DUMMYFUNCTION("""COMPUTED_VALUE"""),17.0)</f>
        <v>17</v>
      </c>
      <c r="W184" s="9">
        <f>IFERROR(__xludf.DUMMYFUNCTION("""COMPUTED_VALUE"""),0.0)</f>
        <v>0</v>
      </c>
      <c r="X184" s="9">
        <f>IFERROR(__xludf.DUMMYFUNCTION("""COMPUTED_VALUE"""),14.0)</f>
        <v>14</v>
      </c>
      <c r="Y184" s="9">
        <f>IFERROR(__xludf.DUMMYFUNCTION("""COMPUTED_VALUE"""),19.0)</f>
        <v>19</v>
      </c>
      <c r="Z184" s="9">
        <f>IFERROR(__xludf.DUMMYFUNCTION("""COMPUTED_VALUE"""),0.0)</f>
        <v>0</v>
      </c>
      <c r="AA184" s="9">
        <f>IFERROR(__xludf.DUMMYFUNCTION("""COMPUTED_VALUE"""),0.0)</f>
        <v>0</v>
      </c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</row>
    <row r="185">
      <c r="A185" s="8">
        <f>IFERROR(__xludf.DUMMYFUNCTION("""COMPUTED_VALUE"""),45303.0)</f>
        <v>45303</v>
      </c>
      <c r="B185" s="9">
        <f>IFERROR(__xludf.DUMMYFUNCTION("""COMPUTED_VALUE"""),24.0)</f>
        <v>24</v>
      </c>
      <c r="C185" s="9">
        <f>IFERROR(__xludf.DUMMYFUNCTION("""COMPUTED_VALUE"""),97.0)</f>
        <v>97</v>
      </c>
      <c r="D185" s="9">
        <f>IFERROR(__xludf.DUMMYFUNCTION("""COMPUTED_VALUE"""),4.0)</f>
        <v>4</v>
      </c>
      <c r="E185" s="9">
        <f>IFERROR(__xludf.DUMMYFUNCTION("""COMPUTED_VALUE"""),1799.0)</f>
        <v>1799</v>
      </c>
      <c r="F185" s="9">
        <f>IFERROR(__xludf.DUMMYFUNCTION("""COMPUTED_VALUE"""),75.0)</f>
        <v>75</v>
      </c>
      <c r="G185" s="9">
        <f>IFERROR(__xludf.DUMMYFUNCTION("""COMPUTED_VALUE"""),0.0)</f>
        <v>0</v>
      </c>
      <c r="H185" s="9"/>
      <c r="I185" s="9">
        <f>IFERROR(__xludf.DUMMYFUNCTION("""COMPUTED_VALUE"""),22.0)</f>
        <v>22</v>
      </c>
      <c r="J185" s="9">
        <f>IFERROR(__xludf.DUMMYFUNCTION("""COMPUTED_VALUE"""),1.0)</f>
        <v>1</v>
      </c>
      <c r="K185" s="9">
        <f>IFERROR(__xludf.DUMMYFUNCTION("""COMPUTED_VALUE"""),0.0)</f>
        <v>0</v>
      </c>
      <c r="L185" s="9">
        <f>IFERROR(__xludf.DUMMYFUNCTION("""COMPUTED_VALUE"""),0.0)</f>
        <v>0</v>
      </c>
      <c r="M185" s="9">
        <f>IFERROR(__xludf.DUMMYFUNCTION("""COMPUTED_VALUE"""),23.0)</f>
        <v>23</v>
      </c>
      <c r="N185" s="9">
        <f>IFERROR(__xludf.DUMMYFUNCTION("""COMPUTED_VALUE"""),18.0)</f>
        <v>18</v>
      </c>
      <c r="O185" s="9">
        <f>IFERROR(__xludf.DUMMYFUNCTION("""COMPUTED_VALUE"""),1.0)</f>
        <v>1</v>
      </c>
      <c r="P185" s="9">
        <f>IFERROR(__xludf.DUMMYFUNCTION("""COMPUTED_VALUE"""),5.0)</f>
        <v>5</v>
      </c>
      <c r="Q185" s="9">
        <f>IFERROR(__xludf.DUMMYFUNCTION("""COMPUTED_VALUE"""),10.0)</f>
        <v>10</v>
      </c>
      <c r="R185" s="9">
        <f>IFERROR(__xludf.DUMMYFUNCTION("""COMPUTED_VALUE"""),4.0)</f>
        <v>4</v>
      </c>
      <c r="S185" s="9">
        <f>IFERROR(__xludf.DUMMYFUNCTION("""COMPUTED_VALUE"""),12.0)</f>
        <v>12</v>
      </c>
      <c r="T185" s="9">
        <f>IFERROR(__xludf.DUMMYFUNCTION("""COMPUTED_VALUE"""),3.0)</f>
        <v>3</v>
      </c>
      <c r="U185" s="9">
        <f>IFERROR(__xludf.DUMMYFUNCTION("""COMPUTED_VALUE"""),0.0)</f>
        <v>0</v>
      </c>
      <c r="V185" s="9">
        <f>IFERROR(__xludf.DUMMYFUNCTION("""COMPUTED_VALUE"""),14.0)</f>
        <v>14</v>
      </c>
      <c r="W185" s="9">
        <f>IFERROR(__xludf.DUMMYFUNCTION("""COMPUTED_VALUE"""),0.0)</f>
        <v>0</v>
      </c>
      <c r="X185" s="9">
        <f>IFERROR(__xludf.DUMMYFUNCTION("""COMPUTED_VALUE"""),14.0)</f>
        <v>14</v>
      </c>
      <c r="Y185" s="9">
        <f>IFERROR(__xludf.DUMMYFUNCTION("""COMPUTED_VALUE"""),18.0)</f>
        <v>18</v>
      </c>
      <c r="Z185" s="9">
        <f>IFERROR(__xludf.DUMMYFUNCTION("""COMPUTED_VALUE"""),3.0)</f>
        <v>3</v>
      </c>
      <c r="AA185" s="9">
        <f>IFERROR(__xludf.DUMMYFUNCTION("""COMPUTED_VALUE"""),0.0)</f>
        <v>0</v>
      </c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</row>
    <row r="186">
      <c r="A186" s="8">
        <f>IFERROR(__xludf.DUMMYFUNCTION("""COMPUTED_VALUE"""),45304.0)</f>
        <v>45304</v>
      </c>
      <c r="B186" s="9">
        <f>IFERROR(__xludf.DUMMYFUNCTION("""COMPUTED_VALUE"""),13.0)</f>
        <v>13</v>
      </c>
      <c r="C186" s="9">
        <f>IFERROR(__xludf.DUMMYFUNCTION("""COMPUTED_VALUE"""),49.0)</f>
        <v>49</v>
      </c>
      <c r="D186" s="9">
        <f>IFERROR(__xludf.DUMMYFUNCTION("""COMPUTED_VALUE"""),4.0)</f>
        <v>4</v>
      </c>
      <c r="E186" s="9">
        <f>IFERROR(__xludf.DUMMYFUNCTION("""COMPUTED_VALUE"""),800.0)</f>
        <v>800</v>
      </c>
      <c r="F186" s="9">
        <f>IFERROR(__xludf.DUMMYFUNCTION("""COMPUTED_VALUE"""),62.0)</f>
        <v>62</v>
      </c>
      <c r="G186" s="9">
        <f>IFERROR(__xludf.DUMMYFUNCTION("""COMPUTED_VALUE"""),0.0)</f>
        <v>0</v>
      </c>
      <c r="H186" s="9"/>
      <c r="I186" s="9">
        <f>IFERROR(__xludf.DUMMYFUNCTION("""COMPUTED_VALUE"""),9.0)</f>
        <v>9</v>
      </c>
      <c r="J186" s="9">
        <f>IFERROR(__xludf.DUMMYFUNCTION("""COMPUTED_VALUE"""),2.0)</f>
        <v>2</v>
      </c>
      <c r="K186" s="9">
        <f>IFERROR(__xludf.DUMMYFUNCTION("""COMPUTED_VALUE"""),0.0)</f>
        <v>0</v>
      </c>
      <c r="L186" s="9">
        <f>IFERROR(__xludf.DUMMYFUNCTION("""COMPUTED_VALUE"""),0.0)</f>
        <v>0</v>
      </c>
      <c r="M186" s="9">
        <f>IFERROR(__xludf.DUMMYFUNCTION("""COMPUTED_VALUE"""),11.0)</f>
        <v>11</v>
      </c>
      <c r="N186" s="9">
        <f>IFERROR(__xludf.DUMMYFUNCTION("""COMPUTED_VALUE"""),6.0)</f>
        <v>6</v>
      </c>
      <c r="O186" s="9">
        <f>IFERROR(__xludf.DUMMYFUNCTION("""COMPUTED_VALUE"""),0.0)</f>
        <v>0</v>
      </c>
      <c r="P186" s="9">
        <f>IFERROR(__xludf.DUMMYFUNCTION("""COMPUTED_VALUE"""),7.0)</f>
        <v>7</v>
      </c>
      <c r="Q186" s="9">
        <f>IFERROR(__xludf.DUMMYFUNCTION("""COMPUTED_VALUE"""),1.0)</f>
        <v>1</v>
      </c>
      <c r="R186" s="9">
        <f>IFERROR(__xludf.DUMMYFUNCTION("""COMPUTED_VALUE"""),5.0)</f>
        <v>5</v>
      </c>
      <c r="S186" s="9">
        <f>IFERROR(__xludf.DUMMYFUNCTION("""COMPUTED_VALUE"""),8.0)</f>
        <v>8</v>
      </c>
      <c r="T186" s="9">
        <f>IFERROR(__xludf.DUMMYFUNCTION("""COMPUTED_VALUE"""),0.0)</f>
        <v>0</v>
      </c>
      <c r="U186" s="9">
        <f>IFERROR(__xludf.DUMMYFUNCTION("""COMPUTED_VALUE"""),0.0)</f>
        <v>0</v>
      </c>
      <c r="V186" s="9">
        <f>IFERROR(__xludf.DUMMYFUNCTION("""COMPUTED_VALUE"""),6.0)</f>
        <v>6</v>
      </c>
      <c r="W186" s="9">
        <f>IFERROR(__xludf.DUMMYFUNCTION("""COMPUTED_VALUE"""),0.0)</f>
        <v>0</v>
      </c>
      <c r="X186" s="9">
        <f>IFERROR(__xludf.DUMMYFUNCTION("""COMPUTED_VALUE"""),7.0)</f>
        <v>7</v>
      </c>
      <c r="Y186" s="9">
        <f>IFERROR(__xludf.DUMMYFUNCTION("""COMPUTED_VALUE"""),7.0)</f>
        <v>7</v>
      </c>
      <c r="Z186" s="9">
        <f>IFERROR(__xludf.DUMMYFUNCTION("""COMPUTED_VALUE"""),0.0)</f>
        <v>0</v>
      </c>
      <c r="AA186" s="9">
        <f>IFERROR(__xludf.DUMMYFUNCTION("""COMPUTED_VALUE"""),0.0)</f>
        <v>0</v>
      </c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  <c r="TB186" s="9"/>
      <c r="TC186" s="9"/>
      <c r="TD186" s="9"/>
      <c r="TE186" s="9"/>
      <c r="TF186" s="9"/>
      <c r="TG186" s="9"/>
      <c r="TH186" s="9"/>
      <c r="TI186" s="9"/>
      <c r="TJ186" s="9"/>
      <c r="TK186" s="9"/>
      <c r="TL186" s="9"/>
      <c r="TM186" s="9"/>
      <c r="TN186" s="9"/>
      <c r="TO186" s="9"/>
      <c r="TP186" s="9"/>
      <c r="TQ186" s="9"/>
      <c r="TR186" s="9"/>
      <c r="TS186" s="9"/>
      <c r="TT186" s="9"/>
      <c r="TU186" s="9"/>
      <c r="TV186" s="9"/>
      <c r="TW186" s="9"/>
      <c r="TX186" s="9"/>
      <c r="TY186" s="9"/>
      <c r="TZ186" s="9"/>
      <c r="UA186" s="9"/>
      <c r="UB186" s="9"/>
      <c r="UC186" s="9"/>
      <c r="UD186" s="9"/>
      <c r="UE186" s="9"/>
      <c r="UF186" s="9"/>
      <c r="UG186" s="9"/>
      <c r="UH186" s="9"/>
      <c r="UI186" s="9"/>
      <c r="UJ186" s="9"/>
    </row>
    <row r="187">
      <c r="A187" s="8">
        <f>IFERROR(__xludf.DUMMYFUNCTION("""COMPUTED_VALUE"""),45305.0)</f>
        <v>45305</v>
      </c>
      <c r="B187" s="9">
        <f>IFERROR(__xludf.DUMMYFUNCTION("""COMPUTED_VALUE"""),0.0)</f>
        <v>0</v>
      </c>
      <c r="C187" s="9">
        <f>IFERROR(__xludf.DUMMYFUNCTION("""COMPUTED_VALUE"""),0.0)</f>
        <v>0</v>
      </c>
      <c r="D187" s="9">
        <f>IFERROR(__xludf.DUMMYFUNCTION("""COMPUTED_VALUE"""),0.0)</f>
        <v>0</v>
      </c>
      <c r="E187" s="9">
        <f>IFERROR(__xludf.DUMMYFUNCTION("""COMPUTED_VALUE"""),0.0)</f>
        <v>0</v>
      </c>
      <c r="F187" s="9">
        <f>IFERROR(__xludf.DUMMYFUNCTION("""COMPUTED_VALUE"""),0.0)</f>
        <v>0</v>
      </c>
      <c r="G187" s="9">
        <f>IFERROR(__xludf.DUMMYFUNCTION("""COMPUTED_VALUE"""),0.0)</f>
        <v>0</v>
      </c>
      <c r="H187" s="9"/>
      <c r="I187" s="9">
        <f>IFERROR(__xludf.DUMMYFUNCTION("""COMPUTED_VALUE"""),0.0)</f>
        <v>0</v>
      </c>
      <c r="J187" s="9">
        <f>IFERROR(__xludf.DUMMYFUNCTION("""COMPUTED_VALUE"""),0.0)</f>
        <v>0</v>
      </c>
      <c r="K187" s="9">
        <f>IFERROR(__xludf.DUMMYFUNCTION("""COMPUTED_VALUE"""),0.0)</f>
        <v>0</v>
      </c>
      <c r="L187" s="9">
        <f>IFERROR(__xludf.DUMMYFUNCTION("""COMPUTED_VALUE"""),0.0)</f>
        <v>0</v>
      </c>
      <c r="M187" s="9">
        <f>IFERROR(__xludf.DUMMYFUNCTION("""COMPUTED_VALUE"""),0.0)</f>
        <v>0</v>
      </c>
      <c r="N187" s="9">
        <f>IFERROR(__xludf.DUMMYFUNCTION("""COMPUTED_VALUE"""),0.0)</f>
        <v>0</v>
      </c>
      <c r="O187" s="9">
        <f>IFERROR(__xludf.DUMMYFUNCTION("""COMPUTED_VALUE"""),0.0)</f>
        <v>0</v>
      </c>
      <c r="P187" s="9">
        <f>IFERROR(__xludf.DUMMYFUNCTION("""COMPUTED_VALUE"""),0.0)</f>
        <v>0</v>
      </c>
      <c r="Q187" s="9">
        <f>IFERROR(__xludf.DUMMYFUNCTION("""COMPUTED_VALUE"""),0.0)</f>
        <v>0</v>
      </c>
      <c r="R187" s="9">
        <f>IFERROR(__xludf.DUMMYFUNCTION("""COMPUTED_VALUE"""),0.0)</f>
        <v>0</v>
      </c>
      <c r="S187" s="9">
        <f>IFERROR(__xludf.DUMMYFUNCTION("""COMPUTED_VALUE"""),0.0)</f>
        <v>0</v>
      </c>
      <c r="T187" s="9">
        <f>IFERROR(__xludf.DUMMYFUNCTION("""COMPUTED_VALUE"""),0.0)</f>
        <v>0</v>
      </c>
      <c r="U187" s="9">
        <f>IFERROR(__xludf.DUMMYFUNCTION("""COMPUTED_VALUE"""),0.0)</f>
        <v>0</v>
      </c>
      <c r="V187" s="9">
        <f>IFERROR(__xludf.DUMMYFUNCTION("""COMPUTED_VALUE"""),0.0)</f>
        <v>0</v>
      </c>
      <c r="W187" s="9">
        <f>IFERROR(__xludf.DUMMYFUNCTION("""COMPUTED_VALUE"""),0.0)</f>
        <v>0</v>
      </c>
      <c r="X187" s="9">
        <f>IFERROR(__xludf.DUMMYFUNCTION("""COMPUTED_VALUE"""),0.0)</f>
        <v>0</v>
      </c>
      <c r="Y187" s="9">
        <f>IFERROR(__xludf.DUMMYFUNCTION("""COMPUTED_VALUE"""),0.0)</f>
        <v>0</v>
      </c>
      <c r="Z187" s="9">
        <f>IFERROR(__xludf.DUMMYFUNCTION("""COMPUTED_VALUE"""),0.0)</f>
        <v>0</v>
      </c>
      <c r="AA187" s="9">
        <f>IFERROR(__xludf.DUMMYFUNCTION("""COMPUTED_VALUE"""),0.0)</f>
        <v>0</v>
      </c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</row>
    <row r="188">
      <c r="A188" s="8">
        <f>IFERROR(__xludf.DUMMYFUNCTION("""COMPUTED_VALUE"""),45306.0)</f>
        <v>45306</v>
      </c>
      <c r="B188" s="9">
        <f>IFERROR(__xludf.DUMMYFUNCTION("""COMPUTED_VALUE"""),37.0)</f>
        <v>37</v>
      </c>
      <c r="C188" s="9">
        <f>IFERROR(__xludf.DUMMYFUNCTION("""COMPUTED_VALUE"""),143.0)</f>
        <v>143</v>
      </c>
      <c r="D188" s="9">
        <f>IFERROR(__xludf.DUMMYFUNCTION("""COMPUTED_VALUE"""),4.0)</f>
        <v>4</v>
      </c>
      <c r="E188" s="9">
        <f>IFERROR(__xludf.DUMMYFUNCTION("""COMPUTED_VALUE"""),2691.0)</f>
        <v>2691</v>
      </c>
      <c r="F188" s="9">
        <f>IFERROR(__xludf.DUMMYFUNCTION("""COMPUTED_VALUE"""),73.0)</f>
        <v>73</v>
      </c>
      <c r="G188" s="9">
        <f>IFERROR(__xludf.DUMMYFUNCTION("""COMPUTED_VALUE"""),0.0)</f>
        <v>0</v>
      </c>
      <c r="H188" s="9"/>
      <c r="I188" s="9">
        <f>IFERROR(__xludf.DUMMYFUNCTION("""COMPUTED_VALUE"""),22.0)</f>
        <v>22</v>
      </c>
      <c r="J188" s="9">
        <f>IFERROR(__xludf.DUMMYFUNCTION("""COMPUTED_VALUE"""),3.0)</f>
        <v>3</v>
      </c>
      <c r="K188" s="9">
        <f>IFERROR(__xludf.DUMMYFUNCTION("""COMPUTED_VALUE"""),0.0)</f>
        <v>0</v>
      </c>
      <c r="L188" s="9">
        <f>IFERROR(__xludf.DUMMYFUNCTION("""COMPUTED_VALUE"""),1.0)</f>
        <v>1</v>
      </c>
      <c r="M188" s="9">
        <f>IFERROR(__xludf.DUMMYFUNCTION("""COMPUTED_VALUE"""),27.0)</f>
        <v>27</v>
      </c>
      <c r="N188" s="9">
        <f>IFERROR(__xludf.DUMMYFUNCTION("""COMPUTED_VALUE"""),30.0)</f>
        <v>30</v>
      </c>
      <c r="O188" s="9">
        <f>IFERROR(__xludf.DUMMYFUNCTION("""COMPUTED_VALUE"""),0.0)</f>
        <v>0</v>
      </c>
      <c r="P188" s="9">
        <f>IFERROR(__xludf.DUMMYFUNCTION("""COMPUTED_VALUE"""),7.0)</f>
        <v>7</v>
      </c>
      <c r="Q188" s="9">
        <f>IFERROR(__xludf.DUMMYFUNCTION("""COMPUTED_VALUE"""),14.0)</f>
        <v>14</v>
      </c>
      <c r="R188" s="9">
        <f>IFERROR(__xludf.DUMMYFUNCTION("""COMPUTED_VALUE"""),5.0)</f>
        <v>5</v>
      </c>
      <c r="S188" s="9">
        <f>IFERROR(__xludf.DUMMYFUNCTION("""COMPUTED_VALUE"""),22.0)</f>
        <v>22</v>
      </c>
      <c r="T188" s="9">
        <f>IFERROR(__xludf.DUMMYFUNCTION("""COMPUTED_VALUE"""),1.0)</f>
        <v>1</v>
      </c>
      <c r="U188" s="9">
        <f>IFERROR(__xludf.DUMMYFUNCTION("""COMPUTED_VALUE"""),0.0)</f>
        <v>0</v>
      </c>
      <c r="V188" s="9">
        <f>IFERROR(__xludf.DUMMYFUNCTION("""COMPUTED_VALUE"""),19.0)</f>
        <v>19</v>
      </c>
      <c r="W188" s="9">
        <f>IFERROR(__xludf.DUMMYFUNCTION("""COMPUTED_VALUE"""),0.0)</f>
        <v>0</v>
      </c>
      <c r="X188" s="9">
        <f>IFERROR(__xludf.DUMMYFUNCTION("""COMPUTED_VALUE"""),20.0)</f>
        <v>20</v>
      </c>
      <c r="Y188" s="9">
        <f>IFERROR(__xludf.DUMMYFUNCTION("""COMPUTED_VALUE"""),23.0)</f>
        <v>23</v>
      </c>
      <c r="Z188" s="9">
        <f>IFERROR(__xludf.DUMMYFUNCTION("""COMPUTED_VALUE"""),1.0)</f>
        <v>1</v>
      </c>
      <c r="AA188" s="9">
        <f>IFERROR(__xludf.DUMMYFUNCTION("""COMPUTED_VALUE"""),0.0)</f>
        <v>0</v>
      </c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  <c r="TB188" s="9"/>
      <c r="TC188" s="9"/>
      <c r="TD188" s="9"/>
      <c r="TE188" s="9"/>
      <c r="TF188" s="9"/>
      <c r="TG188" s="9"/>
      <c r="TH188" s="9"/>
      <c r="TI188" s="9"/>
      <c r="TJ188" s="9"/>
      <c r="TK188" s="9"/>
      <c r="TL188" s="9"/>
      <c r="TM188" s="9"/>
      <c r="TN188" s="9"/>
      <c r="TO188" s="9"/>
      <c r="TP188" s="9"/>
      <c r="TQ188" s="9"/>
      <c r="TR188" s="9"/>
      <c r="TS188" s="9"/>
      <c r="TT188" s="9"/>
      <c r="TU188" s="9"/>
      <c r="TV188" s="9"/>
      <c r="TW188" s="9"/>
      <c r="TX188" s="9"/>
      <c r="TY188" s="9"/>
      <c r="TZ188" s="9"/>
      <c r="UA188" s="9"/>
      <c r="UB188" s="9"/>
      <c r="UC188" s="9"/>
      <c r="UD188" s="9"/>
      <c r="UE188" s="9"/>
      <c r="UF188" s="9"/>
      <c r="UG188" s="9"/>
      <c r="UH188" s="9"/>
      <c r="UI188" s="9"/>
      <c r="UJ188" s="9"/>
    </row>
    <row r="189">
      <c r="A189" s="8">
        <f>IFERROR(__xludf.DUMMYFUNCTION("""COMPUTED_VALUE"""),45307.0)</f>
        <v>45307</v>
      </c>
      <c r="B189" s="9">
        <f>IFERROR(__xludf.DUMMYFUNCTION("""COMPUTED_VALUE"""),24.0)</f>
        <v>24</v>
      </c>
      <c r="C189" s="9">
        <f>IFERROR(__xludf.DUMMYFUNCTION("""COMPUTED_VALUE"""),95.0)</f>
        <v>95</v>
      </c>
      <c r="D189" s="9">
        <f>IFERROR(__xludf.DUMMYFUNCTION("""COMPUTED_VALUE"""),4.0)</f>
        <v>4</v>
      </c>
      <c r="E189" s="9">
        <f>IFERROR(__xludf.DUMMYFUNCTION("""COMPUTED_VALUE"""),1435.0)</f>
        <v>1435</v>
      </c>
      <c r="F189" s="9">
        <f>IFERROR(__xludf.DUMMYFUNCTION("""COMPUTED_VALUE"""),60.0)</f>
        <v>60</v>
      </c>
      <c r="G189" s="9">
        <f>IFERROR(__xludf.DUMMYFUNCTION("""COMPUTED_VALUE"""),0.0)</f>
        <v>0</v>
      </c>
      <c r="H189" s="9"/>
      <c r="I189" s="9">
        <f>IFERROR(__xludf.DUMMYFUNCTION("""COMPUTED_VALUE"""),16.0)</f>
        <v>16</v>
      </c>
      <c r="J189" s="9">
        <f>IFERROR(__xludf.DUMMYFUNCTION("""COMPUTED_VALUE"""),2.0)</f>
        <v>2</v>
      </c>
      <c r="K189" s="9">
        <f>IFERROR(__xludf.DUMMYFUNCTION("""COMPUTED_VALUE"""),0.0)</f>
        <v>0</v>
      </c>
      <c r="L189" s="9">
        <f>IFERROR(__xludf.DUMMYFUNCTION("""COMPUTED_VALUE"""),1.0)</f>
        <v>1</v>
      </c>
      <c r="M189" s="9">
        <f>IFERROR(__xludf.DUMMYFUNCTION("""COMPUTED_VALUE"""),19.0)</f>
        <v>19</v>
      </c>
      <c r="N189" s="9">
        <f>IFERROR(__xludf.DUMMYFUNCTION("""COMPUTED_VALUE"""),20.0)</f>
        <v>20</v>
      </c>
      <c r="O189" s="9">
        <f>IFERROR(__xludf.DUMMYFUNCTION("""COMPUTED_VALUE"""),0.0)</f>
        <v>0</v>
      </c>
      <c r="P189" s="9">
        <f>IFERROR(__xludf.DUMMYFUNCTION("""COMPUTED_VALUE"""),4.0)</f>
        <v>4</v>
      </c>
      <c r="Q189" s="9">
        <f>IFERROR(__xludf.DUMMYFUNCTION("""COMPUTED_VALUE"""),14.0)</f>
        <v>14</v>
      </c>
      <c r="R189" s="9">
        <f>IFERROR(__xludf.DUMMYFUNCTION("""COMPUTED_VALUE"""),2.0)</f>
        <v>2</v>
      </c>
      <c r="S189" s="9">
        <f>IFERROR(__xludf.DUMMYFUNCTION("""COMPUTED_VALUE"""),5.0)</f>
        <v>5</v>
      </c>
      <c r="T189" s="9">
        <f>IFERROR(__xludf.DUMMYFUNCTION("""COMPUTED_VALUE"""),1.0)</f>
        <v>1</v>
      </c>
      <c r="U189" s="9">
        <f>IFERROR(__xludf.DUMMYFUNCTION("""COMPUTED_VALUE"""),0.0)</f>
        <v>0</v>
      </c>
      <c r="V189" s="9">
        <f>IFERROR(__xludf.DUMMYFUNCTION("""COMPUTED_VALUE"""),16.0)</f>
        <v>16</v>
      </c>
      <c r="W189" s="9">
        <f>IFERROR(__xludf.DUMMYFUNCTION("""COMPUTED_VALUE"""),0.0)</f>
        <v>0</v>
      </c>
      <c r="X189" s="9">
        <f>IFERROR(__xludf.DUMMYFUNCTION("""COMPUTED_VALUE"""),11.0)</f>
        <v>11</v>
      </c>
      <c r="Y189" s="9">
        <f>IFERROR(__xludf.DUMMYFUNCTION("""COMPUTED_VALUE"""),21.0)</f>
        <v>21</v>
      </c>
      <c r="Z189" s="9">
        <f>IFERROR(__xludf.DUMMYFUNCTION("""COMPUTED_VALUE"""),1.0)</f>
        <v>1</v>
      </c>
      <c r="AA189" s="9">
        <f>IFERROR(__xludf.DUMMYFUNCTION("""COMPUTED_VALUE"""),0.0)</f>
        <v>0</v>
      </c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</row>
    <row r="190">
      <c r="A190" s="8">
        <f>IFERROR(__xludf.DUMMYFUNCTION("""COMPUTED_VALUE"""),45308.0)</f>
        <v>45308</v>
      </c>
      <c r="B190" s="9">
        <f>IFERROR(__xludf.DUMMYFUNCTION("""COMPUTED_VALUE"""),35.0)</f>
        <v>35</v>
      </c>
      <c r="C190" s="9">
        <f>IFERROR(__xludf.DUMMYFUNCTION("""COMPUTED_VALUE"""),145.0)</f>
        <v>145</v>
      </c>
      <c r="D190" s="9">
        <f>IFERROR(__xludf.DUMMYFUNCTION("""COMPUTED_VALUE"""),4.0)</f>
        <v>4</v>
      </c>
      <c r="E190" s="9">
        <f>IFERROR(__xludf.DUMMYFUNCTION("""COMPUTED_VALUE"""),2553.0)</f>
        <v>2553</v>
      </c>
      <c r="F190" s="9">
        <f>IFERROR(__xludf.DUMMYFUNCTION("""COMPUTED_VALUE"""),73.0)</f>
        <v>73</v>
      </c>
      <c r="G190" s="9">
        <f>IFERROR(__xludf.DUMMYFUNCTION("""COMPUTED_VALUE"""),0.0)</f>
        <v>0</v>
      </c>
      <c r="H190" s="9"/>
      <c r="I190" s="9">
        <f>IFERROR(__xludf.DUMMYFUNCTION("""COMPUTED_VALUE"""),30.0)</f>
        <v>30</v>
      </c>
      <c r="J190" s="9">
        <f>IFERROR(__xludf.DUMMYFUNCTION("""COMPUTED_VALUE"""),1.0)</f>
        <v>1</v>
      </c>
      <c r="K190" s="9">
        <f>IFERROR(__xludf.DUMMYFUNCTION("""COMPUTED_VALUE"""),1.0)</f>
        <v>1</v>
      </c>
      <c r="L190" s="9">
        <f>IFERROR(__xludf.DUMMYFUNCTION("""COMPUTED_VALUE"""),0.0)</f>
        <v>0</v>
      </c>
      <c r="M190" s="9">
        <f>IFERROR(__xludf.DUMMYFUNCTION("""COMPUTED_VALUE"""),32.0)</f>
        <v>32</v>
      </c>
      <c r="N190" s="9">
        <f>IFERROR(__xludf.DUMMYFUNCTION("""COMPUTED_VALUE"""),28.0)</f>
        <v>28</v>
      </c>
      <c r="O190" s="9">
        <f>IFERROR(__xludf.DUMMYFUNCTION("""COMPUTED_VALUE"""),0.0)</f>
        <v>0</v>
      </c>
      <c r="P190" s="9">
        <f>IFERROR(__xludf.DUMMYFUNCTION("""COMPUTED_VALUE"""),7.0)</f>
        <v>7</v>
      </c>
      <c r="Q190" s="9">
        <f>IFERROR(__xludf.DUMMYFUNCTION("""COMPUTED_VALUE"""),14.0)</f>
        <v>14</v>
      </c>
      <c r="R190" s="9">
        <f>IFERROR(__xludf.DUMMYFUNCTION("""COMPUTED_VALUE"""),7.0)</f>
        <v>7</v>
      </c>
      <c r="S190" s="9">
        <f>IFERROR(__xludf.DUMMYFUNCTION("""COMPUTED_VALUE"""),10.0)</f>
        <v>10</v>
      </c>
      <c r="T190" s="9">
        <f>IFERROR(__xludf.DUMMYFUNCTION("""COMPUTED_VALUE"""),3.0)</f>
        <v>3</v>
      </c>
      <c r="U190" s="9">
        <f>IFERROR(__xludf.DUMMYFUNCTION("""COMPUTED_VALUE"""),0.0)</f>
        <v>0</v>
      </c>
      <c r="V190" s="9">
        <f>IFERROR(__xludf.DUMMYFUNCTION("""COMPUTED_VALUE"""),21.0)</f>
        <v>21</v>
      </c>
      <c r="W190" s="9">
        <f>IFERROR(__xludf.DUMMYFUNCTION("""COMPUTED_VALUE"""),2.0)</f>
        <v>2</v>
      </c>
      <c r="X190" s="9">
        <f>IFERROR(__xludf.DUMMYFUNCTION("""COMPUTED_VALUE"""),29.0)</f>
        <v>29</v>
      </c>
      <c r="Y190" s="9">
        <f>IFERROR(__xludf.DUMMYFUNCTION("""COMPUTED_VALUE"""),24.0)</f>
        <v>24</v>
      </c>
      <c r="Z190" s="9">
        <f>IFERROR(__xludf.DUMMYFUNCTION("""COMPUTED_VALUE"""),4.0)</f>
        <v>4</v>
      </c>
      <c r="AA190" s="9">
        <f>IFERROR(__xludf.DUMMYFUNCTION("""COMPUTED_VALUE"""),0.0)</f>
        <v>0</v>
      </c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  <c r="TB190" s="9"/>
      <c r="TC190" s="9"/>
      <c r="TD190" s="9"/>
      <c r="TE190" s="9"/>
      <c r="TF190" s="9"/>
      <c r="TG190" s="9"/>
      <c r="TH190" s="9"/>
      <c r="TI190" s="9"/>
      <c r="TJ190" s="9"/>
      <c r="TK190" s="9"/>
      <c r="TL190" s="9"/>
      <c r="TM190" s="9"/>
      <c r="TN190" s="9"/>
      <c r="TO190" s="9"/>
      <c r="TP190" s="9"/>
      <c r="TQ190" s="9"/>
      <c r="TR190" s="9"/>
      <c r="TS190" s="9"/>
      <c r="TT190" s="9"/>
      <c r="TU190" s="9"/>
      <c r="TV190" s="9"/>
      <c r="TW190" s="9"/>
      <c r="TX190" s="9"/>
      <c r="TY190" s="9"/>
      <c r="TZ190" s="9"/>
      <c r="UA190" s="9"/>
      <c r="UB190" s="9"/>
      <c r="UC190" s="9"/>
      <c r="UD190" s="9"/>
      <c r="UE190" s="9"/>
      <c r="UF190" s="9"/>
      <c r="UG190" s="9"/>
      <c r="UH190" s="9"/>
      <c r="UI190" s="9"/>
      <c r="UJ190" s="9"/>
    </row>
    <row r="191">
      <c r="A191" s="8">
        <f>IFERROR(__xludf.DUMMYFUNCTION("""COMPUTED_VALUE"""),45309.0)</f>
        <v>45309</v>
      </c>
      <c r="B191" s="9">
        <f>IFERROR(__xludf.DUMMYFUNCTION("""COMPUTED_VALUE"""),30.0)</f>
        <v>30</v>
      </c>
      <c r="C191" s="9">
        <f>IFERROR(__xludf.DUMMYFUNCTION("""COMPUTED_VALUE"""),116.0)</f>
        <v>116</v>
      </c>
      <c r="D191" s="9">
        <f>IFERROR(__xludf.DUMMYFUNCTION("""COMPUTED_VALUE"""),4.0)</f>
        <v>4</v>
      </c>
      <c r="E191" s="9">
        <f>IFERROR(__xludf.DUMMYFUNCTION("""COMPUTED_VALUE"""),2168.0)</f>
        <v>2168</v>
      </c>
      <c r="F191" s="9">
        <f>IFERROR(__xludf.DUMMYFUNCTION("""COMPUTED_VALUE"""),72.0)</f>
        <v>72</v>
      </c>
      <c r="G191" s="9">
        <f>IFERROR(__xludf.DUMMYFUNCTION("""COMPUTED_VALUE"""),0.0)</f>
        <v>0</v>
      </c>
      <c r="H191" s="9"/>
      <c r="I191" s="9">
        <f>IFERROR(__xludf.DUMMYFUNCTION("""COMPUTED_VALUE"""),25.0)</f>
        <v>25</v>
      </c>
      <c r="J191" s="9">
        <f>IFERROR(__xludf.DUMMYFUNCTION("""COMPUTED_VALUE"""),1.0)</f>
        <v>1</v>
      </c>
      <c r="K191" s="9">
        <f>IFERROR(__xludf.DUMMYFUNCTION("""COMPUTED_VALUE"""),1.0)</f>
        <v>1</v>
      </c>
      <c r="L191" s="9">
        <f>IFERROR(__xludf.DUMMYFUNCTION("""COMPUTED_VALUE"""),0.0)</f>
        <v>0</v>
      </c>
      <c r="M191" s="9">
        <f>IFERROR(__xludf.DUMMYFUNCTION("""COMPUTED_VALUE"""),27.0)</f>
        <v>27</v>
      </c>
      <c r="N191" s="9">
        <f>IFERROR(__xludf.DUMMYFUNCTION("""COMPUTED_VALUE"""),21.0)</f>
        <v>21</v>
      </c>
      <c r="O191" s="9">
        <f>IFERROR(__xludf.DUMMYFUNCTION("""COMPUTED_VALUE"""),0.0)</f>
        <v>0</v>
      </c>
      <c r="P191" s="9">
        <f>IFERROR(__xludf.DUMMYFUNCTION("""COMPUTED_VALUE"""),8.0)</f>
        <v>8</v>
      </c>
      <c r="Q191" s="9">
        <f>IFERROR(__xludf.DUMMYFUNCTION("""COMPUTED_VALUE"""),15.0)</f>
        <v>15</v>
      </c>
      <c r="R191" s="9">
        <f>IFERROR(__xludf.DUMMYFUNCTION("""COMPUTED_VALUE"""),5.0)</f>
        <v>5</v>
      </c>
      <c r="S191" s="9">
        <f>IFERROR(__xludf.DUMMYFUNCTION("""COMPUTED_VALUE"""),11.0)</f>
        <v>11</v>
      </c>
      <c r="T191" s="9">
        <f>IFERROR(__xludf.DUMMYFUNCTION("""COMPUTED_VALUE"""),0.0)</f>
        <v>0</v>
      </c>
      <c r="U191" s="9">
        <f>IFERROR(__xludf.DUMMYFUNCTION("""COMPUTED_VALUE"""),0.0)</f>
        <v>0</v>
      </c>
      <c r="V191" s="9">
        <f>IFERROR(__xludf.DUMMYFUNCTION("""COMPUTED_VALUE"""),20.0)</f>
        <v>20</v>
      </c>
      <c r="W191" s="9">
        <f>IFERROR(__xludf.DUMMYFUNCTION("""COMPUTED_VALUE"""),0.0)</f>
        <v>0</v>
      </c>
      <c r="X191" s="9">
        <f>IFERROR(__xludf.DUMMYFUNCTION("""COMPUTED_VALUE"""),15.0)</f>
        <v>15</v>
      </c>
      <c r="Y191" s="9">
        <f>IFERROR(__xludf.DUMMYFUNCTION("""COMPUTED_VALUE"""),23.0)</f>
        <v>23</v>
      </c>
      <c r="Z191" s="9">
        <f>IFERROR(__xludf.DUMMYFUNCTION("""COMPUTED_VALUE"""),0.0)</f>
        <v>0</v>
      </c>
      <c r="AA191" s="9">
        <f>IFERROR(__xludf.DUMMYFUNCTION("""COMPUTED_VALUE"""),0.0)</f>
        <v>0</v>
      </c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</row>
    <row r="192">
      <c r="A192" s="8">
        <f>IFERROR(__xludf.DUMMYFUNCTION("""COMPUTED_VALUE"""),45310.0)</f>
        <v>45310</v>
      </c>
      <c r="B192" s="9">
        <f>IFERROR(__xludf.DUMMYFUNCTION("""COMPUTED_VALUE"""),21.0)</f>
        <v>21</v>
      </c>
      <c r="C192" s="9">
        <f>IFERROR(__xludf.DUMMYFUNCTION("""COMPUTED_VALUE"""),83.0)</f>
        <v>83</v>
      </c>
      <c r="D192" s="9">
        <f>IFERROR(__xludf.DUMMYFUNCTION("""COMPUTED_VALUE"""),4.0)</f>
        <v>4</v>
      </c>
      <c r="E192" s="9">
        <f>IFERROR(__xludf.DUMMYFUNCTION("""COMPUTED_VALUE"""),1654.0)</f>
        <v>1654</v>
      </c>
      <c r="F192" s="9">
        <f>IFERROR(__xludf.DUMMYFUNCTION("""COMPUTED_VALUE"""),79.0)</f>
        <v>79</v>
      </c>
      <c r="G192" s="9">
        <f>IFERROR(__xludf.DUMMYFUNCTION("""COMPUTED_VALUE"""),0.0)</f>
        <v>0</v>
      </c>
      <c r="H192" s="9"/>
      <c r="I192" s="9">
        <f>IFERROR(__xludf.DUMMYFUNCTION("""COMPUTED_VALUE"""),21.0)</f>
        <v>21</v>
      </c>
      <c r="J192" s="9">
        <f>IFERROR(__xludf.DUMMYFUNCTION("""COMPUTED_VALUE"""),0.0)</f>
        <v>0</v>
      </c>
      <c r="K192" s="9">
        <f>IFERROR(__xludf.DUMMYFUNCTION("""COMPUTED_VALUE"""),0.0)</f>
        <v>0</v>
      </c>
      <c r="L192" s="9">
        <f>IFERROR(__xludf.DUMMYFUNCTION("""COMPUTED_VALUE"""),0.0)</f>
        <v>0</v>
      </c>
      <c r="M192" s="9">
        <f>IFERROR(__xludf.DUMMYFUNCTION("""COMPUTED_VALUE"""),21.0)</f>
        <v>21</v>
      </c>
      <c r="N192" s="9">
        <f>IFERROR(__xludf.DUMMYFUNCTION("""COMPUTED_VALUE"""),14.0)</f>
        <v>14</v>
      </c>
      <c r="O192" s="9">
        <f>IFERROR(__xludf.DUMMYFUNCTION("""COMPUTED_VALUE"""),0.0)</f>
        <v>0</v>
      </c>
      <c r="P192" s="9">
        <f>IFERROR(__xludf.DUMMYFUNCTION("""COMPUTED_VALUE"""),7.0)</f>
        <v>7</v>
      </c>
      <c r="Q192" s="9">
        <f>IFERROR(__xludf.DUMMYFUNCTION("""COMPUTED_VALUE"""),10.0)</f>
        <v>10</v>
      </c>
      <c r="R192" s="9">
        <f>IFERROR(__xludf.DUMMYFUNCTION("""COMPUTED_VALUE"""),5.0)</f>
        <v>5</v>
      </c>
      <c r="S192" s="9">
        <f>IFERROR(__xludf.DUMMYFUNCTION("""COMPUTED_VALUE"""),5.0)</f>
        <v>5</v>
      </c>
      <c r="T192" s="9">
        <f>IFERROR(__xludf.DUMMYFUNCTION("""COMPUTED_VALUE"""),1.0)</f>
        <v>1</v>
      </c>
      <c r="U192" s="9">
        <f>IFERROR(__xludf.DUMMYFUNCTION("""COMPUTED_VALUE"""),0.0)</f>
        <v>0</v>
      </c>
      <c r="V192" s="9">
        <f>IFERROR(__xludf.DUMMYFUNCTION("""COMPUTED_VALUE"""),15.0)</f>
        <v>15</v>
      </c>
      <c r="W192" s="9">
        <f>IFERROR(__xludf.DUMMYFUNCTION("""COMPUTED_VALUE"""),0.0)</f>
        <v>0</v>
      </c>
      <c r="X192" s="9">
        <f>IFERROR(__xludf.DUMMYFUNCTION("""COMPUTED_VALUE"""),14.0)</f>
        <v>14</v>
      </c>
      <c r="Y192" s="9">
        <f>IFERROR(__xludf.DUMMYFUNCTION("""COMPUTED_VALUE"""),17.0)</f>
        <v>17</v>
      </c>
      <c r="Z192" s="9">
        <f>IFERROR(__xludf.DUMMYFUNCTION("""COMPUTED_VALUE"""),1.0)</f>
        <v>1</v>
      </c>
      <c r="AA192" s="9">
        <f>IFERROR(__xludf.DUMMYFUNCTION("""COMPUTED_VALUE"""),0.0)</f>
        <v>0</v>
      </c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</row>
    <row r="193">
      <c r="A193" s="8">
        <f>IFERROR(__xludf.DUMMYFUNCTION("""COMPUTED_VALUE"""),45311.0)</f>
        <v>45311</v>
      </c>
      <c r="B193" s="9">
        <f>IFERROR(__xludf.DUMMYFUNCTION("""COMPUTED_VALUE"""),9.0)</f>
        <v>9</v>
      </c>
      <c r="C193" s="9">
        <f>IFERROR(__xludf.DUMMYFUNCTION("""COMPUTED_VALUE"""),32.0)</f>
        <v>32</v>
      </c>
      <c r="D193" s="9">
        <f>IFERROR(__xludf.DUMMYFUNCTION("""COMPUTED_VALUE"""),4.0)</f>
        <v>4</v>
      </c>
      <c r="E193" s="9">
        <f>IFERROR(__xludf.DUMMYFUNCTION("""COMPUTED_VALUE"""),603.0)</f>
        <v>603</v>
      </c>
      <c r="F193" s="9">
        <f>IFERROR(__xludf.DUMMYFUNCTION("""COMPUTED_VALUE"""),67.0)</f>
        <v>67</v>
      </c>
      <c r="G193" s="9">
        <f>IFERROR(__xludf.DUMMYFUNCTION("""COMPUTED_VALUE"""),0.0)</f>
        <v>0</v>
      </c>
      <c r="H193" s="9"/>
      <c r="I193" s="9">
        <f>IFERROR(__xludf.DUMMYFUNCTION("""COMPUTED_VALUE"""),9.0)</f>
        <v>9</v>
      </c>
      <c r="J193" s="9">
        <f>IFERROR(__xludf.DUMMYFUNCTION("""COMPUTED_VALUE"""),0.0)</f>
        <v>0</v>
      </c>
      <c r="K193" s="9">
        <f>IFERROR(__xludf.DUMMYFUNCTION("""COMPUTED_VALUE"""),0.0)</f>
        <v>0</v>
      </c>
      <c r="L193" s="9">
        <f>IFERROR(__xludf.DUMMYFUNCTION("""COMPUTED_VALUE"""),0.0)</f>
        <v>0</v>
      </c>
      <c r="M193" s="9">
        <f>IFERROR(__xludf.DUMMYFUNCTION("""COMPUTED_VALUE"""),9.0)</f>
        <v>9</v>
      </c>
      <c r="N193" s="9">
        <f>IFERROR(__xludf.DUMMYFUNCTION("""COMPUTED_VALUE"""),4.0)</f>
        <v>4</v>
      </c>
      <c r="O193" s="9">
        <f>IFERROR(__xludf.DUMMYFUNCTION("""COMPUTED_VALUE"""),0.0)</f>
        <v>0</v>
      </c>
      <c r="P193" s="9">
        <f>IFERROR(__xludf.DUMMYFUNCTION("""COMPUTED_VALUE"""),5.0)</f>
        <v>5</v>
      </c>
      <c r="Q193" s="9">
        <f>IFERROR(__xludf.DUMMYFUNCTION("""COMPUTED_VALUE"""),2.0)</f>
        <v>2</v>
      </c>
      <c r="R193" s="9">
        <f>IFERROR(__xludf.DUMMYFUNCTION("""COMPUTED_VALUE"""),5.0)</f>
        <v>5</v>
      </c>
      <c r="S193" s="9">
        <f>IFERROR(__xludf.DUMMYFUNCTION("""COMPUTED_VALUE"""),2.0)</f>
        <v>2</v>
      </c>
      <c r="T193" s="9">
        <f>IFERROR(__xludf.DUMMYFUNCTION("""COMPUTED_VALUE"""),0.0)</f>
        <v>0</v>
      </c>
      <c r="U193" s="9">
        <f>IFERROR(__xludf.DUMMYFUNCTION("""COMPUTED_VALUE"""),0.0)</f>
        <v>0</v>
      </c>
      <c r="V193" s="9">
        <f>IFERROR(__xludf.DUMMYFUNCTION("""COMPUTED_VALUE"""),7.0)</f>
        <v>7</v>
      </c>
      <c r="W193" s="9">
        <f>IFERROR(__xludf.DUMMYFUNCTION("""COMPUTED_VALUE"""),0.0)</f>
        <v>0</v>
      </c>
      <c r="X193" s="9">
        <f>IFERROR(__xludf.DUMMYFUNCTION("""COMPUTED_VALUE"""),5.0)</f>
        <v>5</v>
      </c>
      <c r="Y193" s="9">
        <f>IFERROR(__xludf.DUMMYFUNCTION("""COMPUTED_VALUE"""),7.0)</f>
        <v>7</v>
      </c>
      <c r="Z193" s="9">
        <f>IFERROR(__xludf.DUMMYFUNCTION("""COMPUTED_VALUE"""),0.0)</f>
        <v>0</v>
      </c>
      <c r="AA193" s="9">
        <f>IFERROR(__xludf.DUMMYFUNCTION("""COMPUTED_VALUE"""),0.0)</f>
        <v>0</v>
      </c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</row>
    <row r="194">
      <c r="A194" s="8">
        <f>IFERROR(__xludf.DUMMYFUNCTION("""COMPUTED_VALUE"""),45312.0)</f>
        <v>45312</v>
      </c>
      <c r="B194" s="9">
        <f>IFERROR(__xludf.DUMMYFUNCTION("""COMPUTED_VALUE"""),0.0)</f>
        <v>0</v>
      </c>
      <c r="C194" s="9">
        <f>IFERROR(__xludf.DUMMYFUNCTION("""COMPUTED_VALUE"""),0.0)</f>
        <v>0</v>
      </c>
      <c r="D194" s="9">
        <f>IFERROR(__xludf.DUMMYFUNCTION("""COMPUTED_VALUE"""),0.0)</f>
        <v>0</v>
      </c>
      <c r="E194" s="9">
        <f>IFERROR(__xludf.DUMMYFUNCTION("""COMPUTED_VALUE"""),0.0)</f>
        <v>0</v>
      </c>
      <c r="F194" s="9">
        <f>IFERROR(__xludf.DUMMYFUNCTION("""COMPUTED_VALUE"""),0.0)</f>
        <v>0</v>
      </c>
      <c r="G194" s="9">
        <f>IFERROR(__xludf.DUMMYFUNCTION("""COMPUTED_VALUE"""),0.0)</f>
        <v>0</v>
      </c>
      <c r="H194" s="9"/>
      <c r="I194" s="9">
        <f>IFERROR(__xludf.DUMMYFUNCTION("""COMPUTED_VALUE"""),0.0)</f>
        <v>0</v>
      </c>
      <c r="J194" s="9">
        <f>IFERROR(__xludf.DUMMYFUNCTION("""COMPUTED_VALUE"""),0.0)</f>
        <v>0</v>
      </c>
      <c r="K194" s="9">
        <f>IFERROR(__xludf.DUMMYFUNCTION("""COMPUTED_VALUE"""),0.0)</f>
        <v>0</v>
      </c>
      <c r="L194" s="9">
        <f>IFERROR(__xludf.DUMMYFUNCTION("""COMPUTED_VALUE"""),0.0)</f>
        <v>0</v>
      </c>
      <c r="M194" s="9">
        <f>IFERROR(__xludf.DUMMYFUNCTION("""COMPUTED_VALUE"""),0.0)</f>
        <v>0</v>
      </c>
      <c r="N194" s="9">
        <f>IFERROR(__xludf.DUMMYFUNCTION("""COMPUTED_VALUE"""),0.0)</f>
        <v>0</v>
      </c>
      <c r="O194" s="9">
        <f>IFERROR(__xludf.DUMMYFUNCTION("""COMPUTED_VALUE"""),0.0)</f>
        <v>0</v>
      </c>
      <c r="P194" s="9">
        <f>IFERROR(__xludf.DUMMYFUNCTION("""COMPUTED_VALUE"""),0.0)</f>
        <v>0</v>
      </c>
      <c r="Q194" s="9">
        <f>IFERROR(__xludf.DUMMYFUNCTION("""COMPUTED_VALUE"""),0.0)</f>
        <v>0</v>
      </c>
      <c r="R194" s="9">
        <f>IFERROR(__xludf.DUMMYFUNCTION("""COMPUTED_VALUE"""),0.0)</f>
        <v>0</v>
      </c>
      <c r="S194" s="9">
        <f>IFERROR(__xludf.DUMMYFUNCTION("""COMPUTED_VALUE"""),0.0)</f>
        <v>0</v>
      </c>
      <c r="T194" s="9">
        <f>IFERROR(__xludf.DUMMYFUNCTION("""COMPUTED_VALUE"""),0.0)</f>
        <v>0</v>
      </c>
      <c r="U194" s="9">
        <f>IFERROR(__xludf.DUMMYFUNCTION("""COMPUTED_VALUE"""),0.0)</f>
        <v>0</v>
      </c>
      <c r="V194" s="9">
        <f>IFERROR(__xludf.DUMMYFUNCTION("""COMPUTED_VALUE"""),0.0)</f>
        <v>0</v>
      </c>
      <c r="W194" s="9">
        <f>IFERROR(__xludf.DUMMYFUNCTION("""COMPUTED_VALUE"""),0.0)</f>
        <v>0</v>
      </c>
      <c r="X194" s="9">
        <f>IFERROR(__xludf.DUMMYFUNCTION("""COMPUTED_VALUE"""),0.0)</f>
        <v>0</v>
      </c>
      <c r="Y194" s="9">
        <f>IFERROR(__xludf.DUMMYFUNCTION("""COMPUTED_VALUE"""),0.0)</f>
        <v>0</v>
      </c>
      <c r="Z194" s="9">
        <f>IFERROR(__xludf.DUMMYFUNCTION("""COMPUTED_VALUE"""),0.0)</f>
        <v>0</v>
      </c>
      <c r="AA194" s="9">
        <f>IFERROR(__xludf.DUMMYFUNCTION("""COMPUTED_VALUE"""),0.0)</f>
        <v>0</v>
      </c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  <c r="TB194" s="9"/>
      <c r="TC194" s="9"/>
      <c r="TD194" s="9"/>
      <c r="TE194" s="9"/>
      <c r="TF194" s="9"/>
      <c r="TG194" s="9"/>
      <c r="TH194" s="9"/>
      <c r="TI194" s="9"/>
      <c r="TJ194" s="9"/>
      <c r="TK194" s="9"/>
      <c r="TL194" s="9"/>
      <c r="TM194" s="9"/>
      <c r="TN194" s="9"/>
      <c r="TO194" s="9"/>
      <c r="TP194" s="9"/>
      <c r="TQ194" s="9"/>
      <c r="TR194" s="9"/>
      <c r="TS194" s="9"/>
      <c r="TT194" s="9"/>
      <c r="TU194" s="9"/>
      <c r="TV194" s="9"/>
      <c r="TW194" s="9"/>
      <c r="TX194" s="9"/>
      <c r="TY194" s="9"/>
      <c r="TZ194" s="9"/>
      <c r="UA194" s="9"/>
      <c r="UB194" s="9"/>
      <c r="UC194" s="9"/>
      <c r="UD194" s="9"/>
      <c r="UE194" s="9"/>
      <c r="UF194" s="9"/>
      <c r="UG194" s="9"/>
      <c r="UH194" s="9"/>
      <c r="UI194" s="9"/>
      <c r="UJ194" s="9"/>
    </row>
    <row r="195">
      <c r="A195" s="8">
        <f>IFERROR(__xludf.DUMMYFUNCTION("""COMPUTED_VALUE"""),45313.0)</f>
        <v>45313</v>
      </c>
      <c r="B195" s="9">
        <f>IFERROR(__xludf.DUMMYFUNCTION("""COMPUTED_VALUE"""),21.0)</f>
        <v>21</v>
      </c>
      <c r="C195" s="9">
        <f>IFERROR(__xludf.DUMMYFUNCTION("""COMPUTED_VALUE"""),102.0)</f>
        <v>102</v>
      </c>
      <c r="D195" s="9">
        <f>IFERROR(__xludf.DUMMYFUNCTION("""COMPUTED_VALUE"""),5.0)</f>
        <v>5</v>
      </c>
      <c r="E195" s="9">
        <f>IFERROR(__xludf.DUMMYFUNCTION("""COMPUTED_VALUE"""),2051.0)</f>
        <v>2051</v>
      </c>
      <c r="F195" s="9">
        <f>IFERROR(__xludf.DUMMYFUNCTION("""COMPUTED_VALUE"""),98.0)</f>
        <v>98</v>
      </c>
      <c r="G195" s="9">
        <f>IFERROR(__xludf.DUMMYFUNCTION("""COMPUTED_VALUE"""),0.0)</f>
        <v>0</v>
      </c>
      <c r="H195" s="9"/>
      <c r="I195" s="9">
        <f>IFERROR(__xludf.DUMMYFUNCTION("""COMPUTED_VALUE"""),17.0)</f>
        <v>17</v>
      </c>
      <c r="J195" s="9">
        <f>IFERROR(__xludf.DUMMYFUNCTION("""COMPUTED_VALUE"""),2.0)</f>
        <v>2</v>
      </c>
      <c r="K195" s="9">
        <f>IFERROR(__xludf.DUMMYFUNCTION("""COMPUTED_VALUE"""),0.0)</f>
        <v>0</v>
      </c>
      <c r="L195" s="9">
        <f>IFERROR(__xludf.DUMMYFUNCTION("""COMPUTED_VALUE"""),0.0)</f>
        <v>0</v>
      </c>
      <c r="M195" s="9">
        <f>IFERROR(__xludf.DUMMYFUNCTION("""COMPUTED_VALUE"""),19.0)</f>
        <v>19</v>
      </c>
      <c r="N195" s="9">
        <f>IFERROR(__xludf.DUMMYFUNCTION("""COMPUTED_VALUE"""),13.0)</f>
        <v>13</v>
      </c>
      <c r="O195" s="9">
        <f>IFERROR(__xludf.DUMMYFUNCTION("""COMPUTED_VALUE"""),0.0)</f>
        <v>0</v>
      </c>
      <c r="P195" s="9">
        <f>IFERROR(__xludf.DUMMYFUNCTION("""COMPUTED_VALUE"""),8.0)</f>
        <v>8</v>
      </c>
      <c r="Q195" s="9">
        <f>IFERROR(__xludf.DUMMYFUNCTION("""COMPUTED_VALUE"""),9.0)</f>
        <v>9</v>
      </c>
      <c r="R195" s="9">
        <f>IFERROR(__xludf.DUMMYFUNCTION("""COMPUTED_VALUE"""),3.0)</f>
        <v>3</v>
      </c>
      <c r="S195" s="9">
        <f>IFERROR(__xludf.DUMMYFUNCTION("""COMPUTED_VALUE"""),16.0)</f>
        <v>16</v>
      </c>
      <c r="T195" s="9">
        <f>IFERROR(__xludf.DUMMYFUNCTION("""COMPUTED_VALUE"""),1.0)</f>
        <v>1</v>
      </c>
      <c r="U195" s="9">
        <f>IFERROR(__xludf.DUMMYFUNCTION("""COMPUTED_VALUE"""),0.0)</f>
        <v>0</v>
      </c>
      <c r="V195" s="9">
        <f>IFERROR(__xludf.DUMMYFUNCTION("""COMPUTED_VALUE"""),12.0)</f>
        <v>12</v>
      </c>
      <c r="W195" s="9">
        <f>IFERROR(__xludf.DUMMYFUNCTION("""COMPUTED_VALUE"""),0.0)</f>
        <v>0</v>
      </c>
      <c r="X195" s="9">
        <f>IFERROR(__xludf.DUMMYFUNCTION("""COMPUTED_VALUE"""),23.0)</f>
        <v>23</v>
      </c>
      <c r="Y195" s="9">
        <f>IFERROR(__xludf.DUMMYFUNCTION("""COMPUTED_VALUE"""),16.0)</f>
        <v>16</v>
      </c>
      <c r="Z195" s="9">
        <f>IFERROR(__xludf.DUMMYFUNCTION("""COMPUTED_VALUE"""),1.0)</f>
        <v>1</v>
      </c>
      <c r="AA195" s="9">
        <f>IFERROR(__xludf.DUMMYFUNCTION("""COMPUTED_VALUE"""),0.0)</f>
        <v>0</v>
      </c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</row>
    <row r="196">
      <c r="A196" s="8">
        <f>IFERROR(__xludf.DUMMYFUNCTION("""COMPUTED_VALUE"""),45314.0)</f>
        <v>45314</v>
      </c>
      <c r="B196" s="9">
        <f>IFERROR(__xludf.DUMMYFUNCTION("""COMPUTED_VALUE"""),21.0)</f>
        <v>21</v>
      </c>
      <c r="C196" s="9">
        <f>IFERROR(__xludf.DUMMYFUNCTION("""COMPUTED_VALUE"""),82.0)</f>
        <v>82</v>
      </c>
      <c r="D196" s="9">
        <f>IFERROR(__xludf.DUMMYFUNCTION("""COMPUTED_VALUE"""),4.0)</f>
        <v>4</v>
      </c>
      <c r="E196" s="9">
        <f>IFERROR(__xludf.DUMMYFUNCTION("""COMPUTED_VALUE"""),1428.0)</f>
        <v>1428</v>
      </c>
      <c r="F196" s="9">
        <f>IFERROR(__xludf.DUMMYFUNCTION("""COMPUTED_VALUE"""),68.0)</f>
        <v>68</v>
      </c>
      <c r="G196" s="9">
        <f>IFERROR(__xludf.DUMMYFUNCTION("""COMPUTED_VALUE"""),0.0)</f>
        <v>0</v>
      </c>
      <c r="H196" s="9"/>
      <c r="I196" s="9">
        <f>IFERROR(__xludf.DUMMYFUNCTION("""COMPUTED_VALUE"""),17.0)</f>
        <v>17</v>
      </c>
      <c r="J196" s="9">
        <f>IFERROR(__xludf.DUMMYFUNCTION("""COMPUTED_VALUE"""),2.0)</f>
        <v>2</v>
      </c>
      <c r="K196" s="9">
        <f>IFERROR(__xludf.DUMMYFUNCTION("""COMPUTED_VALUE"""),0.0)</f>
        <v>0</v>
      </c>
      <c r="L196" s="9">
        <f>IFERROR(__xludf.DUMMYFUNCTION("""COMPUTED_VALUE"""),0.0)</f>
        <v>0</v>
      </c>
      <c r="M196" s="9">
        <f>IFERROR(__xludf.DUMMYFUNCTION("""COMPUTED_VALUE"""),19.0)</f>
        <v>19</v>
      </c>
      <c r="N196" s="9">
        <f>IFERROR(__xludf.DUMMYFUNCTION("""COMPUTED_VALUE"""),10.0)</f>
        <v>10</v>
      </c>
      <c r="O196" s="9">
        <f>IFERROR(__xludf.DUMMYFUNCTION("""COMPUTED_VALUE"""),0.0)</f>
        <v>0</v>
      </c>
      <c r="P196" s="9">
        <f>IFERROR(__xludf.DUMMYFUNCTION("""COMPUTED_VALUE"""),11.0)</f>
        <v>11</v>
      </c>
      <c r="Q196" s="9">
        <f>IFERROR(__xludf.DUMMYFUNCTION("""COMPUTED_VALUE"""),4.0)</f>
        <v>4</v>
      </c>
      <c r="R196" s="9">
        <f>IFERROR(__xludf.DUMMYFUNCTION("""COMPUTED_VALUE"""),10.0)</f>
        <v>10</v>
      </c>
      <c r="S196" s="9">
        <f>IFERROR(__xludf.DUMMYFUNCTION("""COMPUTED_VALUE"""),5.0)</f>
        <v>5</v>
      </c>
      <c r="T196" s="9">
        <f>IFERROR(__xludf.DUMMYFUNCTION("""COMPUTED_VALUE"""),0.0)</f>
        <v>0</v>
      </c>
      <c r="U196" s="9">
        <f>IFERROR(__xludf.DUMMYFUNCTION("""COMPUTED_VALUE"""),0.0)</f>
        <v>0</v>
      </c>
      <c r="V196" s="9">
        <f>IFERROR(__xludf.DUMMYFUNCTION("""COMPUTED_VALUE"""),14.0)</f>
        <v>14</v>
      </c>
      <c r="W196" s="9">
        <f>IFERROR(__xludf.DUMMYFUNCTION("""COMPUTED_VALUE"""),1.0)</f>
        <v>1</v>
      </c>
      <c r="X196" s="9">
        <f>IFERROR(__xludf.DUMMYFUNCTION("""COMPUTED_VALUE"""),10.0)</f>
        <v>10</v>
      </c>
      <c r="Y196" s="9">
        <f>IFERROR(__xludf.DUMMYFUNCTION("""COMPUTED_VALUE"""),16.0)</f>
        <v>16</v>
      </c>
      <c r="Z196" s="9">
        <f>IFERROR(__xludf.DUMMYFUNCTION("""COMPUTED_VALUE"""),1.0)</f>
        <v>1</v>
      </c>
      <c r="AA196" s="9">
        <f>IFERROR(__xludf.DUMMYFUNCTION("""COMPUTED_VALUE"""),0.0)</f>
        <v>0</v>
      </c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</row>
    <row r="197">
      <c r="A197" s="8">
        <f>IFERROR(__xludf.DUMMYFUNCTION("""COMPUTED_VALUE"""),45315.0)</f>
        <v>45315</v>
      </c>
      <c r="B197" s="9">
        <f>IFERROR(__xludf.DUMMYFUNCTION("""COMPUTED_VALUE"""),43.0)</f>
        <v>43</v>
      </c>
      <c r="C197" s="9">
        <f>IFERROR(__xludf.DUMMYFUNCTION("""COMPUTED_VALUE"""),177.0)</f>
        <v>177</v>
      </c>
      <c r="D197" s="9">
        <f>IFERROR(__xludf.DUMMYFUNCTION("""COMPUTED_VALUE"""),4.0)</f>
        <v>4</v>
      </c>
      <c r="E197" s="9">
        <f>IFERROR(__xludf.DUMMYFUNCTION("""COMPUTED_VALUE"""),2818.0)</f>
        <v>2818</v>
      </c>
      <c r="F197" s="9">
        <f>IFERROR(__xludf.DUMMYFUNCTION("""COMPUTED_VALUE"""),66.0)</f>
        <v>66</v>
      </c>
      <c r="G197" s="9">
        <f>IFERROR(__xludf.DUMMYFUNCTION("""COMPUTED_VALUE"""),0.0)</f>
        <v>0</v>
      </c>
      <c r="H197" s="9"/>
      <c r="I197" s="9">
        <f>IFERROR(__xludf.DUMMYFUNCTION("""COMPUTED_VALUE"""),34.0)</f>
        <v>34</v>
      </c>
      <c r="J197" s="9">
        <f>IFERROR(__xludf.DUMMYFUNCTION("""COMPUTED_VALUE"""),3.0)</f>
        <v>3</v>
      </c>
      <c r="K197" s="9">
        <f>IFERROR(__xludf.DUMMYFUNCTION("""COMPUTED_VALUE"""),1.0)</f>
        <v>1</v>
      </c>
      <c r="L197" s="9">
        <f>IFERROR(__xludf.DUMMYFUNCTION("""COMPUTED_VALUE"""),0.0)</f>
        <v>0</v>
      </c>
      <c r="M197" s="9">
        <f>IFERROR(__xludf.DUMMYFUNCTION("""COMPUTED_VALUE"""),38.0)</f>
        <v>38</v>
      </c>
      <c r="N197" s="9">
        <f>IFERROR(__xludf.DUMMYFUNCTION("""COMPUTED_VALUE"""),28.0)</f>
        <v>28</v>
      </c>
      <c r="O197" s="9">
        <f>IFERROR(__xludf.DUMMYFUNCTION("""COMPUTED_VALUE"""),0.0)</f>
        <v>0</v>
      </c>
      <c r="P197" s="9">
        <f>IFERROR(__xludf.DUMMYFUNCTION("""COMPUTED_VALUE"""),15.0)</f>
        <v>15</v>
      </c>
      <c r="Q197" s="9">
        <f>IFERROR(__xludf.DUMMYFUNCTION("""COMPUTED_VALUE"""),15.0)</f>
        <v>15</v>
      </c>
      <c r="R197" s="9">
        <f>IFERROR(__xludf.DUMMYFUNCTION("""COMPUTED_VALUE"""),11.0)</f>
        <v>11</v>
      </c>
      <c r="S197" s="9">
        <f>IFERROR(__xludf.DUMMYFUNCTION("""COMPUTED_VALUE"""),12.0)</f>
        <v>12</v>
      </c>
      <c r="T197" s="9">
        <f>IFERROR(__xludf.DUMMYFUNCTION("""COMPUTED_VALUE"""),2.0)</f>
        <v>2</v>
      </c>
      <c r="U197" s="9">
        <f>IFERROR(__xludf.DUMMYFUNCTION("""COMPUTED_VALUE"""),0.0)</f>
        <v>0</v>
      </c>
      <c r="V197" s="9">
        <f>IFERROR(__xludf.DUMMYFUNCTION("""COMPUTED_VALUE"""),26.0)</f>
        <v>26</v>
      </c>
      <c r="W197" s="9">
        <f>IFERROR(__xludf.DUMMYFUNCTION("""COMPUTED_VALUE"""),1.0)</f>
        <v>1</v>
      </c>
      <c r="X197" s="9">
        <f>IFERROR(__xludf.DUMMYFUNCTION("""COMPUTED_VALUE"""),25.0)</f>
        <v>25</v>
      </c>
      <c r="Y197" s="9">
        <f>IFERROR(__xludf.DUMMYFUNCTION("""COMPUTED_VALUE"""),32.0)</f>
        <v>32</v>
      </c>
      <c r="Z197" s="9">
        <f>IFERROR(__xludf.DUMMYFUNCTION("""COMPUTED_VALUE"""),3.0)</f>
        <v>3</v>
      </c>
      <c r="AA197" s="9">
        <f>IFERROR(__xludf.DUMMYFUNCTION("""COMPUTED_VALUE"""),0.0)</f>
        <v>0</v>
      </c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</row>
    <row r="198">
      <c r="A198" s="8">
        <f>IFERROR(__xludf.DUMMYFUNCTION("""COMPUTED_VALUE"""),45316.0)</f>
        <v>45316</v>
      </c>
      <c r="B198" s="9">
        <f>IFERROR(__xludf.DUMMYFUNCTION("""COMPUTED_VALUE"""),38.0)</f>
        <v>38</v>
      </c>
      <c r="C198" s="9">
        <f>IFERROR(__xludf.DUMMYFUNCTION("""COMPUTED_VALUE"""),151.0)</f>
        <v>151</v>
      </c>
      <c r="D198" s="9">
        <f>IFERROR(__xludf.DUMMYFUNCTION("""COMPUTED_VALUE"""),4.0)</f>
        <v>4</v>
      </c>
      <c r="E198" s="9">
        <f>IFERROR(__xludf.DUMMYFUNCTION("""COMPUTED_VALUE"""),2869.0)</f>
        <v>2869</v>
      </c>
      <c r="F198" s="9">
        <f>IFERROR(__xludf.DUMMYFUNCTION("""COMPUTED_VALUE"""),76.0)</f>
        <v>76</v>
      </c>
      <c r="G198" s="9">
        <f>IFERROR(__xludf.DUMMYFUNCTION("""COMPUTED_VALUE"""),0.0)</f>
        <v>0</v>
      </c>
      <c r="H198" s="9"/>
      <c r="I198" s="9">
        <f>IFERROR(__xludf.DUMMYFUNCTION("""COMPUTED_VALUE"""),25.0)</f>
        <v>25</v>
      </c>
      <c r="J198" s="9">
        <f>IFERROR(__xludf.DUMMYFUNCTION("""COMPUTED_VALUE"""),4.0)</f>
        <v>4</v>
      </c>
      <c r="K198" s="9">
        <f>IFERROR(__xludf.DUMMYFUNCTION("""COMPUTED_VALUE"""),0.0)</f>
        <v>0</v>
      </c>
      <c r="L198" s="9">
        <f>IFERROR(__xludf.DUMMYFUNCTION("""COMPUTED_VALUE"""),1.0)</f>
        <v>1</v>
      </c>
      <c r="M198" s="9">
        <f>IFERROR(__xludf.DUMMYFUNCTION("""COMPUTED_VALUE"""),30.0)</f>
        <v>30</v>
      </c>
      <c r="N198" s="9">
        <f>IFERROR(__xludf.DUMMYFUNCTION("""COMPUTED_VALUE"""),27.0)</f>
        <v>27</v>
      </c>
      <c r="O198" s="9">
        <f>IFERROR(__xludf.DUMMYFUNCTION("""COMPUTED_VALUE"""),0.0)</f>
        <v>0</v>
      </c>
      <c r="P198" s="9">
        <f>IFERROR(__xludf.DUMMYFUNCTION("""COMPUTED_VALUE"""),11.0)</f>
        <v>11</v>
      </c>
      <c r="Q198" s="9">
        <f>IFERROR(__xludf.DUMMYFUNCTION("""COMPUTED_VALUE"""),16.0)</f>
        <v>16</v>
      </c>
      <c r="R198" s="9">
        <f>IFERROR(__xludf.DUMMYFUNCTION("""COMPUTED_VALUE"""),7.0)</f>
        <v>7</v>
      </c>
      <c r="S198" s="9">
        <f>IFERROR(__xludf.DUMMYFUNCTION("""COMPUTED_VALUE"""),22.0)</f>
        <v>22</v>
      </c>
      <c r="T198" s="9">
        <f>IFERROR(__xludf.DUMMYFUNCTION("""COMPUTED_VALUE"""),1.0)</f>
        <v>1</v>
      </c>
      <c r="U198" s="9">
        <f>IFERROR(__xludf.DUMMYFUNCTION("""COMPUTED_VALUE"""),0.0)</f>
        <v>0</v>
      </c>
      <c r="V198" s="9">
        <f>IFERROR(__xludf.DUMMYFUNCTION("""COMPUTED_VALUE"""),23.0)</f>
        <v>23</v>
      </c>
      <c r="W198" s="9">
        <f>IFERROR(__xludf.DUMMYFUNCTION("""COMPUTED_VALUE"""),1.0)</f>
        <v>1</v>
      </c>
      <c r="X198" s="9">
        <f>IFERROR(__xludf.DUMMYFUNCTION("""COMPUTED_VALUE"""),26.0)</f>
        <v>26</v>
      </c>
      <c r="Y198" s="9">
        <f>IFERROR(__xludf.DUMMYFUNCTION("""COMPUTED_VALUE"""),26.0)</f>
        <v>26</v>
      </c>
      <c r="Z198" s="9">
        <f>IFERROR(__xludf.DUMMYFUNCTION("""COMPUTED_VALUE"""),2.0)</f>
        <v>2</v>
      </c>
      <c r="AA198" s="9">
        <f>IFERROR(__xludf.DUMMYFUNCTION("""COMPUTED_VALUE"""),0.0)</f>
        <v>0</v>
      </c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</row>
    <row r="199">
      <c r="A199" s="8">
        <f>IFERROR(__xludf.DUMMYFUNCTION("""COMPUTED_VALUE"""),45317.0)</f>
        <v>45317</v>
      </c>
      <c r="B199" s="9">
        <f>IFERROR(__xludf.DUMMYFUNCTION("""COMPUTED_VALUE"""),42.0)</f>
        <v>42</v>
      </c>
      <c r="C199" s="9">
        <f>IFERROR(__xludf.DUMMYFUNCTION("""COMPUTED_VALUE"""),163.0)</f>
        <v>163</v>
      </c>
      <c r="D199" s="9">
        <f>IFERROR(__xludf.DUMMYFUNCTION("""COMPUTED_VALUE"""),4.0)</f>
        <v>4</v>
      </c>
      <c r="E199" s="9">
        <f>IFERROR(__xludf.DUMMYFUNCTION("""COMPUTED_VALUE"""),2963.0)</f>
        <v>2963</v>
      </c>
      <c r="F199" s="9">
        <f>IFERROR(__xludf.DUMMYFUNCTION("""COMPUTED_VALUE"""),71.0)</f>
        <v>71</v>
      </c>
      <c r="G199" s="9">
        <f>IFERROR(__xludf.DUMMYFUNCTION("""COMPUTED_VALUE"""),0.0)</f>
        <v>0</v>
      </c>
      <c r="H199" s="9"/>
      <c r="I199" s="9">
        <f>IFERROR(__xludf.DUMMYFUNCTION("""COMPUTED_VALUE"""),30.0)</f>
        <v>30</v>
      </c>
      <c r="J199" s="9">
        <f>IFERROR(__xludf.DUMMYFUNCTION("""COMPUTED_VALUE"""),6.0)</f>
        <v>6</v>
      </c>
      <c r="K199" s="9">
        <f>IFERROR(__xludf.DUMMYFUNCTION("""COMPUTED_VALUE"""),0.0)</f>
        <v>0</v>
      </c>
      <c r="L199" s="9">
        <f>IFERROR(__xludf.DUMMYFUNCTION("""COMPUTED_VALUE"""),0.0)</f>
        <v>0</v>
      </c>
      <c r="M199" s="9">
        <f>IFERROR(__xludf.DUMMYFUNCTION("""COMPUTED_VALUE"""),36.0)</f>
        <v>36</v>
      </c>
      <c r="N199" s="9">
        <f>IFERROR(__xludf.DUMMYFUNCTION("""COMPUTED_VALUE"""),28.0)</f>
        <v>28</v>
      </c>
      <c r="O199" s="9">
        <f>IFERROR(__xludf.DUMMYFUNCTION("""COMPUTED_VALUE"""),0.0)</f>
        <v>0</v>
      </c>
      <c r="P199" s="9">
        <f>IFERROR(__xludf.DUMMYFUNCTION("""COMPUTED_VALUE"""),14.0)</f>
        <v>14</v>
      </c>
      <c r="Q199" s="9">
        <f>IFERROR(__xludf.DUMMYFUNCTION("""COMPUTED_VALUE"""),18.0)</f>
        <v>18</v>
      </c>
      <c r="R199" s="9">
        <f>IFERROR(__xludf.DUMMYFUNCTION("""COMPUTED_VALUE"""),10.0)</f>
        <v>10</v>
      </c>
      <c r="S199" s="9">
        <f>IFERROR(__xludf.DUMMYFUNCTION("""COMPUTED_VALUE"""),12.0)</f>
        <v>12</v>
      </c>
      <c r="T199" s="9">
        <f>IFERROR(__xludf.DUMMYFUNCTION("""COMPUTED_VALUE"""),4.0)</f>
        <v>4</v>
      </c>
      <c r="U199" s="9">
        <f>IFERROR(__xludf.DUMMYFUNCTION("""COMPUTED_VALUE"""),0.0)</f>
        <v>0</v>
      </c>
      <c r="V199" s="9">
        <f>IFERROR(__xludf.DUMMYFUNCTION("""COMPUTED_VALUE"""),28.0)</f>
        <v>28</v>
      </c>
      <c r="W199" s="9">
        <f>IFERROR(__xludf.DUMMYFUNCTION("""COMPUTED_VALUE"""),1.0)</f>
        <v>1</v>
      </c>
      <c r="X199" s="9">
        <f>IFERROR(__xludf.DUMMYFUNCTION("""COMPUTED_VALUE"""),18.0)</f>
        <v>18</v>
      </c>
      <c r="Y199" s="9">
        <f>IFERROR(__xludf.DUMMYFUNCTION("""COMPUTED_VALUE"""),37.0)</f>
        <v>37</v>
      </c>
      <c r="Z199" s="9">
        <f>IFERROR(__xludf.DUMMYFUNCTION("""COMPUTED_VALUE"""),5.0)</f>
        <v>5</v>
      </c>
      <c r="AA199" s="9">
        <f>IFERROR(__xludf.DUMMYFUNCTION("""COMPUTED_VALUE"""),0.0)</f>
        <v>0</v>
      </c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</row>
    <row r="200">
      <c r="A200" s="8">
        <f>IFERROR(__xludf.DUMMYFUNCTION("""COMPUTED_VALUE"""),45318.0)</f>
        <v>45318</v>
      </c>
      <c r="B200" s="9">
        <f>IFERROR(__xludf.DUMMYFUNCTION("""COMPUTED_VALUE"""),10.0)</f>
        <v>10</v>
      </c>
      <c r="C200" s="9">
        <f>IFERROR(__xludf.DUMMYFUNCTION("""COMPUTED_VALUE"""),43.0)</f>
        <v>43</v>
      </c>
      <c r="D200" s="9">
        <f>IFERROR(__xludf.DUMMYFUNCTION("""COMPUTED_VALUE"""),4.0)</f>
        <v>4</v>
      </c>
      <c r="E200" s="9">
        <f>IFERROR(__xludf.DUMMYFUNCTION("""COMPUTED_VALUE"""),898.0)</f>
        <v>898</v>
      </c>
      <c r="F200" s="9">
        <f>IFERROR(__xludf.DUMMYFUNCTION("""COMPUTED_VALUE"""),90.0)</f>
        <v>90</v>
      </c>
      <c r="G200" s="9">
        <f>IFERROR(__xludf.DUMMYFUNCTION("""COMPUTED_VALUE"""),0.0)</f>
        <v>0</v>
      </c>
      <c r="H200" s="9"/>
      <c r="I200" s="9">
        <f>IFERROR(__xludf.DUMMYFUNCTION("""COMPUTED_VALUE"""),8.0)</f>
        <v>8</v>
      </c>
      <c r="J200" s="9">
        <f>IFERROR(__xludf.DUMMYFUNCTION("""COMPUTED_VALUE"""),1.0)</f>
        <v>1</v>
      </c>
      <c r="K200" s="9">
        <f>IFERROR(__xludf.DUMMYFUNCTION("""COMPUTED_VALUE"""),0.0)</f>
        <v>0</v>
      </c>
      <c r="L200" s="9">
        <f>IFERROR(__xludf.DUMMYFUNCTION("""COMPUTED_VALUE"""),0.0)</f>
        <v>0</v>
      </c>
      <c r="M200" s="9">
        <f>IFERROR(__xludf.DUMMYFUNCTION("""COMPUTED_VALUE"""),9.0)</f>
        <v>9</v>
      </c>
      <c r="N200" s="9">
        <f>IFERROR(__xludf.DUMMYFUNCTION("""COMPUTED_VALUE"""),8.0)</f>
        <v>8</v>
      </c>
      <c r="O200" s="9">
        <f>IFERROR(__xludf.DUMMYFUNCTION("""COMPUTED_VALUE"""),0.0)</f>
        <v>0</v>
      </c>
      <c r="P200" s="9">
        <f>IFERROR(__xludf.DUMMYFUNCTION("""COMPUTED_VALUE"""),2.0)</f>
        <v>2</v>
      </c>
      <c r="Q200" s="9">
        <f>IFERROR(__xludf.DUMMYFUNCTION("""COMPUTED_VALUE"""),4.0)</f>
        <v>4</v>
      </c>
      <c r="R200" s="9">
        <f>IFERROR(__xludf.DUMMYFUNCTION("""COMPUTED_VALUE"""),1.0)</f>
        <v>1</v>
      </c>
      <c r="S200" s="9">
        <f>IFERROR(__xludf.DUMMYFUNCTION("""COMPUTED_VALUE"""),6.0)</f>
        <v>6</v>
      </c>
      <c r="T200" s="9">
        <f>IFERROR(__xludf.DUMMYFUNCTION("""COMPUTED_VALUE"""),0.0)</f>
        <v>0</v>
      </c>
      <c r="U200" s="9">
        <f>IFERROR(__xludf.DUMMYFUNCTION("""COMPUTED_VALUE"""),0.0)</f>
        <v>0</v>
      </c>
      <c r="V200" s="9">
        <f>IFERROR(__xludf.DUMMYFUNCTION("""COMPUTED_VALUE"""),5.0)</f>
        <v>5</v>
      </c>
      <c r="W200" s="9">
        <f>IFERROR(__xludf.DUMMYFUNCTION("""COMPUTED_VALUE"""),0.0)</f>
        <v>0</v>
      </c>
      <c r="X200" s="9">
        <f>IFERROR(__xludf.DUMMYFUNCTION("""COMPUTED_VALUE"""),12.0)</f>
        <v>12</v>
      </c>
      <c r="Y200" s="9">
        <f>IFERROR(__xludf.DUMMYFUNCTION("""COMPUTED_VALUE"""),5.0)</f>
        <v>5</v>
      </c>
      <c r="Z200" s="9">
        <f>IFERROR(__xludf.DUMMYFUNCTION("""COMPUTED_VALUE"""),0.0)</f>
        <v>0</v>
      </c>
      <c r="AA200" s="9">
        <f>IFERROR(__xludf.DUMMYFUNCTION("""COMPUTED_VALUE"""),0.0)</f>
        <v>0</v>
      </c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</row>
    <row r="201">
      <c r="A201" s="8">
        <f>IFERROR(__xludf.DUMMYFUNCTION("""COMPUTED_VALUE"""),45319.0)</f>
        <v>45319</v>
      </c>
      <c r="B201" s="9">
        <f>IFERROR(__xludf.DUMMYFUNCTION("""COMPUTED_VALUE"""),0.0)</f>
        <v>0</v>
      </c>
      <c r="C201" s="9">
        <f>IFERROR(__xludf.DUMMYFUNCTION("""COMPUTED_VALUE"""),0.0)</f>
        <v>0</v>
      </c>
      <c r="D201" s="9">
        <f>IFERROR(__xludf.DUMMYFUNCTION("""COMPUTED_VALUE"""),0.0)</f>
        <v>0</v>
      </c>
      <c r="E201" s="9">
        <f>IFERROR(__xludf.DUMMYFUNCTION("""COMPUTED_VALUE"""),0.0)</f>
        <v>0</v>
      </c>
      <c r="F201" s="9">
        <f>IFERROR(__xludf.DUMMYFUNCTION("""COMPUTED_VALUE"""),0.0)</f>
        <v>0</v>
      </c>
      <c r="G201" s="9">
        <f>IFERROR(__xludf.DUMMYFUNCTION("""COMPUTED_VALUE"""),0.0)</f>
        <v>0</v>
      </c>
      <c r="H201" s="9"/>
      <c r="I201" s="9">
        <f>IFERROR(__xludf.DUMMYFUNCTION("""COMPUTED_VALUE"""),0.0)</f>
        <v>0</v>
      </c>
      <c r="J201" s="9">
        <f>IFERROR(__xludf.DUMMYFUNCTION("""COMPUTED_VALUE"""),0.0)</f>
        <v>0</v>
      </c>
      <c r="K201" s="9">
        <f>IFERROR(__xludf.DUMMYFUNCTION("""COMPUTED_VALUE"""),0.0)</f>
        <v>0</v>
      </c>
      <c r="L201" s="9">
        <f>IFERROR(__xludf.DUMMYFUNCTION("""COMPUTED_VALUE"""),0.0)</f>
        <v>0</v>
      </c>
      <c r="M201" s="9">
        <f>IFERROR(__xludf.DUMMYFUNCTION("""COMPUTED_VALUE"""),0.0)</f>
        <v>0</v>
      </c>
      <c r="N201" s="9">
        <f>IFERROR(__xludf.DUMMYFUNCTION("""COMPUTED_VALUE"""),0.0)</f>
        <v>0</v>
      </c>
      <c r="O201" s="9">
        <f>IFERROR(__xludf.DUMMYFUNCTION("""COMPUTED_VALUE"""),0.0)</f>
        <v>0</v>
      </c>
      <c r="P201" s="9">
        <f>IFERROR(__xludf.DUMMYFUNCTION("""COMPUTED_VALUE"""),0.0)</f>
        <v>0</v>
      </c>
      <c r="Q201" s="9">
        <f>IFERROR(__xludf.DUMMYFUNCTION("""COMPUTED_VALUE"""),0.0)</f>
        <v>0</v>
      </c>
      <c r="R201" s="9">
        <f>IFERROR(__xludf.DUMMYFUNCTION("""COMPUTED_VALUE"""),0.0)</f>
        <v>0</v>
      </c>
      <c r="S201" s="9">
        <f>IFERROR(__xludf.DUMMYFUNCTION("""COMPUTED_VALUE"""),0.0)</f>
        <v>0</v>
      </c>
      <c r="T201" s="9">
        <f>IFERROR(__xludf.DUMMYFUNCTION("""COMPUTED_VALUE"""),0.0)</f>
        <v>0</v>
      </c>
      <c r="U201" s="9">
        <f>IFERROR(__xludf.DUMMYFUNCTION("""COMPUTED_VALUE"""),0.0)</f>
        <v>0</v>
      </c>
      <c r="V201" s="9">
        <f>IFERROR(__xludf.DUMMYFUNCTION("""COMPUTED_VALUE"""),0.0)</f>
        <v>0</v>
      </c>
      <c r="W201" s="9">
        <f>IFERROR(__xludf.DUMMYFUNCTION("""COMPUTED_VALUE"""),0.0)</f>
        <v>0</v>
      </c>
      <c r="X201" s="9">
        <f>IFERROR(__xludf.DUMMYFUNCTION("""COMPUTED_VALUE"""),0.0)</f>
        <v>0</v>
      </c>
      <c r="Y201" s="9">
        <f>IFERROR(__xludf.DUMMYFUNCTION("""COMPUTED_VALUE"""),0.0)</f>
        <v>0</v>
      </c>
      <c r="Z201" s="9">
        <f>IFERROR(__xludf.DUMMYFUNCTION("""COMPUTED_VALUE"""),0.0)</f>
        <v>0</v>
      </c>
      <c r="AA201" s="9">
        <f>IFERROR(__xludf.DUMMYFUNCTION("""COMPUTED_VALUE"""),0.0)</f>
        <v>0</v>
      </c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</row>
    <row r="202">
      <c r="A202" s="8">
        <f>IFERROR(__xludf.DUMMYFUNCTION("""COMPUTED_VALUE"""),45320.0)</f>
        <v>45320</v>
      </c>
      <c r="B202" s="9">
        <f>IFERROR(__xludf.DUMMYFUNCTION("""COMPUTED_VALUE"""),39.0)</f>
        <v>39</v>
      </c>
      <c r="C202" s="9">
        <f>IFERROR(__xludf.DUMMYFUNCTION("""COMPUTED_VALUE"""),171.0)</f>
        <v>171</v>
      </c>
      <c r="D202" s="9">
        <f>IFERROR(__xludf.DUMMYFUNCTION("""COMPUTED_VALUE"""),4.0)</f>
        <v>4</v>
      </c>
      <c r="E202" s="9">
        <f>IFERROR(__xludf.DUMMYFUNCTION("""COMPUTED_VALUE"""),3156.0)</f>
        <v>3156</v>
      </c>
      <c r="F202" s="9">
        <f>IFERROR(__xludf.DUMMYFUNCTION("""COMPUTED_VALUE"""),81.0)</f>
        <v>81</v>
      </c>
      <c r="G202" s="9">
        <f>IFERROR(__xludf.DUMMYFUNCTION("""COMPUTED_VALUE"""),0.0)</f>
        <v>0</v>
      </c>
      <c r="H202" s="9"/>
      <c r="I202" s="9">
        <f>IFERROR(__xludf.DUMMYFUNCTION("""COMPUTED_VALUE"""),24.0)</f>
        <v>24</v>
      </c>
      <c r="J202" s="9">
        <f>IFERROR(__xludf.DUMMYFUNCTION("""COMPUTED_VALUE"""),3.0)</f>
        <v>3</v>
      </c>
      <c r="K202" s="9">
        <f>IFERROR(__xludf.DUMMYFUNCTION("""COMPUTED_VALUE"""),3.0)</f>
        <v>3</v>
      </c>
      <c r="L202" s="9">
        <f>IFERROR(__xludf.DUMMYFUNCTION("""COMPUTED_VALUE"""),0.0)</f>
        <v>0</v>
      </c>
      <c r="M202" s="9">
        <f>IFERROR(__xludf.DUMMYFUNCTION("""COMPUTED_VALUE"""),30.0)</f>
        <v>30</v>
      </c>
      <c r="N202" s="9">
        <f>IFERROR(__xludf.DUMMYFUNCTION("""COMPUTED_VALUE"""),30.0)</f>
        <v>30</v>
      </c>
      <c r="O202" s="9">
        <f>IFERROR(__xludf.DUMMYFUNCTION("""COMPUTED_VALUE"""),0.0)</f>
        <v>0</v>
      </c>
      <c r="P202" s="9">
        <f>IFERROR(__xludf.DUMMYFUNCTION("""COMPUTED_VALUE"""),8.0)</f>
        <v>8</v>
      </c>
      <c r="Q202" s="9">
        <f>IFERROR(__xludf.DUMMYFUNCTION("""COMPUTED_VALUE"""),21.0)</f>
        <v>21</v>
      </c>
      <c r="R202" s="9">
        <f>IFERROR(__xludf.DUMMYFUNCTION("""COMPUTED_VALUE"""),5.0)</f>
        <v>5</v>
      </c>
      <c r="S202" s="9">
        <f>IFERROR(__xludf.DUMMYFUNCTION("""COMPUTED_VALUE"""),19.0)</f>
        <v>19</v>
      </c>
      <c r="T202" s="9">
        <f>IFERROR(__xludf.DUMMYFUNCTION("""COMPUTED_VALUE"""),1.0)</f>
        <v>1</v>
      </c>
      <c r="U202" s="9">
        <f>IFERROR(__xludf.DUMMYFUNCTION("""COMPUTED_VALUE"""),0.0)</f>
        <v>0</v>
      </c>
      <c r="V202" s="9">
        <f>IFERROR(__xludf.DUMMYFUNCTION("""COMPUTED_VALUE"""),26.0)</f>
        <v>26</v>
      </c>
      <c r="W202" s="9">
        <f>IFERROR(__xludf.DUMMYFUNCTION("""COMPUTED_VALUE"""),2.0)</f>
        <v>2</v>
      </c>
      <c r="X202" s="9">
        <f>IFERROR(__xludf.DUMMYFUNCTION("""COMPUTED_VALUE"""),22.0)</f>
        <v>22</v>
      </c>
      <c r="Y202" s="9">
        <f>IFERROR(__xludf.DUMMYFUNCTION("""COMPUTED_VALUE"""),34.0)</f>
        <v>34</v>
      </c>
      <c r="Z202" s="9">
        <f>IFERROR(__xludf.DUMMYFUNCTION("""COMPUTED_VALUE"""),3.0)</f>
        <v>3</v>
      </c>
      <c r="AA202" s="9">
        <f>IFERROR(__xludf.DUMMYFUNCTION("""COMPUTED_VALUE"""),0.0)</f>
        <v>0</v>
      </c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  <c r="LI202" s="9"/>
      <c r="LJ202" s="9"/>
      <c r="LK202" s="9"/>
      <c r="LL202" s="9"/>
      <c r="LM202" s="9"/>
      <c r="LN202" s="9"/>
      <c r="LO202" s="9"/>
      <c r="LP202" s="9"/>
      <c r="LQ202" s="9"/>
      <c r="LR202" s="9"/>
      <c r="LS202" s="9"/>
      <c r="LT202" s="9"/>
      <c r="LU202" s="9"/>
      <c r="LV202" s="9"/>
      <c r="LW202" s="9"/>
      <c r="LX202" s="9"/>
      <c r="LY202" s="9"/>
      <c r="LZ202" s="9"/>
      <c r="MA202" s="9"/>
      <c r="MB202" s="9"/>
      <c r="MC202" s="9"/>
      <c r="MD202" s="9"/>
      <c r="ME202" s="9"/>
      <c r="MF202" s="9"/>
      <c r="MG202" s="9"/>
      <c r="MH202" s="9"/>
      <c r="MI202" s="9"/>
      <c r="MJ202" s="9"/>
      <c r="MK202" s="9"/>
      <c r="ML202" s="9"/>
      <c r="MM202" s="9"/>
      <c r="MN202" s="9"/>
      <c r="MO202" s="9"/>
      <c r="MP202" s="9"/>
      <c r="MQ202" s="9"/>
      <c r="MR202" s="9"/>
      <c r="MS202" s="9"/>
      <c r="MT202" s="9"/>
      <c r="MU202" s="9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  <c r="PG202" s="9"/>
      <c r="PH202" s="9"/>
      <c r="PI202" s="9"/>
      <c r="PJ202" s="9"/>
      <c r="PK202" s="9"/>
      <c r="PL202" s="9"/>
      <c r="PM202" s="9"/>
      <c r="PN202" s="9"/>
      <c r="PO202" s="9"/>
      <c r="PP202" s="9"/>
      <c r="PQ202" s="9"/>
      <c r="PR202" s="9"/>
      <c r="PS202" s="9"/>
      <c r="PT202" s="9"/>
      <c r="PU202" s="9"/>
      <c r="PV202" s="9"/>
      <c r="PW202" s="9"/>
      <c r="PX202" s="9"/>
      <c r="PY202" s="9"/>
      <c r="PZ202" s="9"/>
      <c r="QA202" s="9"/>
      <c r="QB202" s="9"/>
      <c r="QC202" s="9"/>
      <c r="QD202" s="9"/>
      <c r="QE202" s="9"/>
      <c r="QF202" s="9"/>
      <c r="QG202" s="9"/>
      <c r="QH202" s="9"/>
      <c r="QI202" s="9"/>
      <c r="QJ202" s="9"/>
      <c r="QK202" s="9"/>
      <c r="QL202" s="9"/>
      <c r="QM202" s="9"/>
      <c r="QN202" s="9"/>
      <c r="QO202" s="9"/>
      <c r="QP202" s="9"/>
      <c r="QQ202" s="9"/>
      <c r="QR202" s="9"/>
      <c r="QS202" s="9"/>
      <c r="QT202" s="9"/>
      <c r="QU202" s="9"/>
      <c r="QV202" s="9"/>
      <c r="QW202" s="9"/>
      <c r="QX202" s="9"/>
      <c r="QY202" s="9"/>
      <c r="QZ202" s="9"/>
      <c r="RA202" s="9"/>
      <c r="RB202" s="9"/>
      <c r="RC202" s="9"/>
      <c r="RD202" s="9"/>
      <c r="RE202" s="9"/>
      <c r="RF202" s="9"/>
      <c r="RG202" s="9"/>
      <c r="RH202" s="9"/>
      <c r="RI202" s="9"/>
      <c r="RJ202" s="9"/>
      <c r="RK202" s="9"/>
      <c r="RL202" s="9"/>
      <c r="RM202" s="9"/>
      <c r="RN202" s="9"/>
      <c r="RO202" s="9"/>
      <c r="RP202" s="9"/>
      <c r="RQ202" s="9"/>
      <c r="RR202" s="9"/>
      <c r="RS202" s="9"/>
      <c r="RT202" s="9"/>
      <c r="RU202" s="9"/>
      <c r="RV202" s="9"/>
      <c r="RW202" s="9"/>
      <c r="RX202" s="9"/>
      <c r="RY202" s="9"/>
      <c r="RZ202" s="9"/>
      <c r="SA202" s="9"/>
      <c r="SB202" s="9"/>
      <c r="SC202" s="9"/>
      <c r="SD202" s="9"/>
      <c r="SE202" s="9"/>
      <c r="SF202" s="9"/>
      <c r="SG202" s="9"/>
      <c r="SH202" s="9"/>
      <c r="SI202" s="9"/>
      <c r="SJ202" s="9"/>
      <c r="SK202" s="9"/>
      <c r="SL202" s="9"/>
      <c r="SM202" s="9"/>
      <c r="SN202" s="9"/>
      <c r="SO202" s="9"/>
      <c r="SP202" s="9"/>
      <c r="SQ202" s="9"/>
      <c r="SR202" s="9"/>
      <c r="SS202" s="9"/>
      <c r="ST202" s="9"/>
      <c r="SU202" s="9"/>
      <c r="SV202" s="9"/>
      <c r="SW202" s="9"/>
      <c r="SX202" s="9"/>
      <c r="SY202" s="9"/>
      <c r="SZ202" s="9"/>
      <c r="TA202" s="9"/>
      <c r="TB202" s="9"/>
      <c r="TC202" s="9"/>
      <c r="TD202" s="9"/>
      <c r="TE202" s="9"/>
      <c r="TF202" s="9"/>
      <c r="TG202" s="9"/>
      <c r="TH202" s="9"/>
      <c r="TI202" s="9"/>
      <c r="TJ202" s="9"/>
      <c r="TK202" s="9"/>
      <c r="TL202" s="9"/>
      <c r="TM202" s="9"/>
      <c r="TN202" s="9"/>
      <c r="TO202" s="9"/>
      <c r="TP202" s="9"/>
      <c r="TQ202" s="9"/>
      <c r="TR202" s="9"/>
      <c r="TS202" s="9"/>
      <c r="TT202" s="9"/>
      <c r="TU202" s="9"/>
      <c r="TV202" s="9"/>
      <c r="TW202" s="9"/>
      <c r="TX202" s="9"/>
      <c r="TY202" s="9"/>
      <c r="TZ202" s="9"/>
      <c r="UA202" s="9"/>
      <c r="UB202" s="9"/>
      <c r="UC202" s="9"/>
      <c r="UD202" s="9"/>
      <c r="UE202" s="9"/>
      <c r="UF202" s="9"/>
      <c r="UG202" s="9"/>
      <c r="UH202" s="9"/>
      <c r="UI202" s="9"/>
      <c r="UJ202" s="9"/>
    </row>
    <row r="203">
      <c r="A203" s="8">
        <f>IFERROR(__xludf.DUMMYFUNCTION("""COMPUTED_VALUE"""),45321.0)</f>
        <v>45321</v>
      </c>
      <c r="B203" s="9">
        <f>IFERROR(__xludf.DUMMYFUNCTION("""COMPUTED_VALUE"""),44.0)</f>
        <v>44</v>
      </c>
      <c r="C203" s="9">
        <f>IFERROR(__xludf.DUMMYFUNCTION("""COMPUTED_VALUE"""),175.0)</f>
        <v>175</v>
      </c>
      <c r="D203" s="9">
        <f>IFERROR(__xludf.DUMMYFUNCTION("""COMPUTED_VALUE"""),4.0)</f>
        <v>4</v>
      </c>
      <c r="E203" s="9">
        <f>IFERROR(__xludf.DUMMYFUNCTION("""COMPUTED_VALUE"""),3267.0)</f>
        <v>3267</v>
      </c>
      <c r="F203" s="9">
        <f>IFERROR(__xludf.DUMMYFUNCTION("""COMPUTED_VALUE"""),74.0)</f>
        <v>74</v>
      </c>
      <c r="G203" s="9">
        <f>IFERROR(__xludf.DUMMYFUNCTION("""COMPUTED_VALUE"""),0.0)</f>
        <v>0</v>
      </c>
      <c r="H203" s="9"/>
      <c r="I203" s="9">
        <f>IFERROR(__xludf.DUMMYFUNCTION("""COMPUTED_VALUE"""),34.0)</f>
        <v>34</v>
      </c>
      <c r="J203" s="9">
        <f>IFERROR(__xludf.DUMMYFUNCTION("""COMPUTED_VALUE"""),5.0)</f>
        <v>5</v>
      </c>
      <c r="K203" s="9">
        <f>IFERROR(__xludf.DUMMYFUNCTION("""COMPUTED_VALUE"""),0.0)</f>
        <v>0</v>
      </c>
      <c r="L203" s="9">
        <f>IFERROR(__xludf.DUMMYFUNCTION("""COMPUTED_VALUE"""),0.0)</f>
        <v>0</v>
      </c>
      <c r="M203" s="9">
        <f>IFERROR(__xludf.DUMMYFUNCTION("""COMPUTED_VALUE"""),39.0)</f>
        <v>39</v>
      </c>
      <c r="N203" s="9">
        <f>IFERROR(__xludf.DUMMYFUNCTION("""COMPUTED_VALUE"""),33.0)</f>
        <v>33</v>
      </c>
      <c r="O203" s="9">
        <f>IFERROR(__xludf.DUMMYFUNCTION("""COMPUTED_VALUE"""),0.0)</f>
        <v>0</v>
      </c>
      <c r="P203" s="9">
        <f>IFERROR(__xludf.DUMMYFUNCTION("""COMPUTED_VALUE"""),10.0)</f>
        <v>10</v>
      </c>
      <c r="Q203" s="9">
        <f>IFERROR(__xludf.DUMMYFUNCTION("""COMPUTED_VALUE"""),17.0)</f>
        <v>17</v>
      </c>
      <c r="R203" s="9">
        <f>IFERROR(__xludf.DUMMYFUNCTION("""COMPUTED_VALUE"""),9.0)</f>
        <v>9</v>
      </c>
      <c r="S203" s="9">
        <f>IFERROR(__xludf.DUMMYFUNCTION("""COMPUTED_VALUE"""),19.0)</f>
        <v>19</v>
      </c>
      <c r="T203" s="9">
        <f>IFERROR(__xludf.DUMMYFUNCTION("""COMPUTED_VALUE"""),0.0)</f>
        <v>0</v>
      </c>
      <c r="U203" s="9">
        <f>IFERROR(__xludf.DUMMYFUNCTION("""COMPUTED_VALUE"""),0.0)</f>
        <v>0</v>
      </c>
      <c r="V203" s="9">
        <f>IFERROR(__xludf.DUMMYFUNCTION("""COMPUTED_VALUE"""),26.0)</f>
        <v>26</v>
      </c>
      <c r="W203" s="9">
        <f>IFERROR(__xludf.DUMMYFUNCTION("""COMPUTED_VALUE"""),1.0)</f>
        <v>1</v>
      </c>
      <c r="X203" s="9">
        <f>IFERROR(__xludf.DUMMYFUNCTION("""COMPUTED_VALUE"""),30.0)</f>
        <v>30</v>
      </c>
      <c r="Y203" s="9">
        <f>IFERROR(__xludf.DUMMYFUNCTION("""COMPUTED_VALUE"""),29.0)</f>
        <v>29</v>
      </c>
      <c r="Z203" s="9">
        <f>IFERROR(__xludf.DUMMYFUNCTION("""COMPUTED_VALUE"""),1.0)</f>
        <v>1</v>
      </c>
      <c r="AA203" s="9">
        <f>IFERROR(__xludf.DUMMYFUNCTION("""COMPUTED_VALUE"""),0.0)</f>
        <v>0</v>
      </c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</row>
    <row r="204">
      <c r="A204" s="8">
        <f>IFERROR(__xludf.DUMMYFUNCTION("""COMPUTED_VALUE"""),45322.0)</f>
        <v>45322</v>
      </c>
      <c r="B204" s="9">
        <f>IFERROR(__xludf.DUMMYFUNCTION("""COMPUTED_VALUE"""),43.0)</f>
        <v>43</v>
      </c>
      <c r="C204" s="9">
        <f>IFERROR(__xludf.DUMMYFUNCTION("""COMPUTED_VALUE"""),163.0)</f>
        <v>163</v>
      </c>
      <c r="D204" s="9">
        <f>IFERROR(__xludf.DUMMYFUNCTION("""COMPUTED_VALUE"""),4.0)</f>
        <v>4</v>
      </c>
      <c r="E204" s="9">
        <f>IFERROR(__xludf.DUMMYFUNCTION("""COMPUTED_VALUE"""),3082.0)</f>
        <v>3082</v>
      </c>
      <c r="F204" s="9">
        <f>IFERROR(__xludf.DUMMYFUNCTION("""COMPUTED_VALUE"""),72.0)</f>
        <v>72</v>
      </c>
      <c r="G204" s="9">
        <f>IFERROR(__xludf.DUMMYFUNCTION("""COMPUTED_VALUE"""),0.0)</f>
        <v>0</v>
      </c>
      <c r="H204" s="9"/>
      <c r="I204" s="9">
        <f>IFERROR(__xludf.DUMMYFUNCTION("""COMPUTED_VALUE"""),31.0)</f>
        <v>31</v>
      </c>
      <c r="J204" s="9">
        <f>IFERROR(__xludf.DUMMYFUNCTION("""COMPUTED_VALUE"""),6.0)</f>
        <v>6</v>
      </c>
      <c r="K204" s="9">
        <f>IFERROR(__xludf.DUMMYFUNCTION("""COMPUTED_VALUE"""),0.0)</f>
        <v>0</v>
      </c>
      <c r="L204" s="9">
        <f>IFERROR(__xludf.DUMMYFUNCTION("""COMPUTED_VALUE"""),0.0)</f>
        <v>0</v>
      </c>
      <c r="M204" s="9">
        <f>IFERROR(__xludf.DUMMYFUNCTION("""COMPUTED_VALUE"""),37.0)</f>
        <v>37</v>
      </c>
      <c r="N204" s="9">
        <f>IFERROR(__xludf.DUMMYFUNCTION("""COMPUTED_VALUE"""),29.0)</f>
        <v>29</v>
      </c>
      <c r="O204" s="9">
        <f>IFERROR(__xludf.DUMMYFUNCTION("""COMPUTED_VALUE"""),0.0)</f>
        <v>0</v>
      </c>
      <c r="P204" s="9">
        <f>IFERROR(__xludf.DUMMYFUNCTION("""COMPUTED_VALUE"""),14.0)</f>
        <v>14</v>
      </c>
      <c r="Q204" s="9">
        <f>IFERROR(__xludf.DUMMYFUNCTION("""COMPUTED_VALUE"""),18.0)</f>
        <v>18</v>
      </c>
      <c r="R204" s="9">
        <f>IFERROR(__xludf.DUMMYFUNCTION("""COMPUTED_VALUE"""),9.0)</f>
        <v>9</v>
      </c>
      <c r="S204" s="9">
        <f>IFERROR(__xludf.DUMMYFUNCTION("""COMPUTED_VALUE"""),16.0)</f>
        <v>16</v>
      </c>
      <c r="T204" s="9">
        <f>IFERROR(__xludf.DUMMYFUNCTION("""COMPUTED_VALUE"""),1.0)</f>
        <v>1</v>
      </c>
      <c r="U204" s="9">
        <f>IFERROR(__xludf.DUMMYFUNCTION("""COMPUTED_VALUE"""),0.0)</f>
        <v>0</v>
      </c>
      <c r="V204" s="9">
        <f>IFERROR(__xludf.DUMMYFUNCTION("""COMPUTED_VALUE"""),27.0)</f>
        <v>27</v>
      </c>
      <c r="W204" s="9">
        <f>IFERROR(__xludf.DUMMYFUNCTION("""COMPUTED_VALUE"""),1.0)</f>
        <v>1</v>
      </c>
      <c r="X204" s="9">
        <f>IFERROR(__xludf.DUMMYFUNCTION("""COMPUTED_VALUE"""),19.0)</f>
        <v>19</v>
      </c>
      <c r="Y204" s="9">
        <f>IFERROR(__xludf.DUMMYFUNCTION("""COMPUTED_VALUE"""),33.0)</f>
        <v>33</v>
      </c>
      <c r="Z204" s="9">
        <f>IFERROR(__xludf.DUMMYFUNCTION("""COMPUTED_VALUE"""),2.0)</f>
        <v>2</v>
      </c>
      <c r="AA204" s="9">
        <f>IFERROR(__xludf.DUMMYFUNCTION("""COMPUTED_VALUE"""),0.0)</f>
        <v>0</v>
      </c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</row>
    <row r="205">
      <c r="A205" s="8">
        <f>IFERROR(__xludf.DUMMYFUNCTION("""COMPUTED_VALUE"""),45323.0)</f>
        <v>45323</v>
      </c>
      <c r="B205" s="9">
        <f>IFERROR(__xludf.DUMMYFUNCTION("""COMPUTED_VALUE"""),67.0)</f>
        <v>67</v>
      </c>
      <c r="C205" s="9">
        <f>IFERROR(__xludf.DUMMYFUNCTION("""COMPUTED_VALUE"""),265.0)</f>
        <v>265</v>
      </c>
      <c r="D205" s="9">
        <f>IFERROR(__xludf.DUMMYFUNCTION("""COMPUTED_VALUE"""),4.0)</f>
        <v>4</v>
      </c>
      <c r="E205" s="9">
        <f>IFERROR(__xludf.DUMMYFUNCTION("""COMPUTED_VALUE"""),4828.0)</f>
        <v>4828</v>
      </c>
      <c r="F205" s="9">
        <f>IFERROR(__xludf.DUMMYFUNCTION("""COMPUTED_VALUE"""),72.0)</f>
        <v>72</v>
      </c>
      <c r="G205" s="9">
        <f>IFERROR(__xludf.DUMMYFUNCTION("""COMPUTED_VALUE"""),0.0)</f>
        <v>0</v>
      </c>
      <c r="H205" s="9"/>
      <c r="I205" s="9">
        <f>IFERROR(__xludf.DUMMYFUNCTION("""COMPUTED_VALUE"""),47.0)</f>
        <v>47</v>
      </c>
      <c r="J205" s="9">
        <f>IFERROR(__xludf.DUMMYFUNCTION("""COMPUTED_VALUE"""),7.0)</f>
        <v>7</v>
      </c>
      <c r="K205" s="9">
        <f>IFERROR(__xludf.DUMMYFUNCTION("""COMPUTED_VALUE"""),2.0)</f>
        <v>2</v>
      </c>
      <c r="L205" s="9">
        <f>IFERROR(__xludf.DUMMYFUNCTION("""COMPUTED_VALUE"""),0.0)</f>
        <v>0</v>
      </c>
      <c r="M205" s="9">
        <f>IFERROR(__xludf.DUMMYFUNCTION("""COMPUTED_VALUE"""),56.0)</f>
        <v>56</v>
      </c>
      <c r="N205" s="9">
        <f>IFERROR(__xludf.DUMMYFUNCTION("""COMPUTED_VALUE"""),54.0)</f>
        <v>54</v>
      </c>
      <c r="O205" s="9">
        <f>IFERROR(__xludf.DUMMYFUNCTION("""COMPUTED_VALUE"""),0.0)</f>
        <v>0</v>
      </c>
      <c r="P205" s="9">
        <f>IFERROR(__xludf.DUMMYFUNCTION("""COMPUTED_VALUE"""),11.0)</f>
        <v>11</v>
      </c>
      <c r="Q205" s="9">
        <f>IFERROR(__xludf.DUMMYFUNCTION("""COMPUTED_VALUE"""),38.0)</f>
        <v>38</v>
      </c>
      <c r="R205" s="9">
        <f>IFERROR(__xludf.DUMMYFUNCTION("""COMPUTED_VALUE"""),9.0)</f>
        <v>9</v>
      </c>
      <c r="S205" s="9">
        <f>IFERROR(__xludf.DUMMYFUNCTION("""COMPUTED_VALUE"""),29.0)</f>
        <v>29</v>
      </c>
      <c r="T205" s="9">
        <f>IFERROR(__xludf.DUMMYFUNCTION("""COMPUTED_VALUE"""),2.0)</f>
        <v>2</v>
      </c>
      <c r="U205" s="9">
        <f>IFERROR(__xludf.DUMMYFUNCTION("""COMPUTED_VALUE"""),0.0)</f>
        <v>0</v>
      </c>
      <c r="V205" s="9">
        <f>IFERROR(__xludf.DUMMYFUNCTION("""COMPUTED_VALUE"""),47.0)</f>
        <v>47</v>
      </c>
      <c r="W205" s="9">
        <f>IFERROR(__xludf.DUMMYFUNCTION("""COMPUTED_VALUE"""),0.0)</f>
        <v>0</v>
      </c>
      <c r="X205" s="9">
        <f>IFERROR(__xludf.DUMMYFUNCTION("""COMPUTED_VALUE"""),41.0)</f>
        <v>41</v>
      </c>
      <c r="Y205" s="9">
        <f>IFERROR(__xludf.DUMMYFUNCTION("""COMPUTED_VALUE"""),51.0)</f>
        <v>51</v>
      </c>
      <c r="Z205" s="9">
        <f>IFERROR(__xludf.DUMMYFUNCTION("""COMPUTED_VALUE"""),2.0)</f>
        <v>2</v>
      </c>
      <c r="AA205" s="9">
        <f>IFERROR(__xludf.DUMMYFUNCTION("""COMPUTED_VALUE"""),0.0)</f>
        <v>0</v>
      </c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</row>
    <row r="206">
      <c r="A206" s="8">
        <f>IFERROR(__xludf.DUMMYFUNCTION("""COMPUTED_VALUE"""),45324.0)</f>
        <v>45324</v>
      </c>
      <c r="B206" s="9">
        <f>IFERROR(__xludf.DUMMYFUNCTION("""COMPUTED_VALUE"""),53.0)</f>
        <v>53</v>
      </c>
      <c r="C206" s="9">
        <f>IFERROR(__xludf.DUMMYFUNCTION("""COMPUTED_VALUE"""),203.0)</f>
        <v>203</v>
      </c>
      <c r="D206" s="9">
        <f>IFERROR(__xludf.DUMMYFUNCTION("""COMPUTED_VALUE"""),4.0)</f>
        <v>4</v>
      </c>
      <c r="E206" s="9">
        <f>IFERROR(__xludf.DUMMYFUNCTION("""COMPUTED_VALUE"""),3764.0)</f>
        <v>3764</v>
      </c>
      <c r="F206" s="9">
        <f>IFERROR(__xludf.DUMMYFUNCTION("""COMPUTED_VALUE"""),71.0)</f>
        <v>71</v>
      </c>
      <c r="G206" s="9">
        <f>IFERROR(__xludf.DUMMYFUNCTION("""COMPUTED_VALUE"""),0.0)</f>
        <v>0</v>
      </c>
      <c r="H206" s="9"/>
      <c r="I206" s="9">
        <f>IFERROR(__xludf.DUMMYFUNCTION("""COMPUTED_VALUE"""),42.0)</f>
        <v>42</v>
      </c>
      <c r="J206" s="9">
        <f>IFERROR(__xludf.DUMMYFUNCTION("""COMPUTED_VALUE"""),4.0)</f>
        <v>4</v>
      </c>
      <c r="K206" s="9">
        <f>IFERROR(__xludf.DUMMYFUNCTION("""COMPUTED_VALUE"""),1.0)</f>
        <v>1</v>
      </c>
      <c r="L206" s="9">
        <f>IFERROR(__xludf.DUMMYFUNCTION("""COMPUTED_VALUE"""),0.0)</f>
        <v>0</v>
      </c>
      <c r="M206" s="9">
        <f>IFERROR(__xludf.DUMMYFUNCTION("""COMPUTED_VALUE"""),47.0)</f>
        <v>47</v>
      </c>
      <c r="N206" s="9">
        <f>IFERROR(__xludf.DUMMYFUNCTION("""COMPUTED_VALUE"""),38.0)</f>
        <v>38</v>
      </c>
      <c r="O206" s="9">
        <f>IFERROR(__xludf.DUMMYFUNCTION("""COMPUTED_VALUE"""),0.0)</f>
        <v>0</v>
      </c>
      <c r="P206" s="9">
        <f>IFERROR(__xludf.DUMMYFUNCTION("""COMPUTED_VALUE"""),15.0)</f>
        <v>15</v>
      </c>
      <c r="Q206" s="9">
        <f>IFERROR(__xludf.DUMMYFUNCTION("""COMPUTED_VALUE"""),27.0)</f>
        <v>27</v>
      </c>
      <c r="R206" s="9">
        <f>IFERROR(__xludf.DUMMYFUNCTION("""COMPUTED_VALUE"""),7.0)</f>
        <v>7</v>
      </c>
      <c r="S206" s="9">
        <f>IFERROR(__xludf.DUMMYFUNCTION("""COMPUTED_VALUE"""),14.0)</f>
        <v>14</v>
      </c>
      <c r="T206" s="9">
        <f>IFERROR(__xludf.DUMMYFUNCTION("""COMPUTED_VALUE"""),1.0)</f>
        <v>1</v>
      </c>
      <c r="U206" s="9">
        <f>IFERROR(__xludf.DUMMYFUNCTION("""COMPUTED_VALUE"""),0.0)</f>
        <v>0</v>
      </c>
      <c r="V206" s="9">
        <f>IFERROR(__xludf.DUMMYFUNCTION("""COMPUTED_VALUE"""),34.0)</f>
        <v>34</v>
      </c>
      <c r="W206" s="9">
        <f>IFERROR(__xludf.DUMMYFUNCTION("""COMPUTED_VALUE"""),2.0)</f>
        <v>2</v>
      </c>
      <c r="X206" s="9">
        <f>IFERROR(__xludf.DUMMYFUNCTION("""COMPUTED_VALUE"""),29.0)</f>
        <v>29</v>
      </c>
      <c r="Y206" s="9">
        <f>IFERROR(__xludf.DUMMYFUNCTION("""COMPUTED_VALUE"""),41.0)</f>
        <v>41</v>
      </c>
      <c r="Z206" s="9">
        <f>IFERROR(__xludf.DUMMYFUNCTION("""COMPUTED_VALUE"""),3.0)</f>
        <v>3</v>
      </c>
      <c r="AA206" s="9">
        <f>IFERROR(__xludf.DUMMYFUNCTION("""COMPUTED_VALUE"""),0.0)</f>
        <v>0</v>
      </c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  <c r="LI206" s="9"/>
      <c r="LJ206" s="9"/>
      <c r="LK206" s="9"/>
      <c r="LL206" s="9"/>
      <c r="LM206" s="9"/>
      <c r="LN206" s="9"/>
      <c r="LO206" s="9"/>
      <c r="LP206" s="9"/>
      <c r="LQ206" s="9"/>
      <c r="LR206" s="9"/>
      <c r="LS206" s="9"/>
      <c r="LT206" s="9"/>
      <c r="LU206" s="9"/>
      <c r="LV206" s="9"/>
      <c r="LW206" s="9"/>
      <c r="LX206" s="9"/>
      <c r="LY206" s="9"/>
      <c r="LZ206" s="9"/>
      <c r="MA206" s="9"/>
      <c r="MB206" s="9"/>
      <c r="MC206" s="9"/>
      <c r="MD206" s="9"/>
      <c r="ME206" s="9"/>
      <c r="MF206" s="9"/>
      <c r="MG206" s="9"/>
      <c r="MH206" s="9"/>
      <c r="MI206" s="9"/>
      <c r="MJ206" s="9"/>
      <c r="MK206" s="9"/>
      <c r="ML206" s="9"/>
      <c r="MM206" s="9"/>
      <c r="MN206" s="9"/>
      <c r="MO206" s="9"/>
      <c r="MP206" s="9"/>
      <c r="MQ206" s="9"/>
      <c r="MR206" s="9"/>
      <c r="MS206" s="9"/>
      <c r="MT206" s="9"/>
      <c r="MU206" s="9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  <c r="PG206" s="9"/>
      <c r="PH206" s="9"/>
      <c r="PI206" s="9"/>
      <c r="PJ206" s="9"/>
      <c r="PK206" s="9"/>
      <c r="PL206" s="9"/>
      <c r="PM206" s="9"/>
      <c r="PN206" s="9"/>
      <c r="PO206" s="9"/>
      <c r="PP206" s="9"/>
      <c r="PQ206" s="9"/>
      <c r="PR206" s="9"/>
      <c r="PS206" s="9"/>
      <c r="PT206" s="9"/>
      <c r="PU206" s="9"/>
      <c r="PV206" s="9"/>
      <c r="PW206" s="9"/>
      <c r="PX206" s="9"/>
      <c r="PY206" s="9"/>
      <c r="PZ206" s="9"/>
      <c r="QA206" s="9"/>
      <c r="QB206" s="9"/>
      <c r="QC206" s="9"/>
      <c r="QD206" s="9"/>
      <c r="QE206" s="9"/>
      <c r="QF206" s="9"/>
      <c r="QG206" s="9"/>
      <c r="QH206" s="9"/>
      <c r="QI206" s="9"/>
      <c r="QJ206" s="9"/>
      <c r="QK206" s="9"/>
      <c r="QL206" s="9"/>
      <c r="QM206" s="9"/>
      <c r="QN206" s="9"/>
      <c r="QO206" s="9"/>
      <c r="QP206" s="9"/>
      <c r="QQ206" s="9"/>
      <c r="QR206" s="9"/>
      <c r="QS206" s="9"/>
      <c r="QT206" s="9"/>
      <c r="QU206" s="9"/>
      <c r="QV206" s="9"/>
      <c r="QW206" s="9"/>
      <c r="QX206" s="9"/>
      <c r="QY206" s="9"/>
      <c r="QZ206" s="9"/>
      <c r="RA206" s="9"/>
      <c r="RB206" s="9"/>
      <c r="RC206" s="9"/>
      <c r="RD206" s="9"/>
      <c r="RE206" s="9"/>
      <c r="RF206" s="9"/>
      <c r="RG206" s="9"/>
      <c r="RH206" s="9"/>
      <c r="RI206" s="9"/>
      <c r="RJ206" s="9"/>
      <c r="RK206" s="9"/>
      <c r="RL206" s="9"/>
      <c r="RM206" s="9"/>
      <c r="RN206" s="9"/>
      <c r="RO206" s="9"/>
      <c r="RP206" s="9"/>
      <c r="RQ206" s="9"/>
      <c r="RR206" s="9"/>
      <c r="RS206" s="9"/>
      <c r="RT206" s="9"/>
      <c r="RU206" s="9"/>
      <c r="RV206" s="9"/>
      <c r="RW206" s="9"/>
      <c r="RX206" s="9"/>
      <c r="RY206" s="9"/>
      <c r="RZ206" s="9"/>
      <c r="SA206" s="9"/>
      <c r="SB206" s="9"/>
      <c r="SC206" s="9"/>
      <c r="SD206" s="9"/>
      <c r="SE206" s="9"/>
      <c r="SF206" s="9"/>
      <c r="SG206" s="9"/>
      <c r="SH206" s="9"/>
      <c r="SI206" s="9"/>
      <c r="SJ206" s="9"/>
      <c r="SK206" s="9"/>
      <c r="SL206" s="9"/>
      <c r="SM206" s="9"/>
      <c r="SN206" s="9"/>
      <c r="SO206" s="9"/>
      <c r="SP206" s="9"/>
      <c r="SQ206" s="9"/>
      <c r="SR206" s="9"/>
      <c r="SS206" s="9"/>
      <c r="ST206" s="9"/>
      <c r="SU206" s="9"/>
      <c r="SV206" s="9"/>
      <c r="SW206" s="9"/>
      <c r="SX206" s="9"/>
      <c r="SY206" s="9"/>
      <c r="SZ206" s="9"/>
      <c r="TA206" s="9"/>
      <c r="TB206" s="9"/>
      <c r="TC206" s="9"/>
      <c r="TD206" s="9"/>
      <c r="TE206" s="9"/>
      <c r="TF206" s="9"/>
      <c r="TG206" s="9"/>
      <c r="TH206" s="9"/>
      <c r="TI206" s="9"/>
      <c r="TJ206" s="9"/>
      <c r="TK206" s="9"/>
      <c r="TL206" s="9"/>
      <c r="TM206" s="9"/>
      <c r="TN206" s="9"/>
      <c r="TO206" s="9"/>
      <c r="TP206" s="9"/>
      <c r="TQ206" s="9"/>
      <c r="TR206" s="9"/>
      <c r="TS206" s="9"/>
      <c r="TT206" s="9"/>
      <c r="TU206" s="9"/>
      <c r="TV206" s="9"/>
      <c r="TW206" s="9"/>
      <c r="TX206" s="9"/>
      <c r="TY206" s="9"/>
      <c r="TZ206" s="9"/>
      <c r="UA206" s="9"/>
      <c r="UB206" s="9"/>
      <c r="UC206" s="9"/>
      <c r="UD206" s="9"/>
      <c r="UE206" s="9"/>
      <c r="UF206" s="9"/>
      <c r="UG206" s="9"/>
      <c r="UH206" s="9"/>
      <c r="UI206" s="9"/>
      <c r="UJ206" s="9"/>
    </row>
    <row r="207">
      <c r="A207" s="8">
        <f>IFERROR(__xludf.DUMMYFUNCTION("""COMPUTED_VALUE"""),45325.0)</f>
        <v>45325</v>
      </c>
      <c r="B207" s="9">
        <f>IFERROR(__xludf.DUMMYFUNCTION("""COMPUTED_VALUE"""),11.0)</f>
        <v>11</v>
      </c>
      <c r="C207" s="9">
        <f>IFERROR(__xludf.DUMMYFUNCTION("""COMPUTED_VALUE"""),44.0)</f>
        <v>44</v>
      </c>
      <c r="D207" s="9">
        <f>IFERROR(__xludf.DUMMYFUNCTION("""COMPUTED_VALUE"""),4.0)</f>
        <v>4</v>
      </c>
      <c r="E207" s="9">
        <f>IFERROR(__xludf.DUMMYFUNCTION("""COMPUTED_VALUE"""),728.0)</f>
        <v>728</v>
      </c>
      <c r="F207" s="9">
        <f>IFERROR(__xludf.DUMMYFUNCTION("""COMPUTED_VALUE"""),66.0)</f>
        <v>66</v>
      </c>
      <c r="G207" s="9">
        <f>IFERROR(__xludf.DUMMYFUNCTION("""COMPUTED_VALUE"""),0.0)</f>
        <v>0</v>
      </c>
      <c r="H207" s="9"/>
      <c r="I207" s="9">
        <f>IFERROR(__xludf.DUMMYFUNCTION("""COMPUTED_VALUE"""),4.0)</f>
        <v>4</v>
      </c>
      <c r="J207" s="9">
        <f>IFERROR(__xludf.DUMMYFUNCTION("""COMPUTED_VALUE"""),2.0)</f>
        <v>2</v>
      </c>
      <c r="K207" s="9">
        <f>IFERROR(__xludf.DUMMYFUNCTION("""COMPUTED_VALUE"""),1.0)</f>
        <v>1</v>
      </c>
      <c r="L207" s="9">
        <f>IFERROR(__xludf.DUMMYFUNCTION("""COMPUTED_VALUE"""),0.0)</f>
        <v>0</v>
      </c>
      <c r="M207" s="9">
        <f>IFERROR(__xludf.DUMMYFUNCTION("""COMPUTED_VALUE"""),7.0)</f>
        <v>7</v>
      </c>
      <c r="N207" s="9">
        <f>IFERROR(__xludf.DUMMYFUNCTION("""COMPUTED_VALUE"""),10.0)</f>
        <v>10</v>
      </c>
      <c r="O207" s="9">
        <f>IFERROR(__xludf.DUMMYFUNCTION("""COMPUTED_VALUE"""),0.0)</f>
        <v>0</v>
      </c>
      <c r="P207" s="9">
        <f>IFERROR(__xludf.DUMMYFUNCTION("""COMPUTED_VALUE"""),1.0)</f>
        <v>1</v>
      </c>
      <c r="Q207" s="9">
        <f>IFERROR(__xludf.DUMMYFUNCTION("""COMPUTED_VALUE"""),6.0)</f>
        <v>6</v>
      </c>
      <c r="R207" s="9">
        <f>IFERROR(__xludf.DUMMYFUNCTION("""COMPUTED_VALUE"""),1.0)</f>
        <v>1</v>
      </c>
      <c r="S207" s="9">
        <f>IFERROR(__xludf.DUMMYFUNCTION("""COMPUTED_VALUE"""),4.0)</f>
        <v>4</v>
      </c>
      <c r="T207" s="9">
        <f>IFERROR(__xludf.DUMMYFUNCTION("""COMPUTED_VALUE"""),0.0)</f>
        <v>0</v>
      </c>
      <c r="U207" s="9">
        <f>IFERROR(__xludf.DUMMYFUNCTION("""COMPUTED_VALUE"""),0.0)</f>
        <v>0</v>
      </c>
      <c r="V207" s="9">
        <f>IFERROR(__xludf.DUMMYFUNCTION("""COMPUTED_VALUE"""),7.0)</f>
        <v>7</v>
      </c>
      <c r="W207" s="9">
        <f>IFERROR(__xludf.DUMMYFUNCTION("""COMPUTED_VALUE"""),0.0)</f>
        <v>0</v>
      </c>
      <c r="X207" s="9">
        <f>IFERROR(__xludf.DUMMYFUNCTION("""COMPUTED_VALUE"""),8.0)</f>
        <v>8</v>
      </c>
      <c r="Y207" s="9">
        <f>IFERROR(__xludf.DUMMYFUNCTION("""COMPUTED_VALUE"""),7.0)</f>
        <v>7</v>
      </c>
      <c r="Z207" s="9">
        <f>IFERROR(__xludf.DUMMYFUNCTION("""COMPUTED_VALUE"""),0.0)</f>
        <v>0</v>
      </c>
      <c r="AA207" s="9">
        <f>IFERROR(__xludf.DUMMYFUNCTION("""COMPUTED_VALUE"""),0.0)</f>
        <v>0</v>
      </c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</row>
    <row r="208">
      <c r="A208" s="8">
        <f>IFERROR(__xludf.DUMMYFUNCTION("""COMPUTED_VALUE"""),45326.0)</f>
        <v>45326</v>
      </c>
      <c r="B208" s="9">
        <f>IFERROR(__xludf.DUMMYFUNCTION("""COMPUTED_VALUE"""),0.0)</f>
        <v>0</v>
      </c>
      <c r="C208" s="9">
        <f>IFERROR(__xludf.DUMMYFUNCTION("""COMPUTED_VALUE"""),0.0)</f>
        <v>0</v>
      </c>
      <c r="D208" s="9">
        <f>IFERROR(__xludf.DUMMYFUNCTION("""COMPUTED_VALUE"""),0.0)</f>
        <v>0</v>
      </c>
      <c r="E208" s="9">
        <f>IFERROR(__xludf.DUMMYFUNCTION("""COMPUTED_VALUE"""),0.0)</f>
        <v>0</v>
      </c>
      <c r="F208" s="9">
        <f>IFERROR(__xludf.DUMMYFUNCTION("""COMPUTED_VALUE"""),0.0)</f>
        <v>0</v>
      </c>
      <c r="G208" s="9">
        <f>IFERROR(__xludf.DUMMYFUNCTION("""COMPUTED_VALUE"""),0.0)</f>
        <v>0</v>
      </c>
      <c r="H208" s="9"/>
      <c r="I208" s="9">
        <f>IFERROR(__xludf.DUMMYFUNCTION("""COMPUTED_VALUE"""),0.0)</f>
        <v>0</v>
      </c>
      <c r="J208" s="9">
        <f>IFERROR(__xludf.DUMMYFUNCTION("""COMPUTED_VALUE"""),0.0)</f>
        <v>0</v>
      </c>
      <c r="K208" s="9">
        <f>IFERROR(__xludf.DUMMYFUNCTION("""COMPUTED_VALUE"""),0.0)</f>
        <v>0</v>
      </c>
      <c r="L208" s="9">
        <f>IFERROR(__xludf.DUMMYFUNCTION("""COMPUTED_VALUE"""),0.0)</f>
        <v>0</v>
      </c>
      <c r="M208" s="9">
        <f>IFERROR(__xludf.DUMMYFUNCTION("""COMPUTED_VALUE"""),0.0)</f>
        <v>0</v>
      </c>
      <c r="N208" s="9">
        <f>IFERROR(__xludf.DUMMYFUNCTION("""COMPUTED_VALUE"""),0.0)</f>
        <v>0</v>
      </c>
      <c r="O208" s="9">
        <f>IFERROR(__xludf.DUMMYFUNCTION("""COMPUTED_VALUE"""),0.0)</f>
        <v>0</v>
      </c>
      <c r="P208" s="9">
        <f>IFERROR(__xludf.DUMMYFUNCTION("""COMPUTED_VALUE"""),0.0)</f>
        <v>0</v>
      </c>
      <c r="Q208" s="9">
        <f>IFERROR(__xludf.DUMMYFUNCTION("""COMPUTED_VALUE"""),0.0)</f>
        <v>0</v>
      </c>
      <c r="R208" s="9">
        <f>IFERROR(__xludf.DUMMYFUNCTION("""COMPUTED_VALUE"""),0.0)</f>
        <v>0</v>
      </c>
      <c r="S208" s="9">
        <f>IFERROR(__xludf.DUMMYFUNCTION("""COMPUTED_VALUE"""),0.0)</f>
        <v>0</v>
      </c>
      <c r="T208" s="9">
        <f>IFERROR(__xludf.DUMMYFUNCTION("""COMPUTED_VALUE"""),0.0)</f>
        <v>0</v>
      </c>
      <c r="U208" s="9">
        <f>IFERROR(__xludf.DUMMYFUNCTION("""COMPUTED_VALUE"""),0.0)</f>
        <v>0</v>
      </c>
      <c r="V208" s="9">
        <f>IFERROR(__xludf.DUMMYFUNCTION("""COMPUTED_VALUE"""),0.0)</f>
        <v>0</v>
      </c>
      <c r="W208" s="9">
        <f>IFERROR(__xludf.DUMMYFUNCTION("""COMPUTED_VALUE"""),0.0)</f>
        <v>0</v>
      </c>
      <c r="X208" s="9">
        <f>IFERROR(__xludf.DUMMYFUNCTION("""COMPUTED_VALUE"""),0.0)</f>
        <v>0</v>
      </c>
      <c r="Y208" s="9">
        <f>IFERROR(__xludf.DUMMYFUNCTION("""COMPUTED_VALUE"""),0.0)</f>
        <v>0</v>
      </c>
      <c r="Z208" s="9">
        <f>IFERROR(__xludf.DUMMYFUNCTION("""COMPUTED_VALUE"""),0.0)</f>
        <v>0</v>
      </c>
      <c r="AA208" s="9">
        <f>IFERROR(__xludf.DUMMYFUNCTION("""COMPUTED_VALUE"""),0.0)</f>
        <v>0</v>
      </c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</row>
    <row r="209">
      <c r="A209" s="8">
        <f>IFERROR(__xludf.DUMMYFUNCTION("""COMPUTED_VALUE"""),45327.0)</f>
        <v>45327</v>
      </c>
      <c r="B209" s="9">
        <f>IFERROR(__xludf.DUMMYFUNCTION("""COMPUTED_VALUE"""),43.0)</f>
        <v>43</v>
      </c>
      <c r="C209" s="9">
        <f>IFERROR(__xludf.DUMMYFUNCTION("""COMPUTED_VALUE"""),211.0)</f>
        <v>211</v>
      </c>
      <c r="D209" s="9">
        <f>IFERROR(__xludf.DUMMYFUNCTION("""COMPUTED_VALUE"""),5.0)</f>
        <v>5</v>
      </c>
      <c r="E209" s="9">
        <f>IFERROR(__xludf.DUMMYFUNCTION("""COMPUTED_VALUE"""),4607.0)</f>
        <v>4607</v>
      </c>
      <c r="F209" s="9">
        <f>IFERROR(__xludf.DUMMYFUNCTION("""COMPUTED_VALUE"""),107.0)</f>
        <v>107</v>
      </c>
      <c r="G209" s="9">
        <f>IFERROR(__xludf.DUMMYFUNCTION("""COMPUTED_VALUE"""),0.0)</f>
        <v>0</v>
      </c>
      <c r="H209" s="9"/>
      <c r="I209" s="9">
        <f>IFERROR(__xludf.DUMMYFUNCTION("""COMPUTED_VALUE"""),28.0)</f>
        <v>28</v>
      </c>
      <c r="J209" s="9">
        <f>IFERROR(__xludf.DUMMYFUNCTION("""COMPUTED_VALUE"""),6.0)</f>
        <v>6</v>
      </c>
      <c r="K209" s="9">
        <f>IFERROR(__xludf.DUMMYFUNCTION("""COMPUTED_VALUE"""),1.0)</f>
        <v>1</v>
      </c>
      <c r="L209" s="9">
        <f>IFERROR(__xludf.DUMMYFUNCTION("""COMPUTED_VALUE"""),0.0)</f>
        <v>0</v>
      </c>
      <c r="M209" s="9">
        <f>IFERROR(__xludf.DUMMYFUNCTION("""COMPUTED_VALUE"""),35.0)</f>
        <v>35</v>
      </c>
      <c r="N209" s="9">
        <f>IFERROR(__xludf.DUMMYFUNCTION("""COMPUTED_VALUE"""),32.0)</f>
        <v>32</v>
      </c>
      <c r="O209" s="9">
        <f>IFERROR(__xludf.DUMMYFUNCTION("""COMPUTED_VALUE"""),0.0)</f>
        <v>0</v>
      </c>
      <c r="P209" s="9">
        <f>IFERROR(__xludf.DUMMYFUNCTION("""COMPUTED_VALUE"""),11.0)</f>
        <v>11</v>
      </c>
      <c r="Q209" s="9">
        <f>IFERROR(__xludf.DUMMYFUNCTION("""COMPUTED_VALUE"""),17.0)</f>
        <v>17</v>
      </c>
      <c r="R209" s="9">
        <f>IFERROR(__xludf.DUMMYFUNCTION("""COMPUTED_VALUE"""),8.0)</f>
        <v>8</v>
      </c>
      <c r="S209" s="9">
        <f>IFERROR(__xludf.DUMMYFUNCTION("""COMPUTED_VALUE"""),30.0)</f>
        <v>30</v>
      </c>
      <c r="T209" s="9">
        <f>IFERROR(__xludf.DUMMYFUNCTION("""COMPUTED_VALUE"""),2.0)</f>
        <v>2</v>
      </c>
      <c r="U209" s="9">
        <f>IFERROR(__xludf.DUMMYFUNCTION("""COMPUTED_VALUE"""),0.0)</f>
        <v>0</v>
      </c>
      <c r="V209" s="9">
        <f>IFERROR(__xludf.DUMMYFUNCTION("""COMPUTED_VALUE"""),25.0)</f>
        <v>25</v>
      </c>
      <c r="W209" s="9">
        <f>IFERROR(__xludf.DUMMYFUNCTION("""COMPUTED_VALUE"""),0.0)</f>
        <v>0</v>
      </c>
      <c r="X209" s="9">
        <f>IFERROR(__xludf.DUMMYFUNCTION("""COMPUTED_VALUE"""),53.0)</f>
        <v>53</v>
      </c>
      <c r="Y209" s="9">
        <f>IFERROR(__xludf.DUMMYFUNCTION("""COMPUTED_VALUE"""),32.0)</f>
        <v>32</v>
      </c>
      <c r="Z209" s="9">
        <f>IFERROR(__xludf.DUMMYFUNCTION("""COMPUTED_VALUE"""),2.0)</f>
        <v>2</v>
      </c>
      <c r="AA209" s="9">
        <f>IFERROR(__xludf.DUMMYFUNCTION("""COMPUTED_VALUE"""),0.0)</f>
        <v>0</v>
      </c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  <c r="TB209" s="9"/>
      <c r="TC209" s="9"/>
      <c r="TD209" s="9"/>
      <c r="TE209" s="9"/>
      <c r="TF209" s="9"/>
      <c r="TG209" s="9"/>
      <c r="TH209" s="9"/>
      <c r="TI209" s="9"/>
      <c r="TJ209" s="9"/>
      <c r="TK209" s="9"/>
      <c r="TL209" s="9"/>
      <c r="TM209" s="9"/>
      <c r="TN209" s="9"/>
      <c r="TO209" s="9"/>
      <c r="TP209" s="9"/>
      <c r="TQ209" s="9"/>
      <c r="TR209" s="9"/>
      <c r="TS209" s="9"/>
      <c r="TT209" s="9"/>
      <c r="TU209" s="9"/>
      <c r="TV209" s="9"/>
      <c r="TW209" s="9"/>
      <c r="TX209" s="9"/>
      <c r="TY209" s="9"/>
      <c r="TZ209" s="9"/>
      <c r="UA209" s="9"/>
      <c r="UB209" s="9"/>
      <c r="UC209" s="9"/>
      <c r="UD209" s="9"/>
      <c r="UE209" s="9"/>
      <c r="UF209" s="9"/>
      <c r="UG209" s="9"/>
      <c r="UH209" s="9"/>
      <c r="UI209" s="9"/>
      <c r="UJ209" s="9"/>
    </row>
    <row r="210">
      <c r="A210" s="8">
        <f>IFERROR(__xludf.DUMMYFUNCTION("""COMPUTED_VALUE"""),45328.0)</f>
        <v>45328</v>
      </c>
      <c r="B210" s="9">
        <f>IFERROR(__xludf.DUMMYFUNCTION("""COMPUTED_VALUE"""),45.0)</f>
        <v>45</v>
      </c>
      <c r="C210" s="9">
        <f>IFERROR(__xludf.DUMMYFUNCTION("""COMPUTED_VALUE"""),176.0)</f>
        <v>176</v>
      </c>
      <c r="D210" s="9">
        <f>IFERROR(__xludf.DUMMYFUNCTION("""COMPUTED_VALUE"""),4.0)</f>
        <v>4</v>
      </c>
      <c r="E210" s="9">
        <f>IFERROR(__xludf.DUMMYFUNCTION("""COMPUTED_VALUE"""),3335.0)</f>
        <v>3335</v>
      </c>
      <c r="F210" s="9">
        <f>IFERROR(__xludf.DUMMYFUNCTION("""COMPUTED_VALUE"""),74.0)</f>
        <v>74</v>
      </c>
      <c r="G210" s="9">
        <f>IFERROR(__xludf.DUMMYFUNCTION("""COMPUTED_VALUE"""),0.0)</f>
        <v>0</v>
      </c>
      <c r="H210" s="9"/>
      <c r="I210" s="9">
        <f>IFERROR(__xludf.DUMMYFUNCTION("""COMPUTED_VALUE"""),27.0)</f>
        <v>27</v>
      </c>
      <c r="J210" s="9">
        <f>IFERROR(__xludf.DUMMYFUNCTION("""COMPUTED_VALUE"""),7.0)</f>
        <v>7</v>
      </c>
      <c r="K210" s="9">
        <f>IFERROR(__xludf.DUMMYFUNCTION("""COMPUTED_VALUE"""),0.0)</f>
        <v>0</v>
      </c>
      <c r="L210" s="9">
        <f>IFERROR(__xludf.DUMMYFUNCTION("""COMPUTED_VALUE"""),1.0)</f>
        <v>1</v>
      </c>
      <c r="M210" s="9">
        <f>IFERROR(__xludf.DUMMYFUNCTION("""COMPUTED_VALUE"""),35.0)</f>
        <v>35</v>
      </c>
      <c r="N210" s="9">
        <f>IFERROR(__xludf.DUMMYFUNCTION("""COMPUTED_VALUE"""),27.0)</f>
        <v>27</v>
      </c>
      <c r="O210" s="9">
        <f>IFERROR(__xludf.DUMMYFUNCTION("""COMPUTED_VALUE"""),0.0)</f>
        <v>0</v>
      </c>
      <c r="P210" s="9">
        <f>IFERROR(__xludf.DUMMYFUNCTION("""COMPUTED_VALUE"""),17.0)</f>
        <v>17</v>
      </c>
      <c r="Q210" s="9">
        <f>IFERROR(__xludf.DUMMYFUNCTION("""COMPUTED_VALUE"""),17.0)</f>
        <v>17</v>
      </c>
      <c r="R210" s="9">
        <f>IFERROR(__xludf.DUMMYFUNCTION("""COMPUTED_VALUE"""),13.0)</f>
        <v>13</v>
      </c>
      <c r="S210" s="9">
        <f>IFERROR(__xludf.DUMMYFUNCTION("""COMPUTED_VALUE"""),8.0)</f>
        <v>8</v>
      </c>
      <c r="T210" s="9">
        <f>IFERROR(__xludf.DUMMYFUNCTION("""COMPUTED_VALUE"""),0.0)</f>
        <v>0</v>
      </c>
      <c r="U210" s="9">
        <f>IFERROR(__xludf.DUMMYFUNCTION("""COMPUTED_VALUE"""),0.0)</f>
        <v>0</v>
      </c>
      <c r="V210" s="9">
        <f>IFERROR(__xludf.DUMMYFUNCTION("""COMPUTED_VALUE"""),30.0)</f>
        <v>30</v>
      </c>
      <c r="W210" s="9">
        <f>IFERROR(__xludf.DUMMYFUNCTION("""COMPUTED_VALUE"""),0.0)</f>
        <v>0</v>
      </c>
      <c r="X210" s="9">
        <f>IFERROR(__xludf.DUMMYFUNCTION("""COMPUTED_VALUE"""),35.0)</f>
        <v>35</v>
      </c>
      <c r="Y210" s="9">
        <f>IFERROR(__xludf.DUMMYFUNCTION("""COMPUTED_VALUE"""),35.0)</f>
        <v>35</v>
      </c>
      <c r="Z210" s="9">
        <f>IFERROR(__xludf.DUMMYFUNCTION("""COMPUTED_VALUE"""),0.0)</f>
        <v>0</v>
      </c>
      <c r="AA210" s="9">
        <f>IFERROR(__xludf.DUMMYFUNCTION("""COMPUTED_VALUE"""),0.0)</f>
        <v>0</v>
      </c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  <c r="LI210" s="9"/>
      <c r="LJ210" s="9"/>
      <c r="LK210" s="9"/>
      <c r="LL210" s="9"/>
      <c r="LM210" s="9"/>
      <c r="LN210" s="9"/>
      <c r="LO210" s="9"/>
      <c r="LP210" s="9"/>
      <c r="LQ210" s="9"/>
      <c r="LR210" s="9"/>
      <c r="LS210" s="9"/>
      <c r="LT210" s="9"/>
      <c r="LU210" s="9"/>
      <c r="LV210" s="9"/>
      <c r="LW210" s="9"/>
      <c r="LX210" s="9"/>
      <c r="LY210" s="9"/>
      <c r="LZ210" s="9"/>
      <c r="MA210" s="9"/>
      <c r="MB210" s="9"/>
      <c r="MC210" s="9"/>
      <c r="MD210" s="9"/>
      <c r="ME210" s="9"/>
      <c r="MF210" s="9"/>
      <c r="MG210" s="9"/>
      <c r="MH210" s="9"/>
      <c r="MI210" s="9"/>
      <c r="MJ210" s="9"/>
      <c r="MK210" s="9"/>
      <c r="ML210" s="9"/>
      <c r="MM210" s="9"/>
      <c r="MN210" s="9"/>
      <c r="MO210" s="9"/>
      <c r="MP210" s="9"/>
      <c r="MQ210" s="9"/>
      <c r="MR210" s="9"/>
      <c r="MS210" s="9"/>
      <c r="MT210" s="9"/>
      <c r="MU210" s="9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  <c r="PG210" s="9"/>
      <c r="PH210" s="9"/>
      <c r="PI210" s="9"/>
      <c r="PJ210" s="9"/>
      <c r="PK210" s="9"/>
      <c r="PL210" s="9"/>
      <c r="PM210" s="9"/>
      <c r="PN210" s="9"/>
      <c r="PO210" s="9"/>
      <c r="PP210" s="9"/>
      <c r="PQ210" s="9"/>
      <c r="PR210" s="9"/>
      <c r="PS210" s="9"/>
      <c r="PT210" s="9"/>
      <c r="PU210" s="9"/>
      <c r="PV210" s="9"/>
      <c r="PW210" s="9"/>
      <c r="PX210" s="9"/>
      <c r="PY210" s="9"/>
      <c r="PZ210" s="9"/>
      <c r="QA210" s="9"/>
      <c r="QB210" s="9"/>
      <c r="QC210" s="9"/>
      <c r="QD210" s="9"/>
      <c r="QE210" s="9"/>
      <c r="QF210" s="9"/>
      <c r="QG210" s="9"/>
      <c r="QH210" s="9"/>
      <c r="QI210" s="9"/>
      <c r="QJ210" s="9"/>
      <c r="QK210" s="9"/>
      <c r="QL210" s="9"/>
      <c r="QM210" s="9"/>
      <c r="QN210" s="9"/>
      <c r="QO210" s="9"/>
      <c r="QP210" s="9"/>
      <c r="QQ210" s="9"/>
      <c r="QR210" s="9"/>
      <c r="QS210" s="9"/>
      <c r="QT210" s="9"/>
      <c r="QU210" s="9"/>
      <c r="QV210" s="9"/>
      <c r="QW210" s="9"/>
      <c r="QX210" s="9"/>
      <c r="QY210" s="9"/>
      <c r="QZ210" s="9"/>
      <c r="RA210" s="9"/>
      <c r="RB210" s="9"/>
      <c r="RC210" s="9"/>
      <c r="RD210" s="9"/>
      <c r="RE210" s="9"/>
      <c r="RF210" s="9"/>
      <c r="RG210" s="9"/>
      <c r="RH210" s="9"/>
      <c r="RI210" s="9"/>
      <c r="RJ210" s="9"/>
      <c r="RK210" s="9"/>
      <c r="RL210" s="9"/>
      <c r="RM210" s="9"/>
      <c r="RN210" s="9"/>
      <c r="RO210" s="9"/>
      <c r="RP210" s="9"/>
      <c r="RQ210" s="9"/>
      <c r="RR210" s="9"/>
      <c r="RS210" s="9"/>
      <c r="RT210" s="9"/>
      <c r="RU210" s="9"/>
      <c r="RV210" s="9"/>
      <c r="RW210" s="9"/>
      <c r="RX210" s="9"/>
      <c r="RY210" s="9"/>
      <c r="RZ210" s="9"/>
      <c r="SA210" s="9"/>
      <c r="SB210" s="9"/>
      <c r="SC210" s="9"/>
      <c r="SD210" s="9"/>
      <c r="SE210" s="9"/>
      <c r="SF210" s="9"/>
      <c r="SG210" s="9"/>
      <c r="SH210" s="9"/>
      <c r="SI210" s="9"/>
      <c r="SJ210" s="9"/>
      <c r="SK210" s="9"/>
      <c r="SL210" s="9"/>
      <c r="SM210" s="9"/>
      <c r="SN210" s="9"/>
      <c r="SO210" s="9"/>
      <c r="SP210" s="9"/>
      <c r="SQ210" s="9"/>
      <c r="SR210" s="9"/>
      <c r="SS210" s="9"/>
      <c r="ST210" s="9"/>
      <c r="SU210" s="9"/>
      <c r="SV210" s="9"/>
      <c r="SW210" s="9"/>
      <c r="SX210" s="9"/>
      <c r="SY210" s="9"/>
      <c r="SZ210" s="9"/>
      <c r="TA210" s="9"/>
      <c r="TB210" s="9"/>
      <c r="TC210" s="9"/>
      <c r="TD210" s="9"/>
      <c r="TE210" s="9"/>
      <c r="TF210" s="9"/>
      <c r="TG210" s="9"/>
      <c r="TH210" s="9"/>
      <c r="TI210" s="9"/>
      <c r="TJ210" s="9"/>
      <c r="TK210" s="9"/>
      <c r="TL210" s="9"/>
      <c r="TM210" s="9"/>
      <c r="TN210" s="9"/>
      <c r="TO210" s="9"/>
      <c r="TP210" s="9"/>
      <c r="TQ210" s="9"/>
      <c r="TR210" s="9"/>
      <c r="TS210" s="9"/>
      <c r="TT210" s="9"/>
      <c r="TU210" s="9"/>
      <c r="TV210" s="9"/>
      <c r="TW210" s="9"/>
      <c r="TX210" s="9"/>
      <c r="TY210" s="9"/>
      <c r="TZ210" s="9"/>
      <c r="UA210" s="9"/>
      <c r="UB210" s="9"/>
      <c r="UC210" s="9"/>
      <c r="UD210" s="9"/>
      <c r="UE210" s="9"/>
      <c r="UF210" s="9"/>
      <c r="UG210" s="9"/>
      <c r="UH210" s="9"/>
      <c r="UI210" s="9"/>
      <c r="UJ210" s="9"/>
    </row>
    <row r="211">
      <c r="A211" s="8">
        <f>IFERROR(__xludf.DUMMYFUNCTION("""COMPUTED_VALUE"""),45329.0)</f>
        <v>45329</v>
      </c>
      <c r="B211" s="9">
        <f>IFERROR(__xludf.DUMMYFUNCTION("""COMPUTED_VALUE"""),44.0)</f>
        <v>44</v>
      </c>
      <c r="C211" s="9">
        <f>IFERROR(__xludf.DUMMYFUNCTION("""COMPUTED_VALUE"""),189.0)</f>
        <v>189</v>
      </c>
      <c r="D211" s="9">
        <f>IFERROR(__xludf.DUMMYFUNCTION("""COMPUTED_VALUE"""),4.0)</f>
        <v>4</v>
      </c>
      <c r="E211" s="9">
        <f>IFERROR(__xludf.DUMMYFUNCTION("""COMPUTED_VALUE"""),4069.0)</f>
        <v>4069</v>
      </c>
      <c r="F211" s="9">
        <f>IFERROR(__xludf.DUMMYFUNCTION("""COMPUTED_VALUE"""),92.0)</f>
        <v>92</v>
      </c>
      <c r="G211" s="9">
        <f>IFERROR(__xludf.DUMMYFUNCTION("""COMPUTED_VALUE"""),0.0)</f>
        <v>0</v>
      </c>
      <c r="H211" s="9"/>
      <c r="I211" s="9">
        <f>IFERROR(__xludf.DUMMYFUNCTION("""COMPUTED_VALUE"""),31.0)</f>
        <v>31</v>
      </c>
      <c r="J211" s="9">
        <f>IFERROR(__xludf.DUMMYFUNCTION("""COMPUTED_VALUE"""),5.0)</f>
        <v>5</v>
      </c>
      <c r="K211" s="9">
        <f>IFERROR(__xludf.DUMMYFUNCTION("""COMPUTED_VALUE"""),1.0)</f>
        <v>1</v>
      </c>
      <c r="L211" s="9">
        <f>IFERROR(__xludf.DUMMYFUNCTION("""COMPUTED_VALUE"""),0.0)</f>
        <v>0</v>
      </c>
      <c r="M211" s="9">
        <f>IFERROR(__xludf.DUMMYFUNCTION("""COMPUTED_VALUE"""),37.0)</f>
        <v>37</v>
      </c>
      <c r="N211" s="9">
        <f>IFERROR(__xludf.DUMMYFUNCTION("""COMPUTED_VALUE"""),38.0)</f>
        <v>38</v>
      </c>
      <c r="O211" s="9">
        <f>IFERROR(__xludf.DUMMYFUNCTION("""COMPUTED_VALUE"""),0.0)</f>
        <v>0</v>
      </c>
      <c r="P211" s="9">
        <f>IFERROR(__xludf.DUMMYFUNCTION("""COMPUTED_VALUE"""),6.0)</f>
        <v>6</v>
      </c>
      <c r="Q211" s="9">
        <f>IFERROR(__xludf.DUMMYFUNCTION("""COMPUTED_VALUE"""),24.0)</f>
        <v>24</v>
      </c>
      <c r="R211" s="9">
        <f>IFERROR(__xludf.DUMMYFUNCTION("""COMPUTED_VALUE"""),5.0)</f>
        <v>5</v>
      </c>
      <c r="S211" s="9">
        <f>IFERROR(__xludf.DUMMYFUNCTION("""COMPUTED_VALUE"""),29.0)</f>
        <v>29</v>
      </c>
      <c r="T211" s="9">
        <f>IFERROR(__xludf.DUMMYFUNCTION("""COMPUTED_VALUE"""),2.0)</f>
        <v>2</v>
      </c>
      <c r="U211" s="9">
        <f>IFERROR(__xludf.DUMMYFUNCTION("""COMPUTED_VALUE"""),0.0)</f>
        <v>0</v>
      </c>
      <c r="V211" s="9">
        <f>IFERROR(__xludf.DUMMYFUNCTION("""COMPUTED_VALUE"""),29.0)</f>
        <v>29</v>
      </c>
      <c r="W211" s="9">
        <f>IFERROR(__xludf.DUMMYFUNCTION("""COMPUTED_VALUE"""),0.0)</f>
        <v>0</v>
      </c>
      <c r="X211" s="9">
        <f>IFERROR(__xludf.DUMMYFUNCTION("""COMPUTED_VALUE"""),32.0)</f>
        <v>32</v>
      </c>
      <c r="Y211" s="9">
        <f>IFERROR(__xludf.DUMMYFUNCTION("""COMPUTED_VALUE"""),33.0)</f>
        <v>33</v>
      </c>
      <c r="Z211" s="9">
        <f>IFERROR(__xludf.DUMMYFUNCTION("""COMPUTED_VALUE"""),2.0)</f>
        <v>2</v>
      </c>
      <c r="AA211" s="9">
        <f>IFERROR(__xludf.DUMMYFUNCTION("""COMPUTED_VALUE"""),0.0)</f>
        <v>0</v>
      </c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</row>
    <row r="212">
      <c r="A212" s="8">
        <f>IFERROR(__xludf.DUMMYFUNCTION("""COMPUTED_VALUE"""),45330.0)</f>
        <v>45330</v>
      </c>
      <c r="B212" s="9">
        <f>IFERROR(__xludf.DUMMYFUNCTION("""COMPUTED_VALUE"""),52.0)</f>
        <v>52</v>
      </c>
      <c r="C212" s="9">
        <f>IFERROR(__xludf.DUMMYFUNCTION("""COMPUTED_VALUE"""),200.0)</f>
        <v>200</v>
      </c>
      <c r="D212" s="9">
        <f>IFERROR(__xludf.DUMMYFUNCTION("""COMPUTED_VALUE"""),4.0)</f>
        <v>4</v>
      </c>
      <c r="E212" s="9">
        <f>IFERROR(__xludf.DUMMYFUNCTION("""COMPUTED_VALUE"""),3725.0)</f>
        <v>3725</v>
      </c>
      <c r="F212" s="9">
        <f>IFERROR(__xludf.DUMMYFUNCTION("""COMPUTED_VALUE"""),72.0)</f>
        <v>72</v>
      </c>
      <c r="G212" s="9">
        <f>IFERROR(__xludf.DUMMYFUNCTION("""COMPUTED_VALUE"""),0.0)</f>
        <v>0</v>
      </c>
      <c r="H212" s="9"/>
      <c r="I212" s="9">
        <f>IFERROR(__xludf.DUMMYFUNCTION("""COMPUTED_VALUE"""),33.0)</f>
        <v>33</v>
      </c>
      <c r="J212" s="9">
        <f>IFERROR(__xludf.DUMMYFUNCTION("""COMPUTED_VALUE"""),8.0)</f>
        <v>8</v>
      </c>
      <c r="K212" s="9">
        <f>IFERROR(__xludf.DUMMYFUNCTION("""COMPUTED_VALUE"""),1.0)</f>
        <v>1</v>
      </c>
      <c r="L212" s="9">
        <f>IFERROR(__xludf.DUMMYFUNCTION("""COMPUTED_VALUE"""),0.0)</f>
        <v>0</v>
      </c>
      <c r="M212" s="9">
        <f>IFERROR(__xludf.DUMMYFUNCTION("""COMPUTED_VALUE"""),42.0)</f>
        <v>42</v>
      </c>
      <c r="N212" s="9">
        <f>IFERROR(__xludf.DUMMYFUNCTION("""COMPUTED_VALUE"""),41.0)</f>
        <v>41</v>
      </c>
      <c r="O212" s="9">
        <f>IFERROR(__xludf.DUMMYFUNCTION("""COMPUTED_VALUE"""),0.0)</f>
        <v>0</v>
      </c>
      <c r="P212" s="9">
        <f>IFERROR(__xludf.DUMMYFUNCTION("""COMPUTED_VALUE"""),11.0)</f>
        <v>11</v>
      </c>
      <c r="Q212" s="9">
        <f>IFERROR(__xludf.DUMMYFUNCTION("""COMPUTED_VALUE"""),28.0)</f>
        <v>28</v>
      </c>
      <c r="R212" s="9">
        <f>IFERROR(__xludf.DUMMYFUNCTION("""COMPUTED_VALUE"""),5.0)</f>
        <v>5</v>
      </c>
      <c r="S212" s="9">
        <f>IFERROR(__xludf.DUMMYFUNCTION("""COMPUTED_VALUE"""),11.0)</f>
        <v>11</v>
      </c>
      <c r="T212" s="9">
        <f>IFERROR(__xludf.DUMMYFUNCTION("""COMPUTED_VALUE"""),3.0)</f>
        <v>3</v>
      </c>
      <c r="U212" s="9">
        <f>IFERROR(__xludf.DUMMYFUNCTION("""COMPUTED_VALUE"""),0.0)</f>
        <v>0</v>
      </c>
      <c r="V212" s="9">
        <f>IFERROR(__xludf.DUMMYFUNCTION("""COMPUTED_VALUE"""),33.0)</f>
        <v>33</v>
      </c>
      <c r="W212" s="9">
        <f>IFERROR(__xludf.DUMMYFUNCTION("""COMPUTED_VALUE"""),1.0)</f>
        <v>1</v>
      </c>
      <c r="X212" s="9">
        <f>IFERROR(__xludf.DUMMYFUNCTION("""COMPUTED_VALUE"""),37.0)</f>
        <v>37</v>
      </c>
      <c r="Y212" s="9">
        <f>IFERROR(__xludf.DUMMYFUNCTION("""COMPUTED_VALUE"""),38.0)</f>
        <v>38</v>
      </c>
      <c r="Z212" s="9">
        <f>IFERROR(__xludf.DUMMYFUNCTION("""COMPUTED_VALUE"""),4.0)</f>
        <v>4</v>
      </c>
      <c r="AA212" s="9">
        <f>IFERROR(__xludf.DUMMYFUNCTION("""COMPUTED_VALUE"""),0.0)</f>
        <v>0</v>
      </c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  <c r="JX212" s="9"/>
      <c r="JY212" s="9"/>
      <c r="JZ212" s="9"/>
      <c r="KA212" s="9"/>
      <c r="KB212" s="9"/>
      <c r="KC212" s="9"/>
      <c r="KD212" s="9"/>
      <c r="KE212" s="9"/>
      <c r="KF212" s="9"/>
      <c r="KG212" s="9"/>
      <c r="KH212" s="9"/>
      <c r="KI212" s="9"/>
      <c r="KJ212" s="9"/>
      <c r="KK212" s="9"/>
      <c r="KL212" s="9"/>
      <c r="KM212" s="9"/>
      <c r="KN212" s="9"/>
      <c r="KO212" s="9"/>
      <c r="KP212" s="9"/>
      <c r="KQ212" s="9"/>
      <c r="KR212" s="9"/>
      <c r="KS212" s="9"/>
      <c r="KT212" s="9"/>
      <c r="KU212" s="9"/>
      <c r="KV212" s="9"/>
      <c r="KW212" s="9"/>
      <c r="KX212" s="9"/>
      <c r="KY212" s="9"/>
      <c r="KZ212" s="9"/>
      <c r="LA212" s="9"/>
      <c r="LB212" s="9"/>
      <c r="LC212" s="9"/>
      <c r="LD212" s="9"/>
      <c r="LE212" s="9"/>
      <c r="LF212" s="9"/>
      <c r="LG212" s="9"/>
      <c r="LH212" s="9"/>
      <c r="LI212" s="9"/>
      <c r="LJ212" s="9"/>
      <c r="LK212" s="9"/>
      <c r="LL212" s="9"/>
      <c r="LM212" s="9"/>
      <c r="LN212" s="9"/>
      <c r="LO212" s="9"/>
      <c r="LP212" s="9"/>
      <c r="LQ212" s="9"/>
      <c r="LR212" s="9"/>
      <c r="LS212" s="9"/>
      <c r="LT212" s="9"/>
      <c r="LU212" s="9"/>
      <c r="LV212" s="9"/>
      <c r="LW212" s="9"/>
      <c r="LX212" s="9"/>
      <c r="LY212" s="9"/>
      <c r="LZ212" s="9"/>
      <c r="MA212" s="9"/>
      <c r="MB212" s="9"/>
      <c r="MC212" s="9"/>
      <c r="MD212" s="9"/>
      <c r="ME212" s="9"/>
      <c r="MF212" s="9"/>
      <c r="MG212" s="9"/>
      <c r="MH212" s="9"/>
      <c r="MI212" s="9"/>
      <c r="MJ212" s="9"/>
      <c r="MK212" s="9"/>
      <c r="ML212" s="9"/>
      <c r="MM212" s="9"/>
      <c r="MN212" s="9"/>
      <c r="MO212" s="9"/>
      <c r="MP212" s="9"/>
      <c r="MQ212" s="9"/>
      <c r="MR212" s="9"/>
      <c r="MS212" s="9"/>
      <c r="MT212" s="9"/>
      <c r="MU212" s="9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  <c r="PG212" s="9"/>
      <c r="PH212" s="9"/>
      <c r="PI212" s="9"/>
      <c r="PJ212" s="9"/>
      <c r="PK212" s="9"/>
      <c r="PL212" s="9"/>
      <c r="PM212" s="9"/>
      <c r="PN212" s="9"/>
      <c r="PO212" s="9"/>
      <c r="PP212" s="9"/>
      <c r="PQ212" s="9"/>
      <c r="PR212" s="9"/>
      <c r="PS212" s="9"/>
      <c r="PT212" s="9"/>
      <c r="PU212" s="9"/>
      <c r="PV212" s="9"/>
      <c r="PW212" s="9"/>
      <c r="PX212" s="9"/>
      <c r="PY212" s="9"/>
      <c r="PZ212" s="9"/>
      <c r="QA212" s="9"/>
      <c r="QB212" s="9"/>
      <c r="QC212" s="9"/>
      <c r="QD212" s="9"/>
      <c r="QE212" s="9"/>
      <c r="QF212" s="9"/>
      <c r="QG212" s="9"/>
      <c r="QH212" s="9"/>
      <c r="QI212" s="9"/>
      <c r="QJ212" s="9"/>
      <c r="QK212" s="9"/>
      <c r="QL212" s="9"/>
      <c r="QM212" s="9"/>
      <c r="QN212" s="9"/>
      <c r="QO212" s="9"/>
      <c r="QP212" s="9"/>
      <c r="QQ212" s="9"/>
      <c r="QR212" s="9"/>
      <c r="QS212" s="9"/>
      <c r="QT212" s="9"/>
      <c r="QU212" s="9"/>
      <c r="QV212" s="9"/>
      <c r="QW212" s="9"/>
      <c r="QX212" s="9"/>
      <c r="QY212" s="9"/>
      <c r="QZ212" s="9"/>
      <c r="RA212" s="9"/>
      <c r="RB212" s="9"/>
      <c r="RC212" s="9"/>
      <c r="RD212" s="9"/>
      <c r="RE212" s="9"/>
      <c r="RF212" s="9"/>
      <c r="RG212" s="9"/>
      <c r="RH212" s="9"/>
      <c r="RI212" s="9"/>
      <c r="RJ212" s="9"/>
      <c r="RK212" s="9"/>
      <c r="RL212" s="9"/>
      <c r="RM212" s="9"/>
      <c r="RN212" s="9"/>
      <c r="RO212" s="9"/>
      <c r="RP212" s="9"/>
      <c r="RQ212" s="9"/>
      <c r="RR212" s="9"/>
      <c r="RS212" s="9"/>
      <c r="RT212" s="9"/>
      <c r="RU212" s="9"/>
      <c r="RV212" s="9"/>
      <c r="RW212" s="9"/>
      <c r="RX212" s="9"/>
      <c r="RY212" s="9"/>
      <c r="RZ212" s="9"/>
      <c r="SA212" s="9"/>
      <c r="SB212" s="9"/>
      <c r="SC212" s="9"/>
      <c r="SD212" s="9"/>
      <c r="SE212" s="9"/>
      <c r="SF212" s="9"/>
      <c r="SG212" s="9"/>
      <c r="SH212" s="9"/>
      <c r="SI212" s="9"/>
      <c r="SJ212" s="9"/>
      <c r="SK212" s="9"/>
      <c r="SL212" s="9"/>
      <c r="SM212" s="9"/>
      <c r="SN212" s="9"/>
      <c r="SO212" s="9"/>
      <c r="SP212" s="9"/>
      <c r="SQ212" s="9"/>
      <c r="SR212" s="9"/>
      <c r="SS212" s="9"/>
      <c r="ST212" s="9"/>
      <c r="SU212" s="9"/>
      <c r="SV212" s="9"/>
      <c r="SW212" s="9"/>
      <c r="SX212" s="9"/>
      <c r="SY212" s="9"/>
      <c r="SZ212" s="9"/>
      <c r="TA212" s="9"/>
      <c r="TB212" s="9"/>
      <c r="TC212" s="9"/>
      <c r="TD212" s="9"/>
      <c r="TE212" s="9"/>
      <c r="TF212" s="9"/>
      <c r="TG212" s="9"/>
      <c r="TH212" s="9"/>
      <c r="TI212" s="9"/>
      <c r="TJ212" s="9"/>
      <c r="TK212" s="9"/>
      <c r="TL212" s="9"/>
      <c r="TM212" s="9"/>
      <c r="TN212" s="9"/>
      <c r="TO212" s="9"/>
      <c r="TP212" s="9"/>
      <c r="TQ212" s="9"/>
      <c r="TR212" s="9"/>
      <c r="TS212" s="9"/>
      <c r="TT212" s="9"/>
      <c r="TU212" s="9"/>
      <c r="TV212" s="9"/>
      <c r="TW212" s="9"/>
      <c r="TX212" s="9"/>
      <c r="TY212" s="9"/>
      <c r="TZ212" s="9"/>
      <c r="UA212" s="9"/>
      <c r="UB212" s="9"/>
      <c r="UC212" s="9"/>
      <c r="UD212" s="9"/>
      <c r="UE212" s="9"/>
      <c r="UF212" s="9"/>
      <c r="UG212" s="9"/>
      <c r="UH212" s="9"/>
      <c r="UI212" s="9"/>
      <c r="UJ212" s="9"/>
    </row>
    <row r="213">
      <c r="A213" s="8">
        <f>IFERROR(__xludf.DUMMYFUNCTION("""COMPUTED_VALUE"""),45331.0)</f>
        <v>45331</v>
      </c>
      <c r="B213" s="9">
        <f>IFERROR(__xludf.DUMMYFUNCTION("""COMPUTED_VALUE"""),41.0)</f>
        <v>41</v>
      </c>
      <c r="C213" s="9">
        <f>IFERROR(__xludf.DUMMYFUNCTION("""COMPUTED_VALUE"""),182.0)</f>
        <v>182</v>
      </c>
      <c r="D213" s="9">
        <f>IFERROR(__xludf.DUMMYFUNCTION("""COMPUTED_VALUE"""),4.0)</f>
        <v>4</v>
      </c>
      <c r="E213" s="9">
        <f>IFERROR(__xludf.DUMMYFUNCTION("""COMPUTED_VALUE"""),3379.0)</f>
        <v>3379</v>
      </c>
      <c r="F213" s="9">
        <f>IFERROR(__xludf.DUMMYFUNCTION("""COMPUTED_VALUE"""),82.0)</f>
        <v>82</v>
      </c>
      <c r="G213" s="9">
        <f>IFERROR(__xludf.DUMMYFUNCTION("""COMPUTED_VALUE"""),0.0)</f>
        <v>0</v>
      </c>
      <c r="H213" s="9"/>
      <c r="I213" s="9">
        <f>IFERROR(__xludf.DUMMYFUNCTION("""COMPUTED_VALUE"""),26.0)</f>
        <v>26</v>
      </c>
      <c r="J213" s="9">
        <f>IFERROR(__xludf.DUMMYFUNCTION("""COMPUTED_VALUE"""),3.0)</f>
        <v>3</v>
      </c>
      <c r="K213" s="9">
        <f>IFERROR(__xludf.DUMMYFUNCTION("""COMPUTED_VALUE"""),3.0)</f>
        <v>3</v>
      </c>
      <c r="L213" s="9">
        <f>IFERROR(__xludf.DUMMYFUNCTION("""COMPUTED_VALUE"""),0.0)</f>
        <v>0</v>
      </c>
      <c r="M213" s="9">
        <f>IFERROR(__xludf.DUMMYFUNCTION("""COMPUTED_VALUE"""),32.0)</f>
        <v>32</v>
      </c>
      <c r="N213" s="9">
        <f>IFERROR(__xludf.DUMMYFUNCTION("""COMPUTED_VALUE"""),32.0)</f>
        <v>32</v>
      </c>
      <c r="O213" s="9">
        <f>IFERROR(__xludf.DUMMYFUNCTION("""COMPUTED_VALUE"""),0.0)</f>
        <v>0</v>
      </c>
      <c r="P213" s="9">
        <f>IFERROR(__xludf.DUMMYFUNCTION("""COMPUTED_VALUE"""),9.0)</f>
        <v>9</v>
      </c>
      <c r="Q213" s="9">
        <f>IFERROR(__xludf.DUMMYFUNCTION("""COMPUTED_VALUE"""),20.0)</f>
        <v>20</v>
      </c>
      <c r="R213" s="9">
        <f>IFERROR(__xludf.DUMMYFUNCTION("""COMPUTED_VALUE"""),4.0)</f>
        <v>4</v>
      </c>
      <c r="S213" s="9">
        <f>IFERROR(__xludf.DUMMYFUNCTION("""COMPUTED_VALUE"""),19.0)</f>
        <v>19</v>
      </c>
      <c r="T213" s="9">
        <f>IFERROR(__xludf.DUMMYFUNCTION("""COMPUTED_VALUE"""),4.0)</f>
        <v>4</v>
      </c>
      <c r="U213" s="9">
        <f>IFERROR(__xludf.DUMMYFUNCTION("""COMPUTED_VALUE"""),0.0)</f>
        <v>0</v>
      </c>
      <c r="V213" s="9">
        <f>IFERROR(__xludf.DUMMYFUNCTION("""COMPUTED_VALUE"""),24.0)</f>
        <v>24</v>
      </c>
      <c r="W213" s="9">
        <f>IFERROR(__xludf.DUMMYFUNCTION("""COMPUTED_VALUE"""),0.0)</f>
        <v>0</v>
      </c>
      <c r="X213" s="9">
        <f>IFERROR(__xludf.DUMMYFUNCTION("""COMPUTED_VALUE"""),37.0)</f>
        <v>37</v>
      </c>
      <c r="Y213" s="9">
        <f>IFERROR(__xludf.DUMMYFUNCTION("""COMPUTED_VALUE"""),30.0)</f>
        <v>30</v>
      </c>
      <c r="Z213" s="9">
        <f>IFERROR(__xludf.DUMMYFUNCTION("""COMPUTED_VALUE"""),3.0)</f>
        <v>3</v>
      </c>
      <c r="AA213" s="9">
        <f>IFERROR(__xludf.DUMMYFUNCTION("""COMPUTED_VALUE"""),0.0)</f>
        <v>0</v>
      </c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  <c r="TB213" s="9"/>
      <c r="TC213" s="9"/>
      <c r="TD213" s="9"/>
      <c r="TE213" s="9"/>
      <c r="TF213" s="9"/>
      <c r="TG213" s="9"/>
      <c r="TH213" s="9"/>
      <c r="TI213" s="9"/>
      <c r="TJ213" s="9"/>
      <c r="TK213" s="9"/>
      <c r="TL213" s="9"/>
      <c r="TM213" s="9"/>
      <c r="TN213" s="9"/>
      <c r="TO213" s="9"/>
      <c r="TP213" s="9"/>
      <c r="TQ213" s="9"/>
      <c r="TR213" s="9"/>
      <c r="TS213" s="9"/>
      <c r="TT213" s="9"/>
      <c r="TU213" s="9"/>
      <c r="TV213" s="9"/>
      <c r="TW213" s="9"/>
      <c r="TX213" s="9"/>
      <c r="TY213" s="9"/>
      <c r="TZ213" s="9"/>
      <c r="UA213" s="9"/>
      <c r="UB213" s="9"/>
      <c r="UC213" s="9"/>
      <c r="UD213" s="9"/>
      <c r="UE213" s="9"/>
      <c r="UF213" s="9"/>
      <c r="UG213" s="9"/>
      <c r="UH213" s="9"/>
      <c r="UI213" s="9"/>
      <c r="UJ213" s="9"/>
    </row>
    <row r="214">
      <c r="A214" s="8">
        <f>IFERROR(__xludf.DUMMYFUNCTION("""COMPUTED_VALUE"""),45332.0)</f>
        <v>45332</v>
      </c>
      <c r="B214" s="9">
        <f>IFERROR(__xludf.DUMMYFUNCTION("""COMPUTED_VALUE"""),14.0)</f>
        <v>14</v>
      </c>
      <c r="C214" s="9">
        <f>IFERROR(__xludf.DUMMYFUNCTION("""COMPUTED_VALUE"""),61.0)</f>
        <v>61</v>
      </c>
      <c r="D214" s="9">
        <f>IFERROR(__xludf.DUMMYFUNCTION("""COMPUTED_VALUE"""),4.0)</f>
        <v>4</v>
      </c>
      <c r="E214" s="9">
        <f>IFERROR(__xludf.DUMMYFUNCTION("""COMPUTED_VALUE"""),1099.0)</f>
        <v>1099</v>
      </c>
      <c r="F214" s="9">
        <f>IFERROR(__xludf.DUMMYFUNCTION("""COMPUTED_VALUE"""),78.0)</f>
        <v>78</v>
      </c>
      <c r="G214" s="9">
        <f>IFERROR(__xludf.DUMMYFUNCTION("""COMPUTED_VALUE"""),0.0)</f>
        <v>0</v>
      </c>
      <c r="H214" s="9"/>
      <c r="I214" s="9">
        <f>IFERROR(__xludf.DUMMYFUNCTION("""COMPUTED_VALUE"""),9.0)</f>
        <v>9</v>
      </c>
      <c r="J214" s="9">
        <f>IFERROR(__xludf.DUMMYFUNCTION("""COMPUTED_VALUE"""),1.0)</f>
        <v>1</v>
      </c>
      <c r="K214" s="9">
        <f>IFERROR(__xludf.DUMMYFUNCTION("""COMPUTED_VALUE"""),1.0)</f>
        <v>1</v>
      </c>
      <c r="L214" s="9">
        <f>IFERROR(__xludf.DUMMYFUNCTION("""COMPUTED_VALUE"""),0.0)</f>
        <v>0</v>
      </c>
      <c r="M214" s="9">
        <f>IFERROR(__xludf.DUMMYFUNCTION("""COMPUTED_VALUE"""),11.0)</f>
        <v>11</v>
      </c>
      <c r="N214" s="9">
        <f>IFERROR(__xludf.DUMMYFUNCTION("""COMPUTED_VALUE"""),5.0)</f>
        <v>5</v>
      </c>
      <c r="O214" s="9">
        <f>IFERROR(__xludf.DUMMYFUNCTION("""COMPUTED_VALUE"""),0.0)</f>
        <v>0</v>
      </c>
      <c r="P214" s="9">
        <f>IFERROR(__xludf.DUMMYFUNCTION("""COMPUTED_VALUE"""),9.0)</f>
        <v>9</v>
      </c>
      <c r="Q214" s="9">
        <f>IFERROR(__xludf.DUMMYFUNCTION("""COMPUTED_VALUE"""),5.0)</f>
        <v>5</v>
      </c>
      <c r="R214" s="9">
        <f>IFERROR(__xludf.DUMMYFUNCTION("""COMPUTED_VALUE"""),6.0)</f>
        <v>6</v>
      </c>
      <c r="S214" s="9">
        <f>IFERROR(__xludf.DUMMYFUNCTION("""COMPUTED_VALUE"""),1.0)</f>
        <v>1</v>
      </c>
      <c r="T214" s="9">
        <f>IFERROR(__xludf.DUMMYFUNCTION("""COMPUTED_VALUE"""),0.0)</f>
        <v>0</v>
      </c>
      <c r="U214" s="9">
        <f>IFERROR(__xludf.DUMMYFUNCTION("""COMPUTED_VALUE"""),0.0)</f>
        <v>0</v>
      </c>
      <c r="V214" s="9">
        <f>IFERROR(__xludf.DUMMYFUNCTION("""COMPUTED_VALUE"""),11.0)</f>
        <v>11</v>
      </c>
      <c r="W214" s="9">
        <f>IFERROR(__xludf.DUMMYFUNCTION("""COMPUTED_VALUE"""),0.0)</f>
        <v>0</v>
      </c>
      <c r="X214" s="9">
        <f>IFERROR(__xludf.DUMMYFUNCTION("""COMPUTED_VALUE"""),7.0)</f>
        <v>7</v>
      </c>
      <c r="Y214" s="9">
        <f>IFERROR(__xludf.DUMMYFUNCTION("""COMPUTED_VALUE"""),14.0)</f>
        <v>14</v>
      </c>
      <c r="Z214" s="9">
        <f>IFERROR(__xludf.DUMMYFUNCTION("""COMPUTED_VALUE"""),0.0)</f>
        <v>0</v>
      </c>
      <c r="AA214" s="9">
        <f>IFERROR(__xludf.DUMMYFUNCTION("""COMPUTED_VALUE"""),0.0)</f>
        <v>0</v>
      </c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  <c r="LI214" s="9"/>
      <c r="LJ214" s="9"/>
      <c r="LK214" s="9"/>
      <c r="LL214" s="9"/>
      <c r="LM214" s="9"/>
      <c r="LN214" s="9"/>
      <c r="LO214" s="9"/>
      <c r="LP214" s="9"/>
      <c r="LQ214" s="9"/>
      <c r="LR214" s="9"/>
      <c r="LS214" s="9"/>
      <c r="LT214" s="9"/>
      <c r="LU214" s="9"/>
      <c r="LV214" s="9"/>
      <c r="LW214" s="9"/>
      <c r="LX214" s="9"/>
      <c r="LY214" s="9"/>
      <c r="LZ214" s="9"/>
      <c r="MA214" s="9"/>
      <c r="MB214" s="9"/>
      <c r="MC214" s="9"/>
      <c r="MD214" s="9"/>
      <c r="ME214" s="9"/>
      <c r="MF214" s="9"/>
      <c r="MG214" s="9"/>
      <c r="MH214" s="9"/>
      <c r="MI214" s="9"/>
      <c r="MJ214" s="9"/>
      <c r="MK214" s="9"/>
      <c r="ML214" s="9"/>
      <c r="MM214" s="9"/>
      <c r="MN214" s="9"/>
      <c r="MO214" s="9"/>
      <c r="MP214" s="9"/>
      <c r="MQ214" s="9"/>
      <c r="MR214" s="9"/>
      <c r="MS214" s="9"/>
      <c r="MT214" s="9"/>
      <c r="MU214" s="9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  <c r="PG214" s="9"/>
      <c r="PH214" s="9"/>
      <c r="PI214" s="9"/>
      <c r="PJ214" s="9"/>
      <c r="PK214" s="9"/>
      <c r="PL214" s="9"/>
      <c r="PM214" s="9"/>
      <c r="PN214" s="9"/>
      <c r="PO214" s="9"/>
      <c r="PP214" s="9"/>
      <c r="PQ214" s="9"/>
      <c r="PR214" s="9"/>
      <c r="PS214" s="9"/>
      <c r="PT214" s="9"/>
      <c r="PU214" s="9"/>
      <c r="PV214" s="9"/>
      <c r="PW214" s="9"/>
      <c r="PX214" s="9"/>
      <c r="PY214" s="9"/>
      <c r="PZ214" s="9"/>
      <c r="QA214" s="9"/>
      <c r="QB214" s="9"/>
      <c r="QC214" s="9"/>
      <c r="QD214" s="9"/>
      <c r="QE214" s="9"/>
      <c r="QF214" s="9"/>
      <c r="QG214" s="9"/>
      <c r="QH214" s="9"/>
      <c r="QI214" s="9"/>
      <c r="QJ214" s="9"/>
      <c r="QK214" s="9"/>
      <c r="QL214" s="9"/>
      <c r="QM214" s="9"/>
      <c r="QN214" s="9"/>
      <c r="QO214" s="9"/>
      <c r="QP214" s="9"/>
      <c r="QQ214" s="9"/>
      <c r="QR214" s="9"/>
      <c r="QS214" s="9"/>
      <c r="QT214" s="9"/>
      <c r="QU214" s="9"/>
      <c r="QV214" s="9"/>
      <c r="QW214" s="9"/>
      <c r="QX214" s="9"/>
      <c r="QY214" s="9"/>
      <c r="QZ214" s="9"/>
      <c r="RA214" s="9"/>
      <c r="RB214" s="9"/>
      <c r="RC214" s="9"/>
      <c r="RD214" s="9"/>
      <c r="RE214" s="9"/>
      <c r="RF214" s="9"/>
      <c r="RG214" s="9"/>
      <c r="RH214" s="9"/>
      <c r="RI214" s="9"/>
      <c r="RJ214" s="9"/>
      <c r="RK214" s="9"/>
      <c r="RL214" s="9"/>
      <c r="RM214" s="9"/>
      <c r="RN214" s="9"/>
      <c r="RO214" s="9"/>
      <c r="RP214" s="9"/>
      <c r="RQ214" s="9"/>
      <c r="RR214" s="9"/>
      <c r="RS214" s="9"/>
      <c r="RT214" s="9"/>
      <c r="RU214" s="9"/>
      <c r="RV214" s="9"/>
      <c r="RW214" s="9"/>
      <c r="RX214" s="9"/>
      <c r="RY214" s="9"/>
      <c r="RZ214" s="9"/>
      <c r="SA214" s="9"/>
      <c r="SB214" s="9"/>
      <c r="SC214" s="9"/>
      <c r="SD214" s="9"/>
      <c r="SE214" s="9"/>
      <c r="SF214" s="9"/>
      <c r="SG214" s="9"/>
      <c r="SH214" s="9"/>
      <c r="SI214" s="9"/>
      <c r="SJ214" s="9"/>
      <c r="SK214" s="9"/>
      <c r="SL214" s="9"/>
      <c r="SM214" s="9"/>
      <c r="SN214" s="9"/>
      <c r="SO214" s="9"/>
      <c r="SP214" s="9"/>
      <c r="SQ214" s="9"/>
      <c r="SR214" s="9"/>
      <c r="SS214" s="9"/>
      <c r="ST214" s="9"/>
      <c r="SU214" s="9"/>
      <c r="SV214" s="9"/>
      <c r="SW214" s="9"/>
      <c r="SX214" s="9"/>
      <c r="SY214" s="9"/>
      <c r="SZ214" s="9"/>
      <c r="TA214" s="9"/>
      <c r="TB214" s="9"/>
      <c r="TC214" s="9"/>
      <c r="TD214" s="9"/>
      <c r="TE214" s="9"/>
      <c r="TF214" s="9"/>
      <c r="TG214" s="9"/>
      <c r="TH214" s="9"/>
      <c r="TI214" s="9"/>
      <c r="TJ214" s="9"/>
      <c r="TK214" s="9"/>
      <c r="TL214" s="9"/>
      <c r="TM214" s="9"/>
      <c r="TN214" s="9"/>
      <c r="TO214" s="9"/>
      <c r="TP214" s="9"/>
      <c r="TQ214" s="9"/>
      <c r="TR214" s="9"/>
      <c r="TS214" s="9"/>
      <c r="TT214" s="9"/>
      <c r="TU214" s="9"/>
      <c r="TV214" s="9"/>
      <c r="TW214" s="9"/>
      <c r="TX214" s="9"/>
      <c r="TY214" s="9"/>
      <c r="TZ214" s="9"/>
      <c r="UA214" s="9"/>
      <c r="UB214" s="9"/>
      <c r="UC214" s="9"/>
      <c r="UD214" s="9"/>
      <c r="UE214" s="9"/>
      <c r="UF214" s="9"/>
      <c r="UG214" s="9"/>
      <c r="UH214" s="9"/>
      <c r="UI214" s="9"/>
      <c r="UJ214" s="9"/>
    </row>
    <row r="215">
      <c r="A215" s="8">
        <f>IFERROR(__xludf.DUMMYFUNCTION("""COMPUTED_VALUE"""),45333.0)</f>
        <v>45333</v>
      </c>
      <c r="B215" s="9">
        <f>IFERROR(__xludf.DUMMYFUNCTION("""COMPUTED_VALUE"""),0.0)</f>
        <v>0</v>
      </c>
      <c r="C215" s="9">
        <f>IFERROR(__xludf.DUMMYFUNCTION("""COMPUTED_VALUE"""),0.0)</f>
        <v>0</v>
      </c>
      <c r="D215" s="9">
        <f>IFERROR(__xludf.DUMMYFUNCTION("""COMPUTED_VALUE"""),0.0)</f>
        <v>0</v>
      </c>
      <c r="E215" s="9">
        <f>IFERROR(__xludf.DUMMYFUNCTION("""COMPUTED_VALUE"""),0.0)</f>
        <v>0</v>
      </c>
      <c r="F215" s="9">
        <f>IFERROR(__xludf.DUMMYFUNCTION("""COMPUTED_VALUE"""),0.0)</f>
        <v>0</v>
      </c>
      <c r="G215" s="9">
        <f>IFERROR(__xludf.DUMMYFUNCTION("""COMPUTED_VALUE"""),0.0)</f>
        <v>0</v>
      </c>
      <c r="H215" s="9"/>
      <c r="I215" s="9">
        <f>IFERROR(__xludf.DUMMYFUNCTION("""COMPUTED_VALUE"""),0.0)</f>
        <v>0</v>
      </c>
      <c r="J215" s="9">
        <f>IFERROR(__xludf.DUMMYFUNCTION("""COMPUTED_VALUE"""),0.0)</f>
        <v>0</v>
      </c>
      <c r="K215" s="9">
        <f>IFERROR(__xludf.DUMMYFUNCTION("""COMPUTED_VALUE"""),0.0)</f>
        <v>0</v>
      </c>
      <c r="L215" s="9">
        <f>IFERROR(__xludf.DUMMYFUNCTION("""COMPUTED_VALUE"""),0.0)</f>
        <v>0</v>
      </c>
      <c r="M215" s="9">
        <f>IFERROR(__xludf.DUMMYFUNCTION("""COMPUTED_VALUE"""),0.0)</f>
        <v>0</v>
      </c>
      <c r="N215" s="9">
        <f>IFERROR(__xludf.DUMMYFUNCTION("""COMPUTED_VALUE"""),0.0)</f>
        <v>0</v>
      </c>
      <c r="O215" s="9">
        <f>IFERROR(__xludf.DUMMYFUNCTION("""COMPUTED_VALUE"""),0.0)</f>
        <v>0</v>
      </c>
      <c r="P215" s="9">
        <f>IFERROR(__xludf.DUMMYFUNCTION("""COMPUTED_VALUE"""),0.0)</f>
        <v>0</v>
      </c>
      <c r="Q215" s="9">
        <f>IFERROR(__xludf.DUMMYFUNCTION("""COMPUTED_VALUE"""),0.0)</f>
        <v>0</v>
      </c>
      <c r="R215" s="9">
        <f>IFERROR(__xludf.DUMMYFUNCTION("""COMPUTED_VALUE"""),0.0)</f>
        <v>0</v>
      </c>
      <c r="S215" s="9">
        <f>IFERROR(__xludf.DUMMYFUNCTION("""COMPUTED_VALUE"""),0.0)</f>
        <v>0</v>
      </c>
      <c r="T215" s="9">
        <f>IFERROR(__xludf.DUMMYFUNCTION("""COMPUTED_VALUE"""),0.0)</f>
        <v>0</v>
      </c>
      <c r="U215" s="9">
        <f>IFERROR(__xludf.DUMMYFUNCTION("""COMPUTED_VALUE"""),0.0)</f>
        <v>0</v>
      </c>
      <c r="V215" s="9">
        <f>IFERROR(__xludf.DUMMYFUNCTION("""COMPUTED_VALUE"""),0.0)</f>
        <v>0</v>
      </c>
      <c r="W215" s="9">
        <f>IFERROR(__xludf.DUMMYFUNCTION("""COMPUTED_VALUE"""),0.0)</f>
        <v>0</v>
      </c>
      <c r="X215" s="9">
        <f>IFERROR(__xludf.DUMMYFUNCTION("""COMPUTED_VALUE"""),0.0)</f>
        <v>0</v>
      </c>
      <c r="Y215" s="9">
        <f>IFERROR(__xludf.DUMMYFUNCTION("""COMPUTED_VALUE"""),0.0)</f>
        <v>0</v>
      </c>
      <c r="Z215" s="9">
        <f>IFERROR(__xludf.DUMMYFUNCTION("""COMPUTED_VALUE"""),0.0)</f>
        <v>0</v>
      </c>
      <c r="AA215" s="9">
        <f>IFERROR(__xludf.DUMMYFUNCTION("""COMPUTED_VALUE"""),0.0)</f>
        <v>0</v>
      </c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</row>
    <row r="216">
      <c r="A216" s="8">
        <f>IFERROR(__xludf.DUMMYFUNCTION("""COMPUTED_VALUE"""),45334.0)</f>
        <v>45334</v>
      </c>
      <c r="B216" s="9">
        <f>IFERROR(__xludf.DUMMYFUNCTION("""COMPUTED_VALUE"""),29.0)</f>
        <v>29</v>
      </c>
      <c r="C216" s="9">
        <f>IFERROR(__xludf.DUMMYFUNCTION("""COMPUTED_VALUE"""),122.0)</f>
        <v>122</v>
      </c>
      <c r="D216" s="9">
        <f>IFERROR(__xludf.DUMMYFUNCTION("""COMPUTED_VALUE"""),4.0)</f>
        <v>4</v>
      </c>
      <c r="E216" s="9">
        <f>IFERROR(__xludf.DUMMYFUNCTION("""COMPUTED_VALUE"""),2206.0)</f>
        <v>2206</v>
      </c>
      <c r="F216" s="9">
        <f>IFERROR(__xludf.DUMMYFUNCTION("""COMPUTED_VALUE"""),76.0)</f>
        <v>76</v>
      </c>
      <c r="G216" s="9">
        <f>IFERROR(__xludf.DUMMYFUNCTION("""COMPUTED_VALUE"""),0.0)</f>
        <v>0</v>
      </c>
      <c r="H216" s="9"/>
      <c r="I216" s="9">
        <f>IFERROR(__xludf.DUMMYFUNCTION("""COMPUTED_VALUE"""),17.0)</f>
        <v>17</v>
      </c>
      <c r="J216" s="9">
        <f>IFERROR(__xludf.DUMMYFUNCTION("""COMPUTED_VALUE"""),6.0)</f>
        <v>6</v>
      </c>
      <c r="K216" s="9">
        <f>IFERROR(__xludf.DUMMYFUNCTION("""COMPUTED_VALUE"""),0.0)</f>
        <v>0</v>
      </c>
      <c r="L216" s="9">
        <f>IFERROR(__xludf.DUMMYFUNCTION("""COMPUTED_VALUE"""),0.0)</f>
        <v>0</v>
      </c>
      <c r="M216" s="9">
        <f>IFERROR(__xludf.DUMMYFUNCTION("""COMPUTED_VALUE"""),23.0)</f>
        <v>23</v>
      </c>
      <c r="N216" s="9">
        <f>IFERROR(__xludf.DUMMYFUNCTION("""COMPUTED_VALUE"""),21.0)</f>
        <v>21</v>
      </c>
      <c r="O216" s="9">
        <f>IFERROR(__xludf.DUMMYFUNCTION("""COMPUTED_VALUE"""),0.0)</f>
        <v>0</v>
      </c>
      <c r="P216" s="9">
        <f>IFERROR(__xludf.DUMMYFUNCTION("""COMPUTED_VALUE"""),8.0)</f>
        <v>8</v>
      </c>
      <c r="Q216" s="9">
        <f>IFERROR(__xludf.DUMMYFUNCTION("""COMPUTED_VALUE"""),13.0)</f>
        <v>13</v>
      </c>
      <c r="R216" s="9">
        <f>IFERROR(__xludf.DUMMYFUNCTION("""COMPUTED_VALUE"""),7.0)</f>
        <v>7</v>
      </c>
      <c r="S216" s="9">
        <f>IFERROR(__xludf.DUMMYFUNCTION("""COMPUTED_VALUE"""),9.0)</f>
        <v>9</v>
      </c>
      <c r="T216" s="9">
        <f>IFERROR(__xludf.DUMMYFUNCTION("""COMPUTED_VALUE"""),4.0)</f>
        <v>4</v>
      </c>
      <c r="U216" s="9">
        <f>IFERROR(__xludf.DUMMYFUNCTION("""COMPUTED_VALUE"""),0.0)</f>
        <v>0</v>
      </c>
      <c r="V216" s="9">
        <f>IFERROR(__xludf.DUMMYFUNCTION("""COMPUTED_VALUE"""),20.0)</f>
        <v>20</v>
      </c>
      <c r="W216" s="9">
        <f>IFERROR(__xludf.DUMMYFUNCTION("""COMPUTED_VALUE"""),0.0)</f>
        <v>0</v>
      </c>
      <c r="X216" s="9">
        <f>IFERROR(__xludf.DUMMYFUNCTION("""COMPUTED_VALUE"""),22.0)</f>
        <v>22</v>
      </c>
      <c r="Y216" s="9">
        <f>IFERROR(__xludf.DUMMYFUNCTION("""COMPUTED_VALUE"""),23.0)</f>
        <v>23</v>
      </c>
      <c r="Z216" s="9">
        <f>IFERROR(__xludf.DUMMYFUNCTION("""COMPUTED_VALUE"""),4.0)</f>
        <v>4</v>
      </c>
      <c r="AA216" s="9">
        <f>IFERROR(__xludf.DUMMYFUNCTION("""COMPUTED_VALUE"""),0.0)</f>
        <v>0</v>
      </c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</row>
    <row r="217">
      <c r="A217" s="8">
        <f>IFERROR(__xludf.DUMMYFUNCTION("""COMPUTED_VALUE"""),45335.0)</f>
        <v>45335</v>
      </c>
      <c r="B217" s="9">
        <f>IFERROR(__xludf.DUMMYFUNCTION("""COMPUTED_VALUE"""),43.0)</f>
        <v>43</v>
      </c>
      <c r="C217" s="9">
        <f>IFERROR(__xludf.DUMMYFUNCTION("""COMPUTED_VALUE"""),165.0)</f>
        <v>165</v>
      </c>
      <c r="D217" s="9">
        <f>IFERROR(__xludf.DUMMYFUNCTION("""COMPUTED_VALUE"""),4.0)</f>
        <v>4</v>
      </c>
      <c r="E217" s="9">
        <f>IFERROR(__xludf.DUMMYFUNCTION("""COMPUTED_VALUE"""),2779.0)</f>
        <v>2779</v>
      </c>
      <c r="F217" s="9">
        <f>IFERROR(__xludf.DUMMYFUNCTION("""COMPUTED_VALUE"""),65.0)</f>
        <v>65</v>
      </c>
      <c r="G217" s="9">
        <f>IFERROR(__xludf.DUMMYFUNCTION("""COMPUTED_VALUE"""),0.0)</f>
        <v>0</v>
      </c>
      <c r="H217" s="9"/>
      <c r="I217" s="9">
        <f>IFERROR(__xludf.DUMMYFUNCTION("""COMPUTED_VALUE"""),23.0)</f>
        <v>23</v>
      </c>
      <c r="J217" s="9">
        <f>IFERROR(__xludf.DUMMYFUNCTION("""COMPUTED_VALUE"""),5.0)</f>
        <v>5</v>
      </c>
      <c r="K217" s="9">
        <f>IFERROR(__xludf.DUMMYFUNCTION("""COMPUTED_VALUE"""),2.0)</f>
        <v>2</v>
      </c>
      <c r="L217" s="9">
        <f>IFERROR(__xludf.DUMMYFUNCTION("""COMPUTED_VALUE"""),1.0)</f>
        <v>1</v>
      </c>
      <c r="M217" s="9">
        <f>IFERROR(__xludf.DUMMYFUNCTION("""COMPUTED_VALUE"""),31.0)</f>
        <v>31</v>
      </c>
      <c r="N217" s="9">
        <f>IFERROR(__xludf.DUMMYFUNCTION("""COMPUTED_VALUE"""),24.0)</f>
        <v>24</v>
      </c>
      <c r="O217" s="9">
        <f>IFERROR(__xludf.DUMMYFUNCTION("""COMPUTED_VALUE"""),0.0)</f>
        <v>0</v>
      </c>
      <c r="P217" s="9">
        <f>IFERROR(__xludf.DUMMYFUNCTION("""COMPUTED_VALUE"""),19.0)</f>
        <v>19</v>
      </c>
      <c r="Q217" s="9">
        <f>IFERROR(__xludf.DUMMYFUNCTION("""COMPUTED_VALUE"""),12.0)</f>
        <v>12</v>
      </c>
      <c r="R217" s="9">
        <f>IFERROR(__xludf.DUMMYFUNCTION("""COMPUTED_VALUE"""),12.0)</f>
        <v>12</v>
      </c>
      <c r="S217" s="9">
        <f>IFERROR(__xludf.DUMMYFUNCTION("""COMPUTED_VALUE"""),15.0)</f>
        <v>15</v>
      </c>
      <c r="T217" s="9">
        <f>IFERROR(__xludf.DUMMYFUNCTION("""COMPUTED_VALUE"""),1.0)</f>
        <v>1</v>
      </c>
      <c r="U217" s="9">
        <f>IFERROR(__xludf.DUMMYFUNCTION("""COMPUTED_VALUE"""),0.0)</f>
        <v>0</v>
      </c>
      <c r="V217" s="9">
        <f>IFERROR(__xludf.DUMMYFUNCTION("""COMPUTED_VALUE"""),24.0)</f>
        <v>24</v>
      </c>
      <c r="W217" s="9">
        <f>IFERROR(__xludf.DUMMYFUNCTION("""COMPUTED_VALUE"""),1.0)</f>
        <v>1</v>
      </c>
      <c r="X217" s="9">
        <f>IFERROR(__xludf.DUMMYFUNCTION("""COMPUTED_VALUE"""),27.0)</f>
        <v>27</v>
      </c>
      <c r="Y217" s="9">
        <f>IFERROR(__xludf.DUMMYFUNCTION("""COMPUTED_VALUE"""),29.0)</f>
        <v>29</v>
      </c>
      <c r="Z217" s="9">
        <f>IFERROR(__xludf.DUMMYFUNCTION("""COMPUTED_VALUE"""),2.0)</f>
        <v>2</v>
      </c>
      <c r="AA217" s="9">
        <f>IFERROR(__xludf.DUMMYFUNCTION("""COMPUTED_VALUE"""),0.0)</f>
        <v>0</v>
      </c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</row>
    <row r="218">
      <c r="A218" s="8">
        <f>IFERROR(__xludf.DUMMYFUNCTION("""COMPUTED_VALUE"""),45336.0)</f>
        <v>45336</v>
      </c>
      <c r="B218" s="9">
        <f>IFERROR(__xludf.DUMMYFUNCTION("""COMPUTED_VALUE"""),47.0)</f>
        <v>47</v>
      </c>
      <c r="C218" s="9">
        <f>IFERROR(__xludf.DUMMYFUNCTION("""COMPUTED_VALUE"""),182.0)</f>
        <v>182</v>
      </c>
      <c r="D218" s="9">
        <f>IFERROR(__xludf.DUMMYFUNCTION("""COMPUTED_VALUE"""),4.0)</f>
        <v>4</v>
      </c>
      <c r="E218" s="9">
        <f>IFERROR(__xludf.DUMMYFUNCTION("""COMPUTED_VALUE"""),4031.0)</f>
        <v>4031</v>
      </c>
      <c r="F218" s="9">
        <f>IFERROR(__xludf.DUMMYFUNCTION("""COMPUTED_VALUE"""),86.0)</f>
        <v>86</v>
      </c>
      <c r="G218" s="9">
        <f>IFERROR(__xludf.DUMMYFUNCTION("""COMPUTED_VALUE"""),0.0)</f>
        <v>0</v>
      </c>
      <c r="H218" s="9"/>
      <c r="I218" s="9">
        <f>IFERROR(__xludf.DUMMYFUNCTION("""COMPUTED_VALUE"""),34.0)</f>
        <v>34</v>
      </c>
      <c r="J218" s="9">
        <f>IFERROR(__xludf.DUMMYFUNCTION("""COMPUTED_VALUE"""),5.0)</f>
        <v>5</v>
      </c>
      <c r="K218" s="9">
        <f>IFERROR(__xludf.DUMMYFUNCTION("""COMPUTED_VALUE"""),1.0)</f>
        <v>1</v>
      </c>
      <c r="L218" s="9">
        <f>IFERROR(__xludf.DUMMYFUNCTION("""COMPUTED_VALUE"""),0.0)</f>
        <v>0</v>
      </c>
      <c r="M218" s="9">
        <f>IFERROR(__xludf.DUMMYFUNCTION("""COMPUTED_VALUE"""),40.0)</f>
        <v>40</v>
      </c>
      <c r="N218" s="9">
        <f>IFERROR(__xludf.DUMMYFUNCTION("""COMPUTED_VALUE"""),31.0)</f>
        <v>31</v>
      </c>
      <c r="O218" s="9">
        <f>IFERROR(__xludf.DUMMYFUNCTION("""COMPUTED_VALUE"""),0.0)</f>
        <v>0</v>
      </c>
      <c r="P218" s="9">
        <f>IFERROR(__xludf.DUMMYFUNCTION("""COMPUTED_VALUE"""),16.0)</f>
        <v>16</v>
      </c>
      <c r="Q218" s="9">
        <f>IFERROR(__xludf.DUMMYFUNCTION("""COMPUTED_VALUE"""),21.0)</f>
        <v>21</v>
      </c>
      <c r="R218" s="9">
        <f>IFERROR(__xludf.DUMMYFUNCTION("""COMPUTED_VALUE"""),12.0)</f>
        <v>12</v>
      </c>
      <c r="S218" s="9">
        <f>IFERROR(__xludf.DUMMYFUNCTION("""COMPUTED_VALUE"""),8.0)</f>
        <v>8</v>
      </c>
      <c r="T218" s="9">
        <f>IFERROR(__xludf.DUMMYFUNCTION("""COMPUTED_VALUE"""),3.0)</f>
        <v>3</v>
      </c>
      <c r="U218" s="9">
        <f>IFERROR(__xludf.DUMMYFUNCTION("""COMPUTED_VALUE"""),0.0)</f>
        <v>0</v>
      </c>
      <c r="V218" s="9">
        <f>IFERROR(__xludf.DUMMYFUNCTION("""COMPUTED_VALUE"""),33.0)</f>
        <v>33</v>
      </c>
      <c r="W218" s="9">
        <f>IFERROR(__xludf.DUMMYFUNCTION("""COMPUTED_VALUE"""),0.0)</f>
        <v>0</v>
      </c>
      <c r="X218" s="9">
        <f>IFERROR(__xludf.DUMMYFUNCTION("""COMPUTED_VALUE"""),10.0)</f>
        <v>10</v>
      </c>
      <c r="Y218" s="9">
        <f>IFERROR(__xludf.DUMMYFUNCTION("""COMPUTED_VALUE"""),41.0)</f>
        <v>41</v>
      </c>
      <c r="Z218" s="9">
        <f>IFERROR(__xludf.DUMMYFUNCTION("""COMPUTED_VALUE"""),3.0)</f>
        <v>3</v>
      </c>
      <c r="AA218" s="9">
        <f>IFERROR(__xludf.DUMMYFUNCTION("""COMPUTED_VALUE"""),0.0)</f>
        <v>0</v>
      </c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</row>
    <row r="219">
      <c r="A219" s="8">
        <f>IFERROR(__xludf.DUMMYFUNCTION("""COMPUTED_VALUE"""),45337.0)</f>
        <v>45337</v>
      </c>
      <c r="B219" s="9">
        <f>IFERROR(__xludf.DUMMYFUNCTION("""COMPUTED_VALUE"""),22.0)</f>
        <v>22</v>
      </c>
      <c r="C219" s="9">
        <f>IFERROR(__xludf.DUMMYFUNCTION("""COMPUTED_VALUE"""),94.0)</f>
        <v>94</v>
      </c>
      <c r="D219" s="9">
        <f>IFERROR(__xludf.DUMMYFUNCTION("""COMPUTED_VALUE"""),4.0)</f>
        <v>4</v>
      </c>
      <c r="E219" s="9">
        <f>IFERROR(__xludf.DUMMYFUNCTION("""COMPUTED_VALUE"""),1854.0)</f>
        <v>1854</v>
      </c>
      <c r="F219" s="9">
        <f>IFERROR(__xludf.DUMMYFUNCTION("""COMPUTED_VALUE"""),84.0)</f>
        <v>84</v>
      </c>
      <c r="G219" s="9">
        <f>IFERROR(__xludf.DUMMYFUNCTION("""COMPUTED_VALUE"""),0.0)</f>
        <v>0</v>
      </c>
      <c r="H219" s="9"/>
      <c r="I219" s="9">
        <f>IFERROR(__xludf.DUMMYFUNCTION("""COMPUTED_VALUE"""),14.0)</f>
        <v>14</v>
      </c>
      <c r="J219" s="9">
        <f>IFERROR(__xludf.DUMMYFUNCTION("""COMPUTED_VALUE"""),4.0)</f>
        <v>4</v>
      </c>
      <c r="K219" s="9">
        <f>IFERROR(__xludf.DUMMYFUNCTION("""COMPUTED_VALUE"""),0.0)</f>
        <v>0</v>
      </c>
      <c r="L219" s="9">
        <f>IFERROR(__xludf.DUMMYFUNCTION("""COMPUTED_VALUE"""),0.0)</f>
        <v>0</v>
      </c>
      <c r="M219" s="9">
        <f>IFERROR(__xludf.DUMMYFUNCTION("""COMPUTED_VALUE"""),18.0)</f>
        <v>18</v>
      </c>
      <c r="N219" s="9">
        <f>IFERROR(__xludf.DUMMYFUNCTION("""COMPUTED_VALUE"""),10.0)</f>
        <v>10</v>
      </c>
      <c r="O219" s="9">
        <f>IFERROR(__xludf.DUMMYFUNCTION("""COMPUTED_VALUE"""),0.0)</f>
        <v>0</v>
      </c>
      <c r="P219" s="9">
        <f>IFERROR(__xludf.DUMMYFUNCTION("""COMPUTED_VALUE"""),12.0)</f>
        <v>12</v>
      </c>
      <c r="Q219" s="9">
        <f>IFERROR(__xludf.DUMMYFUNCTION("""COMPUTED_VALUE"""),8.0)</f>
        <v>8</v>
      </c>
      <c r="R219" s="9">
        <f>IFERROR(__xludf.DUMMYFUNCTION("""COMPUTED_VALUE"""),7.0)</f>
        <v>7</v>
      </c>
      <c r="S219" s="9">
        <f>IFERROR(__xludf.DUMMYFUNCTION("""COMPUTED_VALUE"""),7.0)</f>
        <v>7</v>
      </c>
      <c r="T219" s="9">
        <f>IFERROR(__xludf.DUMMYFUNCTION("""COMPUTED_VALUE"""),0.0)</f>
        <v>0</v>
      </c>
      <c r="U219" s="9">
        <f>IFERROR(__xludf.DUMMYFUNCTION("""COMPUTED_VALUE"""),0.0)</f>
        <v>0</v>
      </c>
      <c r="V219" s="9">
        <f>IFERROR(__xludf.DUMMYFUNCTION("""COMPUTED_VALUE"""),15.0)</f>
        <v>15</v>
      </c>
      <c r="W219" s="9">
        <f>IFERROR(__xludf.DUMMYFUNCTION("""COMPUTED_VALUE"""),0.0)</f>
        <v>0</v>
      </c>
      <c r="X219" s="9">
        <f>IFERROR(__xludf.DUMMYFUNCTION("""COMPUTED_VALUE"""),11.0)</f>
        <v>11</v>
      </c>
      <c r="Y219" s="9">
        <f>IFERROR(__xludf.DUMMYFUNCTION("""COMPUTED_VALUE"""),20.0)</f>
        <v>20</v>
      </c>
      <c r="Z219" s="9">
        <f>IFERROR(__xludf.DUMMYFUNCTION("""COMPUTED_VALUE"""),0.0)</f>
        <v>0</v>
      </c>
      <c r="AA219" s="9">
        <f>IFERROR(__xludf.DUMMYFUNCTION("""COMPUTED_VALUE"""),0.0)</f>
        <v>0</v>
      </c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</row>
    <row r="220">
      <c r="A220" s="8">
        <f>IFERROR(__xludf.DUMMYFUNCTION("""COMPUTED_VALUE"""),45338.0)</f>
        <v>45338</v>
      </c>
      <c r="B220" s="9">
        <f>IFERROR(__xludf.DUMMYFUNCTION("""COMPUTED_VALUE"""),25.0)</f>
        <v>25</v>
      </c>
      <c r="C220" s="9">
        <f>IFERROR(__xludf.DUMMYFUNCTION("""COMPUTED_VALUE"""),101.0)</f>
        <v>101</v>
      </c>
      <c r="D220" s="9">
        <f>IFERROR(__xludf.DUMMYFUNCTION("""COMPUTED_VALUE"""),4.0)</f>
        <v>4</v>
      </c>
      <c r="E220" s="9">
        <f>IFERROR(__xludf.DUMMYFUNCTION("""COMPUTED_VALUE"""),1821.0)</f>
        <v>1821</v>
      </c>
      <c r="F220" s="9">
        <f>IFERROR(__xludf.DUMMYFUNCTION("""COMPUTED_VALUE"""),73.0)</f>
        <v>73</v>
      </c>
      <c r="G220" s="9">
        <f>IFERROR(__xludf.DUMMYFUNCTION("""COMPUTED_VALUE"""),0.0)</f>
        <v>0</v>
      </c>
      <c r="H220" s="9"/>
      <c r="I220" s="9">
        <f>IFERROR(__xludf.DUMMYFUNCTION("""COMPUTED_VALUE"""),23.0)</f>
        <v>23</v>
      </c>
      <c r="J220" s="9">
        <f>IFERROR(__xludf.DUMMYFUNCTION("""COMPUTED_VALUE"""),1.0)</f>
        <v>1</v>
      </c>
      <c r="K220" s="9">
        <f>IFERROR(__xludf.DUMMYFUNCTION("""COMPUTED_VALUE"""),0.0)</f>
        <v>0</v>
      </c>
      <c r="L220" s="9">
        <f>IFERROR(__xludf.DUMMYFUNCTION("""COMPUTED_VALUE"""),0.0)</f>
        <v>0</v>
      </c>
      <c r="M220" s="9">
        <f>IFERROR(__xludf.DUMMYFUNCTION("""COMPUTED_VALUE"""),24.0)</f>
        <v>24</v>
      </c>
      <c r="N220" s="9">
        <f>IFERROR(__xludf.DUMMYFUNCTION("""COMPUTED_VALUE"""),14.0)</f>
        <v>14</v>
      </c>
      <c r="O220" s="9">
        <f>IFERROR(__xludf.DUMMYFUNCTION("""COMPUTED_VALUE"""),0.0)</f>
        <v>0</v>
      </c>
      <c r="P220" s="9">
        <f>IFERROR(__xludf.DUMMYFUNCTION("""COMPUTED_VALUE"""),11.0)</f>
        <v>11</v>
      </c>
      <c r="Q220" s="9">
        <f>IFERROR(__xludf.DUMMYFUNCTION("""COMPUTED_VALUE"""),9.0)</f>
        <v>9</v>
      </c>
      <c r="R220" s="9">
        <f>IFERROR(__xludf.DUMMYFUNCTION("""COMPUTED_VALUE"""),9.0)</f>
        <v>9</v>
      </c>
      <c r="S220" s="9">
        <f>IFERROR(__xludf.DUMMYFUNCTION("""COMPUTED_VALUE"""),6.0)</f>
        <v>6</v>
      </c>
      <c r="T220" s="9">
        <f>IFERROR(__xludf.DUMMYFUNCTION("""COMPUTED_VALUE"""),1.0)</f>
        <v>1</v>
      </c>
      <c r="U220" s="9">
        <f>IFERROR(__xludf.DUMMYFUNCTION("""COMPUTED_VALUE"""),0.0)</f>
        <v>0</v>
      </c>
      <c r="V220" s="9">
        <f>IFERROR(__xludf.DUMMYFUNCTION("""COMPUTED_VALUE"""),18.0)</f>
        <v>18</v>
      </c>
      <c r="W220" s="9">
        <f>IFERROR(__xludf.DUMMYFUNCTION("""COMPUTED_VALUE"""),1.0)</f>
        <v>1</v>
      </c>
      <c r="X220" s="9">
        <f>IFERROR(__xludf.DUMMYFUNCTION("""COMPUTED_VALUE"""),14.0)</f>
        <v>14</v>
      </c>
      <c r="Y220" s="9">
        <f>IFERROR(__xludf.DUMMYFUNCTION("""COMPUTED_VALUE"""),19.0)</f>
        <v>19</v>
      </c>
      <c r="Z220" s="9">
        <f>IFERROR(__xludf.DUMMYFUNCTION("""COMPUTED_VALUE"""),2.0)</f>
        <v>2</v>
      </c>
      <c r="AA220" s="9">
        <f>IFERROR(__xludf.DUMMYFUNCTION("""COMPUTED_VALUE"""),0.0)</f>
        <v>0</v>
      </c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  <c r="LI220" s="9"/>
      <c r="LJ220" s="9"/>
      <c r="LK220" s="9"/>
      <c r="LL220" s="9"/>
      <c r="LM220" s="9"/>
      <c r="LN220" s="9"/>
      <c r="LO220" s="9"/>
      <c r="LP220" s="9"/>
      <c r="LQ220" s="9"/>
      <c r="LR220" s="9"/>
      <c r="LS220" s="9"/>
      <c r="LT220" s="9"/>
      <c r="LU220" s="9"/>
      <c r="LV220" s="9"/>
      <c r="LW220" s="9"/>
      <c r="LX220" s="9"/>
      <c r="LY220" s="9"/>
      <c r="LZ220" s="9"/>
      <c r="MA220" s="9"/>
      <c r="MB220" s="9"/>
      <c r="MC220" s="9"/>
      <c r="MD220" s="9"/>
      <c r="ME220" s="9"/>
      <c r="MF220" s="9"/>
      <c r="MG220" s="9"/>
      <c r="MH220" s="9"/>
      <c r="MI220" s="9"/>
      <c r="MJ220" s="9"/>
      <c r="MK220" s="9"/>
      <c r="ML220" s="9"/>
      <c r="MM220" s="9"/>
      <c r="MN220" s="9"/>
      <c r="MO220" s="9"/>
      <c r="MP220" s="9"/>
      <c r="MQ220" s="9"/>
      <c r="MR220" s="9"/>
      <c r="MS220" s="9"/>
      <c r="MT220" s="9"/>
      <c r="MU220" s="9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  <c r="PG220" s="9"/>
      <c r="PH220" s="9"/>
      <c r="PI220" s="9"/>
      <c r="PJ220" s="9"/>
      <c r="PK220" s="9"/>
      <c r="PL220" s="9"/>
      <c r="PM220" s="9"/>
      <c r="PN220" s="9"/>
      <c r="PO220" s="9"/>
      <c r="PP220" s="9"/>
      <c r="PQ220" s="9"/>
      <c r="PR220" s="9"/>
      <c r="PS220" s="9"/>
      <c r="PT220" s="9"/>
      <c r="PU220" s="9"/>
      <c r="PV220" s="9"/>
      <c r="PW220" s="9"/>
      <c r="PX220" s="9"/>
      <c r="PY220" s="9"/>
      <c r="PZ220" s="9"/>
      <c r="QA220" s="9"/>
      <c r="QB220" s="9"/>
      <c r="QC220" s="9"/>
      <c r="QD220" s="9"/>
      <c r="QE220" s="9"/>
      <c r="QF220" s="9"/>
      <c r="QG220" s="9"/>
      <c r="QH220" s="9"/>
      <c r="QI220" s="9"/>
      <c r="QJ220" s="9"/>
      <c r="QK220" s="9"/>
      <c r="QL220" s="9"/>
      <c r="QM220" s="9"/>
      <c r="QN220" s="9"/>
      <c r="QO220" s="9"/>
      <c r="QP220" s="9"/>
      <c r="QQ220" s="9"/>
      <c r="QR220" s="9"/>
      <c r="QS220" s="9"/>
      <c r="QT220" s="9"/>
      <c r="QU220" s="9"/>
      <c r="QV220" s="9"/>
      <c r="QW220" s="9"/>
      <c r="QX220" s="9"/>
      <c r="QY220" s="9"/>
      <c r="QZ220" s="9"/>
      <c r="RA220" s="9"/>
      <c r="RB220" s="9"/>
      <c r="RC220" s="9"/>
      <c r="RD220" s="9"/>
      <c r="RE220" s="9"/>
      <c r="RF220" s="9"/>
      <c r="RG220" s="9"/>
      <c r="RH220" s="9"/>
      <c r="RI220" s="9"/>
      <c r="RJ220" s="9"/>
      <c r="RK220" s="9"/>
      <c r="RL220" s="9"/>
      <c r="RM220" s="9"/>
      <c r="RN220" s="9"/>
      <c r="RO220" s="9"/>
      <c r="RP220" s="9"/>
      <c r="RQ220" s="9"/>
      <c r="RR220" s="9"/>
      <c r="RS220" s="9"/>
      <c r="RT220" s="9"/>
      <c r="RU220" s="9"/>
      <c r="RV220" s="9"/>
      <c r="RW220" s="9"/>
      <c r="RX220" s="9"/>
      <c r="RY220" s="9"/>
      <c r="RZ220" s="9"/>
      <c r="SA220" s="9"/>
      <c r="SB220" s="9"/>
      <c r="SC220" s="9"/>
      <c r="SD220" s="9"/>
      <c r="SE220" s="9"/>
      <c r="SF220" s="9"/>
      <c r="SG220" s="9"/>
      <c r="SH220" s="9"/>
      <c r="SI220" s="9"/>
      <c r="SJ220" s="9"/>
      <c r="SK220" s="9"/>
      <c r="SL220" s="9"/>
      <c r="SM220" s="9"/>
      <c r="SN220" s="9"/>
      <c r="SO220" s="9"/>
      <c r="SP220" s="9"/>
      <c r="SQ220" s="9"/>
      <c r="SR220" s="9"/>
      <c r="SS220" s="9"/>
      <c r="ST220" s="9"/>
      <c r="SU220" s="9"/>
      <c r="SV220" s="9"/>
      <c r="SW220" s="9"/>
      <c r="SX220" s="9"/>
      <c r="SY220" s="9"/>
      <c r="SZ220" s="9"/>
      <c r="TA220" s="9"/>
      <c r="TB220" s="9"/>
      <c r="TC220" s="9"/>
      <c r="TD220" s="9"/>
      <c r="TE220" s="9"/>
      <c r="TF220" s="9"/>
      <c r="TG220" s="9"/>
      <c r="TH220" s="9"/>
      <c r="TI220" s="9"/>
      <c r="TJ220" s="9"/>
      <c r="TK220" s="9"/>
      <c r="TL220" s="9"/>
      <c r="TM220" s="9"/>
      <c r="TN220" s="9"/>
      <c r="TO220" s="9"/>
      <c r="TP220" s="9"/>
      <c r="TQ220" s="9"/>
      <c r="TR220" s="9"/>
      <c r="TS220" s="9"/>
      <c r="TT220" s="9"/>
      <c r="TU220" s="9"/>
      <c r="TV220" s="9"/>
      <c r="TW220" s="9"/>
      <c r="TX220" s="9"/>
      <c r="TY220" s="9"/>
      <c r="TZ220" s="9"/>
      <c r="UA220" s="9"/>
      <c r="UB220" s="9"/>
      <c r="UC220" s="9"/>
      <c r="UD220" s="9"/>
      <c r="UE220" s="9"/>
      <c r="UF220" s="9"/>
      <c r="UG220" s="9"/>
      <c r="UH220" s="9"/>
      <c r="UI220" s="9"/>
      <c r="UJ220" s="9"/>
    </row>
    <row r="221">
      <c r="A221" s="8">
        <f>IFERROR(__xludf.DUMMYFUNCTION("""COMPUTED_VALUE"""),45339.0)</f>
        <v>45339</v>
      </c>
      <c r="B221" s="9">
        <f>IFERROR(__xludf.DUMMYFUNCTION("""COMPUTED_VALUE"""),7.0)</f>
        <v>7</v>
      </c>
      <c r="C221" s="9">
        <f>IFERROR(__xludf.DUMMYFUNCTION("""COMPUTED_VALUE"""),31.0)</f>
        <v>31</v>
      </c>
      <c r="D221" s="9">
        <f>IFERROR(__xludf.DUMMYFUNCTION("""COMPUTED_VALUE"""),4.0)</f>
        <v>4</v>
      </c>
      <c r="E221" s="9">
        <f>IFERROR(__xludf.DUMMYFUNCTION("""COMPUTED_VALUE"""),630.0)</f>
        <v>630</v>
      </c>
      <c r="F221" s="9">
        <f>IFERROR(__xludf.DUMMYFUNCTION("""COMPUTED_VALUE"""),90.0)</f>
        <v>90</v>
      </c>
      <c r="G221" s="9">
        <f>IFERROR(__xludf.DUMMYFUNCTION("""COMPUTED_VALUE"""),0.0)</f>
        <v>0</v>
      </c>
      <c r="H221" s="9"/>
      <c r="I221" s="9">
        <f>IFERROR(__xludf.DUMMYFUNCTION("""COMPUTED_VALUE"""),7.0)</f>
        <v>7</v>
      </c>
      <c r="J221" s="9">
        <f>IFERROR(__xludf.DUMMYFUNCTION("""COMPUTED_VALUE"""),0.0)</f>
        <v>0</v>
      </c>
      <c r="K221" s="9">
        <f>IFERROR(__xludf.DUMMYFUNCTION("""COMPUTED_VALUE"""),0.0)</f>
        <v>0</v>
      </c>
      <c r="L221" s="9">
        <f>IFERROR(__xludf.DUMMYFUNCTION("""COMPUTED_VALUE"""),0.0)</f>
        <v>0</v>
      </c>
      <c r="M221" s="9">
        <f>IFERROR(__xludf.DUMMYFUNCTION("""COMPUTED_VALUE"""),7.0)</f>
        <v>7</v>
      </c>
      <c r="N221" s="9">
        <f>IFERROR(__xludf.DUMMYFUNCTION("""COMPUTED_VALUE"""),2.0)</f>
        <v>2</v>
      </c>
      <c r="O221" s="9">
        <f>IFERROR(__xludf.DUMMYFUNCTION("""COMPUTED_VALUE"""),0.0)</f>
        <v>0</v>
      </c>
      <c r="P221" s="9">
        <f>IFERROR(__xludf.DUMMYFUNCTION("""COMPUTED_VALUE"""),5.0)</f>
        <v>5</v>
      </c>
      <c r="Q221" s="9">
        <f>IFERROR(__xludf.DUMMYFUNCTION("""COMPUTED_VALUE"""),1.0)</f>
        <v>1</v>
      </c>
      <c r="R221" s="9">
        <f>IFERROR(__xludf.DUMMYFUNCTION("""COMPUTED_VALUE"""),4.0)</f>
        <v>4</v>
      </c>
      <c r="S221" s="9">
        <f>IFERROR(__xludf.DUMMYFUNCTION("""COMPUTED_VALUE"""),4.0)</f>
        <v>4</v>
      </c>
      <c r="T221" s="9">
        <f>IFERROR(__xludf.DUMMYFUNCTION("""COMPUTED_VALUE"""),0.0)</f>
        <v>0</v>
      </c>
      <c r="U221" s="9">
        <f>IFERROR(__xludf.DUMMYFUNCTION("""COMPUTED_VALUE"""),0.0)</f>
        <v>0</v>
      </c>
      <c r="V221" s="9">
        <f>IFERROR(__xludf.DUMMYFUNCTION("""COMPUTED_VALUE"""),5.0)</f>
        <v>5</v>
      </c>
      <c r="W221" s="9">
        <f>IFERROR(__xludf.DUMMYFUNCTION("""COMPUTED_VALUE"""),0.0)</f>
        <v>0</v>
      </c>
      <c r="X221" s="9">
        <f>IFERROR(__xludf.DUMMYFUNCTION("""COMPUTED_VALUE"""),6.0)</f>
        <v>6</v>
      </c>
      <c r="Y221" s="9">
        <f>IFERROR(__xludf.DUMMYFUNCTION("""COMPUTED_VALUE"""),6.0)</f>
        <v>6</v>
      </c>
      <c r="Z221" s="9">
        <f>IFERROR(__xludf.DUMMYFUNCTION("""COMPUTED_VALUE"""),0.0)</f>
        <v>0</v>
      </c>
      <c r="AA221" s="9">
        <f>IFERROR(__xludf.DUMMYFUNCTION("""COMPUTED_VALUE"""),0.0)</f>
        <v>0</v>
      </c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</row>
    <row r="222">
      <c r="A222" s="8">
        <f>IFERROR(__xludf.DUMMYFUNCTION("""COMPUTED_VALUE"""),45340.0)</f>
        <v>45340</v>
      </c>
      <c r="B222" s="9">
        <f>IFERROR(__xludf.DUMMYFUNCTION("""COMPUTED_VALUE"""),0.0)</f>
        <v>0</v>
      </c>
      <c r="C222" s="9">
        <f>IFERROR(__xludf.DUMMYFUNCTION("""COMPUTED_VALUE"""),0.0)</f>
        <v>0</v>
      </c>
      <c r="D222" s="9">
        <f>IFERROR(__xludf.DUMMYFUNCTION("""COMPUTED_VALUE"""),0.0)</f>
        <v>0</v>
      </c>
      <c r="E222" s="9">
        <f>IFERROR(__xludf.DUMMYFUNCTION("""COMPUTED_VALUE"""),0.0)</f>
        <v>0</v>
      </c>
      <c r="F222" s="9">
        <f>IFERROR(__xludf.DUMMYFUNCTION("""COMPUTED_VALUE"""),0.0)</f>
        <v>0</v>
      </c>
      <c r="G222" s="9">
        <f>IFERROR(__xludf.DUMMYFUNCTION("""COMPUTED_VALUE"""),0.0)</f>
        <v>0</v>
      </c>
      <c r="H222" s="9"/>
      <c r="I222" s="9">
        <f>IFERROR(__xludf.DUMMYFUNCTION("""COMPUTED_VALUE"""),0.0)</f>
        <v>0</v>
      </c>
      <c r="J222" s="9">
        <f>IFERROR(__xludf.DUMMYFUNCTION("""COMPUTED_VALUE"""),0.0)</f>
        <v>0</v>
      </c>
      <c r="K222" s="9">
        <f>IFERROR(__xludf.DUMMYFUNCTION("""COMPUTED_VALUE"""),0.0)</f>
        <v>0</v>
      </c>
      <c r="L222" s="9">
        <f>IFERROR(__xludf.DUMMYFUNCTION("""COMPUTED_VALUE"""),0.0)</f>
        <v>0</v>
      </c>
      <c r="M222" s="9">
        <f>IFERROR(__xludf.DUMMYFUNCTION("""COMPUTED_VALUE"""),0.0)</f>
        <v>0</v>
      </c>
      <c r="N222" s="9">
        <f>IFERROR(__xludf.DUMMYFUNCTION("""COMPUTED_VALUE"""),0.0)</f>
        <v>0</v>
      </c>
      <c r="O222" s="9">
        <f>IFERROR(__xludf.DUMMYFUNCTION("""COMPUTED_VALUE"""),0.0)</f>
        <v>0</v>
      </c>
      <c r="P222" s="9">
        <f>IFERROR(__xludf.DUMMYFUNCTION("""COMPUTED_VALUE"""),0.0)</f>
        <v>0</v>
      </c>
      <c r="Q222" s="9">
        <f>IFERROR(__xludf.DUMMYFUNCTION("""COMPUTED_VALUE"""),0.0)</f>
        <v>0</v>
      </c>
      <c r="R222" s="9">
        <f>IFERROR(__xludf.DUMMYFUNCTION("""COMPUTED_VALUE"""),0.0)</f>
        <v>0</v>
      </c>
      <c r="S222" s="9">
        <f>IFERROR(__xludf.DUMMYFUNCTION("""COMPUTED_VALUE"""),0.0)</f>
        <v>0</v>
      </c>
      <c r="T222" s="9">
        <f>IFERROR(__xludf.DUMMYFUNCTION("""COMPUTED_VALUE"""),0.0)</f>
        <v>0</v>
      </c>
      <c r="U222" s="9">
        <f>IFERROR(__xludf.DUMMYFUNCTION("""COMPUTED_VALUE"""),0.0)</f>
        <v>0</v>
      </c>
      <c r="V222" s="9">
        <f>IFERROR(__xludf.DUMMYFUNCTION("""COMPUTED_VALUE"""),0.0)</f>
        <v>0</v>
      </c>
      <c r="W222" s="9">
        <f>IFERROR(__xludf.DUMMYFUNCTION("""COMPUTED_VALUE"""),0.0)</f>
        <v>0</v>
      </c>
      <c r="X222" s="9">
        <f>IFERROR(__xludf.DUMMYFUNCTION("""COMPUTED_VALUE"""),0.0)</f>
        <v>0</v>
      </c>
      <c r="Y222" s="9">
        <f>IFERROR(__xludf.DUMMYFUNCTION("""COMPUTED_VALUE"""),0.0)</f>
        <v>0</v>
      </c>
      <c r="Z222" s="9">
        <f>IFERROR(__xludf.DUMMYFUNCTION("""COMPUTED_VALUE"""),0.0)</f>
        <v>0</v>
      </c>
      <c r="AA222" s="9">
        <f>IFERROR(__xludf.DUMMYFUNCTION("""COMPUTED_VALUE"""),0.0)</f>
        <v>0</v>
      </c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  <c r="TB222" s="9"/>
      <c r="TC222" s="9"/>
      <c r="TD222" s="9"/>
      <c r="TE222" s="9"/>
      <c r="TF222" s="9"/>
      <c r="TG222" s="9"/>
      <c r="TH222" s="9"/>
      <c r="TI222" s="9"/>
      <c r="TJ222" s="9"/>
      <c r="TK222" s="9"/>
      <c r="TL222" s="9"/>
      <c r="TM222" s="9"/>
      <c r="TN222" s="9"/>
      <c r="TO222" s="9"/>
      <c r="TP222" s="9"/>
      <c r="TQ222" s="9"/>
      <c r="TR222" s="9"/>
      <c r="TS222" s="9"/>
      <c r="TT222" s="9"/>
      <c r="TU222" s="9"/>
      <c r="TV222" s="9"/>
      <c r="TW222" s="9"/>
      <c r="TX222" s="9"/>
      <c r="TY222" s="9"/>
      <c r="TZ222" s="9"/>
      <c r="UA222" s="9"/>
      <c r="UB222" s="9"/>
      <c r="UC222" s="9"/>
      <c r="UD222" s="9"/>
      <c r="UE222" s="9"/>
      <c r="UF222" s="9"/>
      <c r="UG222" s="9"/>
      <c r="UH222" s="9"/>
      <c r="UI222" s="9"/>
      <c r="UJ222" s="9"/>
    </row>
    <row r="223">
      <c r="A223" s="8">
        <f>IFERROR(__xludf.DUMMYFUNCTION("""COMPUTED_VALUE"""),45341.0)</f>
        <v>45341</v>
      </c>
      <c r="B223" s="9">
        <f>IFERROR(__xludf.DUMMYFUNCTION("""COMPUTED_VALUE"""),11.0)</f>
        <v>11</v>
      </c>
      <c r="C223" s="9">
        <f>IFERROR(__xludf.DUMMYFUNCTION("""COMPUTED_VALUE"""),46.0)</f>
        <v>46</v>
      </c>
      <c r="D223" s="9">
        <f>IFERROR(__xludf.DUMMYFUNCTION("""COMPUTED_VALUE"""),4.0)</f>
        <v>4</v>
      </c>
      <c r="E223" s="9">
        <f>IFERROR(__xludf.DUMMYFUNCTION("""COMPUTED_VALUE"""),967.0)</f>
        <v>967</v>
      </c>
      <c r="F223" s="9">
        <f>IFERROR(__xludf.DUMMYFUNCTION("""COMPUTED_VALUE"""),88.0)</f>
        <v>88</v>
      </c>
      <c r="G223" s="9">
        <f>IFERROR(__xludf.DUMMYFUNCTION("""COMPUTED_VALUE"""),0.0)</f>
        <v>0</v>
      </c>
      <c r="H223" s="9"/>
      <c r="I223" s="9">
        <f>IFERROR(__xludf.DUMMYFUNCTION("""COMPUTED_VALUE"""),11.0)</f>
        <v>11</v>
      </c>
      <c r="J223" s="9">
        <f>IFERROR(__xludf.DUMMYFUNCTION("""COMPUTED_VALUE"""),0.0)</f>
        <v>0</v>
      </c>
      <c r="K223" s="9">
        <f>IFERROR(__xludf.DUMMYFUNCTION("""COMPUTED_VALUE"""),0.0)</f>
        <v>0</v>
      </c>
      <c r="L223" s="9">
        <f>IFERROR(__xludf.DUMMYFUNCTION("""COMPUTED_VALUE"""),0.0)</f>
        <v>0</v>
      </c>
      <c r="M223" s="9">
        <f>IFERROR(__xludf.DUMMYFUNCTION("""COMPUTED_VALUE"""),11.0)</f>
        <v>11</v>
      </c>
      <c r="N223" s="9">
        <f>IFERROR(__xludf.DUMMYFUNCTION("""COMPUTED_VALUE"""),6.0)</f>
        <v>6</v>
      </c>
      <c r="O223" s="9">
        <f>IFERROR(__xludf.DUMMYFUNCTION("""COMPUTED_VALUE"""),0.0)</f>
        <v>0</v>
      </c>
      <c r="P223" s="9">
        <f>IFERROR(__xludf.DUMMYFUNCTION("""COMPUTED_VALUE"""),5.0)</f>
        <v>5</v>
      </c>
      <c r="Q223" s="9">
        <f>IFERROR(__xludf.DUMMYFUNCTION("""COMPUTED_VALUE"""),4.0)</f>
        <v>4</v>
      </c>
      <c r="R223" s="9">
        <f>IFERROR(__xludf.DUMMYFUNCTION("""COMPUTED_VALUE"""),4.0)</f>
        <v>4</v>
      </c>
      <c r="S223" s="9">
        <f>IFERROR(__xludf.DUMMYFUNCTION("""COMPUTED_VALUE"""),6.0)</f>
        <v>6</v>
      </c>
      <c r="T223" s="9">
        <f>IFERROR(__xludf.DUMMYFUNCTION("""COMPUTED_VALUE"""),0.0)</f>
        <v>0</v>
      </c>
      <c r="U223" s="9">
        <f>IFERROR(__xludf.DUMMYFUNCTION("""COMPUTED_VALUE"""),0.0)</f>
        <v>0</v>
      </c>
      <c r="V223" s="9">
        <f>IFERROR(__xludf.DUMMYFUNCTION("""COMPUTED_VALUE"""),8.0)</f>
        <v>8</v>
      </c>
      <c r="W223" s="9">
        <f>IFERROR(__xludf.DUMMYFUNCTION("""COMPUTED_VALUE"""),0.0)</f>
        <v>0</v>
      </c>
      <c r="X223" s="9">
        <f>IFERROR(__xludf.DUMMYFUNCTION("""COMPUTED_VALUE"""),9.0)</f>
        <v>9</v>
      </c>
      <c r="Y223" s="9">
        <f>IFERROR(__xludf.DUMMYFUNCTION("""COMPUTED_VALUE"""),8.0)</f>
        <v>8</v>
      </c>
      <c r="Z223" s="9">
        <f>IFERROR(__xludf.DUMMYFUNCTION("""COMPUTED_VALUE"""),0.0)</f>
        <v>0</v>
      </c>
      <c r="AA223" s="9">
        <f>IFERROR(__xludf.DUMMYFUNCTION("""COMPUTED_VALUE"""),0.0)</f>
        <v>0</v>
      </c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  <c r="TB223" s="9"/>
      <c r="TC223" s="9"/>
      <c r="TD223" s="9"/>
      <c r="TE223" s="9"/>
      <c r="TF223" s="9"/>
      <c r="TG223" s="9"/>
      <c r="TH223" s="9"/>
      <c r="TI223" s="9"/>
      <c r="TJ223" s="9"/>
      <c r="TK223" s="9"/>
      <c r="TL223" s="9"/>
      <c r="TM223" s="9"/>
      <c r="TN223" s="9"/>
      <c r="TO223" s="9"/>
      <c r="TP223" s="9"/>
      <c r="TQ223" s="9"/>
      <c r="TR223" s="9"/>
      <c r="TS223" s="9"/>
      <c r="TT223" s="9"/>
      <c r="TU223" s="9"/>
      <c r="TV223" s="9"/>
      <c r="TW223" s="9"/>
      <c r="TX223" s="9"/>
      <c r="TY223" s="9"/>
      <c r="TZ223" s="9"/>
      <c r="UA223" s="9"/>
      <c r="UB223" s="9"/>
      <c r="UC223" s="9"/>
      <c r="UD223" s="9"/>
      <c r="UE223" s="9"/>
      <c r="UF223" s="9"/>
      <c r="UG223" s="9"/>
      <c r="UH223" s="9"/>
      <c r="UI223" s="9"/>
      <c r="UJ223" s="9"/>
    </row>
    <row r="224">
      <c r="A224" s="8">
        <f>IFERROR(__xludf.DUMMYFUNCTION("""COMPUTED_VALUE"""),45342.0)</f>
        <v>45342</v>
      </c>
      <c r="B224" s="9">
        <f>IFERROR(__xludf.DUMMYFUNCTION("""COMPUTED_VALUE"""),24.0)</f>
        <v>24</v>
      </c>
      <c r="C224" s="9">
        <f>IFERROR(__xludf.DUMMYFUNCTION("""COMPUTED_VALUE"""),102.0)</f>
        <v>102</v>
      </c>
      <c r="D224" s="9">
        <f>IFERROR(__xludf.DUMMYFUNCTION("""COMPUTED_VALUE"""),4.0)</f>
        <v>4</v>
      </c>
      <c r="E224" s="9">
        <f>IFERROR(__xludf.DUMMYFUNCTION("""COMPUTED_VALUE"""),2035.0)</f>
        <v>2035</v>
      </c>
      <c r="F224" s="9">
        <f>IFERROR(__xludf.DUMMYFUNCTION("""COMPUTED_VALUE"""),85.0)</f>
        <v>85</v>
      </c>
      <c r="G224" s="9">
        <f>IFERROR(__xludf.DUMMYFUNCTION("""COMPUTED_VALUE"""),0.0)</f>
        <v>0</v>
      </c>
      <c r="H224" s="9"/>
      <c r="I224" s="9">
        <f>IFERROR(__xludf.DUMMYFUNCTION("""COMPUTED_VALUE"""),19.0)</f>
        <v>19</v>
      </c>
      <c r="J224" s="9">
        <f>IFERROR(__xludf.DUMMYFUNCTION("""COMPUTED_VALUE"""),1.0)</f>
        <v>1</v>
      </c>
      <c r="K224" s="9">
        <f>IFERROR(__xludf.DUMMYFUNCTION("""COMPUTED_VALUE"""),1.0)</f>
        <v>1</v>
      </c>
      <c r="L224" s="9">
        <f>IFERROR(__xludf.DUMMYFUNCTION("""COMPUTED_VALUE"""),0.0)</f>
        <v>0</v>
      </c>
      <c r="M224" s="9">
        <f>IFERROR(__xludf.DUMMYFUNCTION("""COMPUTED_VALUE"""),21.0)</f>
        <v>21</v>
      </c>
      <c r="N224" s="9">
        <f>IFERROR(__xludf.DUMMYFUNCTION("""COMPUTED_VALUE"""),17.0)</f>
        <v>17</v>
      </c>
      <c r="O224" s="9">
        <f>IFERROR(__xludf.DUMMYFUNCTION("""COMPUTED_VALUE"""),0.0)</f>
        <v>0</v>
      </c>
      <c r="P224" s="9">
        <f>IFERROR(__xludf.DUMMYFUNCTION("""COMPUTED_VALUE"""),7.0)</f>
        <v>7</v>
      </c>
      <c r="Q224" s="9">
        <f>IFERROR(__xludf.DUMMYFUNCTION("""COMPUTED_VALUE"""),11.0)</f>
        <v>11</v>
      </c>
      <c r="R224" s="9">
        <f>IFERROR(__xludf.DUMMYFUNCTION("""COMPUTED_VALUE"""),6.0)</f>
        <v>6</v>
      </c>
      <c r="S224" s="9">
        <f>IFERROR(__xludf.DUMMYFUNCTION("""COMPUTED_VALUE"""),16.0)</f>
        <v>16</v>
      </c>
      <c r="T224" s="9">
        <f>IFERROR(__xludf.DUMMYFUNCTION("""COMPUTED_VALUE"""),0.0)</f>
        <v>0</v>
      </c>
      <c r="U224" s="9">
        <f>IFERROR(__xludf.DUMMYFUNCTION("""COMPUTED_VALUE"""),0.0)</f>
        <v>0</v>
      </c>
      <c r="V224" s="9">
        <f>IFERROR(__xludf.DUMMYFUNCTION("""COMPUTED_VALUE"""),17.0)</f>
        <v>17</v>
      </c>
      <c r="W224" s="9">
        <f>IFERROR(__xludf.DUMMYFUNCTION("""COMPUTED_VALUE"""),0.0)</f>
        <v>0</v>
      </c>
      <c r="X224" s="9">
        <f>IFERROR(__xludf.DUMMYFUNCTION("""COMPUTED_VALUE"""),20.0)</f>
        <v>20</v>
      </c>
      <c r="Y224" s="9">
        <f>IFERROR(__xludf.DUMMYFUNCTION("""COMPUTED_VALUE"""),18.0)</f>
        <v>18</v>
      </c>
      <c r="Z224" s="9">
        <f>IFERROR(__xludf.DUMMYFUNCTION("""COMPUTED_VALUE"""),0.0)</f>
        <v>0</v>
      </c>
      <c r="AA224" s="9">
        <f>IFERROR(__xludf.DUMMYFUNCTION("""COMPUTED_VALUE"""),0.0)</f>
        <v>0</v>
      </c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</row>
    <row r="225">
      <c r="A225" s="8">
        <f>IFERROR(__xludf.DUMMYFUNCTION("""COMPUTED_VALUE"""),45343.0)</f>
        <v>45343</v>
      </c>
      <c r="B225" s="9">
        <f>IFERROR(__xludf.DUMMYFUNCTION("""COMPUTED_VALUE"""),15.0)</f>
        <v>15</v>
      </c>
      <c r="C225" s="9">
        <f>IFERROR(__xludf.DUMMYFUNCTION("""COMPUTED_VALUE"""),65.0)</f>
        <v>65</v>
      </c>
      <c r="D225" s="9">
        <f>IFERROR(__xludf.DUMMYFUNCTION("""COMPUTED_VALUE"""),4.0)</f>
        <v>4</v>
      </c>
      <c r="E225" s="9">
        <f>IFERROR(__xludf.DUMMYFUNCTION("""COMPUTED_VALUE"""),1088.0)</f>
        <v>1088</v>
      </c>
      <c r="F225" s="9">
        <f>IFERROR(__xludf.DUMMYFUNCTION("""COMPUTED_VALUE"""),73.0)</f>
        <v>73</v>
      </c>
      <c r="G225" s="9">
        <f>IFERROR(__xludf.DUMMYFUNCTION("""COMPUTED_VALUE"""),0.0)</f>
        <v>0</v>
      </c>
      <c r="H225" s="9"/>
      <c r="I225" s="9">
        <f>IFERROR(__xludf.DUMMYFUNCTION("""COMPUTED_VALUE"""),10.0)</f>
        <v>10</v>
      </c>
      <c r="J225" s="9">
        <f>IFERROR(__xludf.DUMMYFUNCTION("""COMPUTED_VALUE"""),1.0)</f>
        <v>1</v>
      </c>
      <c r="K225" s="9">
        <f>IFERROR(__xludf.DUMMYFUNCTION("""COMPUTED_VALUE"""),1.0)</f>
        <v>1</v>
      </c>
      <c r="L225" s="9">
        <f>IFERROR(__xludf.DUMMYFUNCTION("""COMPUTED_VALUE"""),0.0)</f>
        <v>0</v>
      </c>
      <c r="M225" s="9">
        <f>IFERROR(__xludf.DUMMYFUNCTION("""COMPUTED_VALUE"""),12.0)</f>
        <v>12</v>
      </c>
      <c r="N225" s="9">
        <f>IFERROR(__xludf.DUMMYFUNCTION("""COMPUTED_VALUE"""),5.0)</f>
        <v>5</v>
      </c>
      <c r="O225" s="9">
        <f>IFERROR(__xludf.DUMMYFUNCTION("""COMPUTED_VALUE"""),0.0)</f>
        <v>0</v>
      </c>
      <c r="P225" s="9">
        <f>IFERROR(__xludf.DUMMYFUNCTION("""COMPUTED_VALUE"""),10.0)</f>
        <v>10</v>
      </c>
      <c r="Q225" s="9">
        <f>IFERROR(__xludf.DUMMYFUNCTION("""COMPUTED_VALUE"""),3.0)</f>
        <v>3</v>
      </c>
      <c r="R225" s="9">
        <f>IFERROR(__xludf.DUMMYFUNCTION("""COMPUTED_VALUE"""),9.0)</f>
        <v>9</v>
      </c>
      <c r="S225" s="9">
        <f>IFERROR(__xludf.DUMMYFUNCTION("""COMPUTED_VALUE"""),3.0)</f>
        <v>3</v>
      </c>
      <c r="T225" s="9">
        <f>IFERROR(__xludf.DUMMYFUNCTION("""COMPUTED_VALUE"""),0.0)</f>
        <v>0</v>
      </c>
      <c r="U225" s="9">
        <f>IFERROR(__xludf.DUMMYFUNCTION("""COMPUTED_VALUE"""),0.0)</f>
        <v>0</v>
      </c>
      <c r="V225" s="9">
        <f>IFERROR(__xludf.DUMMYFUNCTION("""COMPUTED_VALUE"""),12.0)</f>
        <v>12</v>
      </c>
      <c r="W225" s="9">
        <f>IFERROR(__xludf.DUMMYFUNCTION("""COMPUTED_VALUE"""),0.0)</f>
        <v>0</v>
      </c>
      <c r="X225" s="9">
        <f>IFERROR(__xludf.DUMMYFUNCTION("""COMPUTED_VALUE"""),9.0)</f>
        <v>9</v>
      </c>
      <c r="Y225" s="9">
        <f>IFERROR(__xludf.DUMMYFUNCTION("""COMPUTED_VALUE"""),13.0)</f>
        <v>13</v>
      </c>
      <c r="Z225" s="9">
        <f>IFERROR(__xludf.DUMMYFUNCTION("""COMPUTED_VALUE"""),0.0)</f>
        <v>0</v>
      </c>
      <c r="AA225" s="9">
        <f>IFERROR(__xludf.DUMMYFUNCTION("""COMPUTED_VALUE"""),0.0)</f>
        <v>0</v>
      </c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</row>
    <row r="226">
      <c r="A226" s="8">
        <f>IFERROR(__xludf.DUMMYFUNCTION("""COMPUTED_VALUE"""),45344.0)</f>
        <v>45344</v>
      </c>
      <c r="B226" s="9">
        <f>IFERROR(__xludf.DUMMYFUNCTION("""COMPUTED_VALUE"""),14.0)</f>
        <v>14</v>
      </c>
      <c r="C226" s="9">
        <f>IFERROR(__xludf.DUMMYFUNCTION("""COMPUTED_VALUE"""),65.0)</f>
        <v>65</v>
      </c>
      <c r="D226" s="9">
        <f>IFERROR(__xludf.DUMMYFUNCTION("""COMPUTED_VALUE"""),5.0)</f>
        <v>5</v>
      </c>
      <c r="E226" s="9">
        <f>IFERROR(__xludf.DUMMYFUNCTION("""COMPUTED_VALUE"""),953.0)</f>
        <v>953</v>
      </c>
      <c r="F226" s="9">
        <f>IFERROR(__xludf.DUMMYFUNCTION("""COMPUTED_VALUE"""),68.0)</f>
        <v>68</v>
      </c>
      <c r="G226" s="9">
        <f>IFERROR(__xludf.DUMMYFUNCTION("""COMPUTED_VALUE"""),0.0)</f>
        <v>0</v>
      </c>
      <c r="H226" s="9"/>
      <c r="I226" s="9">
        <f>IFERROR(__xludf.DUMMYFUNCTION("""COMPUTED_VALUE"""),12.0)</f>
        <v>12</v>
      </c>
      <c r="J226" s="9">
        <f>IFERROR(__xludf.DUMMYFUNCTION("""COMPUTED_VALUE"""),1.0)</f>
        <v>1</v>
      </c>
      <c r="K226" s="9">
        <f>IFERROR(__xludf.DUMMYFUNCTION("""COMPUTED_VALUE"""),0.0)</f>
        <v>0</v>
      </c>
      <c r="L226" s="9">
        <f>IFERROR(__xludf.DUMMYFUNCTION("""COMPUTED_VALUE"""),0.0)</f>
        <v>0</v>
      </c>
      <c r="M226" s="9">
        <f>IFERROR(__xludf.DUMMYFUNCTION("""COMPUTED_VALUE"""),13.0)</f>
        <v>13</v>
      </c>
      <c r="N226" s="9">
        <f>IFERROR(__xludf.DUMMYFUNCTION("""COMPUTED_VALUE"""),8.0)</f>
        <v>8</v>
      </c>
      <c r="O226" s="9">
        <f>IFERROR(__xludf.DUMMYFUNCTION("""COMPUTED_VALUE"""),0.0)</f>
        <v>0</v>
      </c>
      <c r="P226" s="9">
        <f>IFERROR(__xludf.DUMMYFUNCTION("""COMPUTED_VALUE"""),6.0)</f>
        <v>6</v>
      </c>
      <c r="Q226" s="9">
        <f>IFERROR(__xludf.DUMMYFUNCTION("""COMPUTED_VALUE"""),6.0)</f>
        <v>6</v>
      </c>
      <c r="R226" s="9">
        <f>IFERROR(__xludf.DUMMYFUNCTION("""COMPUTED_VALUE"""),3.0)</f>
        <v>3</v>
      </c>
      <c r="S226" s="9">
        <f>IFERROR(__xludf.DUMMYFUNCTION("""COMPUTED_VALUE"""),4.0)</f>
        <v>4</v>
      </c>
      <c r="T226" s="9">
        <f>IFERROR(__xludf.DUMMYFUNCTION("""COMPUTED_VALUE"""),1.0)</f>
        <v>1</v>
      </c>
      <c r="U226" s="9">
        <f>IFERROR(__xludf.DUMMYFUNCTION("""COMPUTED_VALUE"""),0.0)</f>
        <v>0</v>
      </c>
      <c r="V226" s="9">
        <f>IFERROR(__xludf.DUMMYFUNCTION("""COMPUTED_VALUE"""),9.0)</f>
        <v>9</v>
      </c>
      <c r="W226" s="9">
        <f>IFERROR(__xludf.DUMMYFUNCTION("""COMPUTED_VALUE"""),2.0)</f>
        <v>2</v>
      </c>
      <c r="X226" s="9">
        <f>IFERROR(__xludf.DUMMYFUNCTION("""COMPUTED_VALUE"""),8.0)</f>
        <v>8</v>
      </c>
      <c r="Y226" s="9">
        <f>IFERROR(__xludf.DUMMYFUNCTION("""COMPUTED_VALUE"""),13.0)</f>
        <v>13</v>
      </c>
      <c r="Z226" s="9">
        <f>IFERROR(__xludf.DUMMYFUNCTION("""COMPUTED_VALUE"""),3.0)</f>
        <v>3</v>
      </c>
      <c r="AA226" s="9">
        <f>IFERROR(__xludf.DUMMYFUNCTION("""COMPUTED_VALUE"""),0.0)</f>
        <v>0</v>
      </c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</row>
    <row r="227">
      <c r="A227" s="8">
        <f>IFERROR(__xludf.DUMMYFUNCTION("""COMPUTED_VALUE"""),45345.0)</f>
        <v>45345</v>
      </c>
      <c r="B227" s="9">
        <f>IFERROR(__xludf.DUMMYFUNCTION("""COMPUTED_VALUE"""),14.0)</f>
        <v>14</v>
      </c>
      <c r="C227" s="9">
        <f>IFERROR(__xludf.DUMMYFUNCTION("""COMPUTED_VALUE"""),42.0)</f>
        <v>42</v>
      </c>
      <c r="D227" s="9">
        <f>IFERROR(__xludf.DUMMYFUNCTION("""COMPUTED_VALUE"""),3.0)</f>
        <v>3</v>
      </c>
      <c r="E227" s="9">
        <f>IFERROR(__xludf.DUMMYFUNCTION("""COMPUTED_VALUE"""),665.0)</f>
        <v>665</v>
      </c>
      <c r="F227" s="9">
        <f>IFERROR(__xludf.DUMMYFUNCTION("""COMPUTED_VALUE"""),48.0)</f>
        <v>48</v>
      </c>
      <c r="G227" s="9">
        <f>IFERROR(__xludf.DUMMYFUNCTION("""COMPUTED_VALUE"""),0.0)</f>
        <v>0</v>
      </c>
      <c r="H227" s="9"/>
      <c r="I227" s="9">
        <f>IFERROR(__xludf.DUMMYFUNCTION("""COMPUTED_VALUE"""),6.0)</f>
        <v>6</v>
      </c>
      <c r="J227" s="9">
        <f>IFERROR(__xludf.DUMMYFUNCTION("""COMPUTED_VALUE"""),4.0)</f>
        <v>4</v>
      </c>
      <c r="K227" s="9">
        <f>IFERROR(__xludf.DUMMYFUNCTION("""COMPUTED_VALUE"""),0.0)</f>
        <v>0</v>
      </c>
      <c r="L227" s="9">
        <f>IFERROR(__xludf.DUMMYFUNCTION("""COMPUTED_VALUE"""),0.0)</f>
        <v>0</v>
      </c>
      <c r="M227" s="9">
        <f>IFERROR(__xludf.DUMMYFUNCTION("""COMPUTED_VALUE"""),10.0)</f>
        <v>10</v>
      </c>
      <c r="N227" s="9">
        <f>IFERROR(__xludf.DUMMYFUNCTION("""COMPUTED_VALUE"""),9.0)</f>
        <v>9</v>
      </c>
      <c r="O227" s="9">
        <f>IFERROR(__xludf.DUMMYFUNCTION("""COMPUTED_VALUE"""),0.0)</f>
        <v>0</v>
      </c>
      <c r="P227" s="9">
        <f>IFERROR(__xludf.DUMMYFUNCTION("""COMPUTED_VALUE"""),5.0)</f>
        <v>5</v>
      </c>
      <c r="Q227" s="9">
        <f>IFERROR(__xludf.DUMMYFUNCTION("""COMPUTED_VALUE"""),6.0)</f>
        <v>6</v>
      </c>
      <c r="R227" s="9">
        <f>IFERROR(__xludf.DUMMYFUNCTION("""COMPUTED_VALUE"""),3.0)</f>
        <v>3</v>
      </c>
      <c r="S227" s="9">
        <f>IFERROR(__xludf.DUMMYFUNCTION("""COMPUTED_VALUE"""),1.0)</f>
        <v>1</v>
      </c>
      <c r="T227" s="9">
        <f>IFERROR(__xludf.DUMMYFUNCTION("""COMPUTED_VALUE"""),1.0)</f>
        <v>1</v>
      </c>
      <c r="U227" s="9">
        <f>IFERROR(__xludf.DUMMYFUNCTION("""COMPUTED_VALUE"""),0.0)</f>
        <v>0</v>
      </c>
      <c r="V227" s="9">
        <f>IFERROR(__xludf.DUMMYFUNCTION("""COMPUTED_VALUE"""),9.0)</f>
        <v>9</v>
      </c>
      <c r="W227" s="9">
        <f>IFERROR(__xludf.DUMMYFUNCTION("""COMPUTED_VALUE"""),0.0)</f>
        <v>0</v>
      </c>
      <c r="X227" s="9">
        <f>IFERROR(__xludf.DUMMYFUNCTION("""COMPUTED_VALUE"""),1.0)</f>
        <v>1</v>
      </c>
      <c r="Y227" s="9">
        <f>IFERROR(__xludf.DUMMYFUNCTION("""COMPUTED_VALUE"""),10.0)</f>
        <v>10</v>
      </c>
      <c r="Z227" s="9">
        <f>IFERROR(__xludf.DUMMYFUNCTION("""COMPUTED_VALUE"""),1.0)</f>
        <v>1</v>
      </c>
      <c r="AA227" s="9">
        <f>IFERROR(__xludf.DUMMYFUNCTION("""COMPUTED_VALUE"""),0.0)</f>
        <v>0</v>
      </c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</row>
    <row r="228">
      <c r="A228" s="8">
        <f>IFERROR(__xludf.DUMMYFUNCTION("""COMPUTED_VALUE"""),45346.0)</f>
        <v>45346</v>
      </c>
      <c r="B228" s="9">
        <f>IFERROR(__xludf.DUMMYFUNCTION("""COMPUTED_VALUE"""),8.0)</f>
        <v>8</v>
      </c>
      <c r="C228" s="9">
        <f>IFERROR(__xludf.DUMMYFUNCTION("""COMPUTED_VALUE"""),37.0)</f>
        <v>37</v>
      </c>
      <c r="D228" s="9">
        <f>IFERROR(__xludf.DUMMYFUNCTION("""COMPUTED_VALUE"""),5.0)</f>
        <v>5</v>
      </c>
      <c r="E228" s="9">
        <f>IFERROR(__xludf.DUMMYFUNCTION("""COMPUTED_VALUE"""),751.0)</f>
        <v>751</v>
      </c>
      <c r="F228" s="9">
        <f>IFERROR(__xludf.DUMMYFUNCTION("""COMPUTED_VALUE"""),94.0)</f>
        <v>94</v>
      </c>
      <c r="G228" s="9">
        <f>IFERROR(__xludf.DUMMYFUNCTION("""COMPUTED_VALUE"""),0.0)</f>
        <v>0</v>
      </c>
      <c r="H228" s="9"/>
      <c r="I228" s="9">
        <f>IFERROR(__xludf.DUMMYFUNCTION("""COMPUTED_VALUE"""),6.0)</f>
        <v>6</v>
      </c>
      <c r="J228" s="9">
        <f>IFERROR(__xludf.DUMMYFUNCTION("""COMPUTED_VALUE"""),1.0)</f>
        <v>1</v>
      </c>
      <c r="K228" s="9">
        <f>IFERROR(__xludf.DUMMYFUNCTION("""COMPUTED_VALUE"""),0.0)</f>
        <v>0</v>
      </c>
      <c r="L228" s="9">
        <f>IFERROR(__xludf.DUMMYFUNCTION("""COMPUTED_VALUE"""),0.0)</f>
        <v>0</v>
      </c>
      <c r="M228" s="9">
        <f>IFERROR(__xludf.DUMMYFUNCTION("""COMPUTED_VALUE"""),7.0)</f>
        <v>7</v>
      </c>
      <c r="N228" s="9">
        <f>IFERROR(__xludf.DUMMYFUNCTION("""COMPUTED_VALUE"""),4.0)</f>
        <v>4</v>
      </c>
      <c r="O228" s="9">
        <f>IFERROR(__xludf.DUMMYFUNCTION("""COMPUTED_VALUE"""),0.0)</f>
        <v>0</v>
      </c>
      <c r="P228" s="9">
        <f>IFERROR(__xludf.DUMMYFUNCTION("""COMPUTED_VALUE"""),4.0)</f>
        <v>4</v>
      </c>
      <c r="Q228" s="9">
        <f>IFERROR(__xludf.DUMMYFUNCTION("""COMPUTED_VALUE"""),0.0)</f>
        <v>0</v>
      </c>
      <c r="R228" s="9">
        <f>IFERROR(__xludf.DUMMYFUNCTION("""COMPUTED_VALUE"""),4.0)</f>
        <v>4</v>
      </c>
      <c r="S228" s="9">
        <f>IFERROR(__xludf.DUMMYFUNCTION("""COMPUTED_VALUE"""),3.0)</f>
        <v>3</v>
      </c>
      <c r="T228" s="9">
        <f>IFERROR(__xludf.DUMMYFUNCTION("""COMPUTED_VALUE"""),0.0)</f>
        <v>0</v>
      </c>
      <c r="U228" s="9">
        <f>IFERROR(__xludf.DUMMYFUNCTION("""COMPUTED_VALUE"""),0.0)</f>
        <v>0</v>
      </c>
      <c r="V228" s="9">
        <f>IFERROR(__xludf.DUMMYFUNCTION("""COMPUTED_VALUE"""),4.0)</f>
        <v>4</v>
      </c>
      <c r="W228" s="9">
        <f>IFERROR(__xludf.DUMMYFUNCTION("""COMPUTED_VALUE"""),0.0)</f>
        <v>0</v>
      </c>
      <c r="X228" s="9">
        <f>IFERROR(__xludf.DUMMYFUNCTION("""COMPUTED_VALUE"""),13.0)</f>
        <v>13</v>
      </c>
      <c r="Y228" s="9">
        <f>IFERROR(__xludf.DUMMYFUNCTION("""COMPUTED_VALUE"""),5.0)</f>
        <v>5</v>
      </c>
      <c r="Z228" s="9">
        <f>IFERROR(__xludf.DUMMYFUNCTION("""COMPUTED_VALUE"""),0.0)</f>
        <v>0</v>
      </c>
      <c r="AA228" s="9">
        <f>IFERROR(__xludf.DUMMYFUNCTION("""COMPUTED_VALUE"""),0.0)</f>
        <v>0</v>
      </c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</row>
    <row r="229">
      <c r="A229" s="8">
        <f>IFERROR(__xludf.DUMMYFUNCTION("""COMPUTED_VALUE"""),45347.0)</f>
        <v>45347</v>
      </c>
      <c r="B229" s="9">
        <f>IFERROR(__xludf.DUMMYFUNCTION("""COMPUTED_VALUE"""),0.0)</f>
        <v>0</v>
      </c>
      <c r="C229" s="9">
        <f>IFERROR(__xludf.DUMMYFUNCTION("""COMPUTED_VALUE"""),0.0)</f>
        <v>0</v>
      </c>
      <c r="D229" s="9">
        <f>IFERROR(__xludf.DUMMYFUNCTION("""COMPUTED_VALUE"""),0.0)</f>
        <v>0</v>
      </c>
      <c r="E229" s="9">
        <f>IFERROR(__xludf.DUMMYFUNCTION("""COMPUTED_VALUE"""),0.0)</f>
        <v>0</v>
      </c>
      <c r="F229" s="9">
        <f>IFERROR(__xludf.DUMMYFUNCTION("""COMPUTED_VALUE"""),0.0)</f>
        <v>0</v>
      </c>
      <c r="G229" s="9">
        <f>IFERROR(__xludf.DUMMYFUNCTION("""COMPUTED_VALUE"""),0.0)</f>
        <v>0</v>
      </c>
      <c r="H229" s="9"/>
      <c r="I229" s="9">
        <f>IFERROR(__xludf.DUMMYFUNCTION("""COMPUTED_VALUE"""),0.0)</f>
        <v>0</v>
      </c>
      <c r="J229" s="9">
        <f>IFERROR(__xludf.DUMMYFUNCTION("""COMPUTED_VALUE"""),0.0)</f>
        <v>0</v>
      </c>
      <c r="K229" s="9">
        <f>IFERROR(__xludf.DUMMYFUNCTION("""COMPUTED_VALUE"""),0.0)</f>
        <v>0</v>
      </c>
      <c r="L229" s="9">
        <f>IFERROR(__xludf.DUMMYFUNCTION("""COMPUTED_VALUE"""),0.0)</f>
        <v>0</v>
      </c>
      <c r="M229" s="9">
        <f>IFERROR(__xludf.DUMMYFUNCTION("""COMPUTED_VALUE"""),0.0)</f>
        <v>0</v>
      </c>
      <c r="N229" s="9">
        <f>IFERROR(__xludf.DUMMYFUNCTION("""COMPUTED_VALUE"""),0.0)</f>
        <v>0</v>
      </c>
      <c r="O229" s="9">
        <f>IFERROR(__xludf.DUMMYFUNCTION("""COMPUTED_VALUE"""),0.0)</f>
        <v>0</v>
      </c>
      <c r="P229" s="9">
        <f>IFERROR(__xludf.DUMMYFUNCTION("""COMPUTED_VALUE"""),0.0)</f>
        <v>0</v>
      </c>
      <c r="Q229" s="9">
        <f>IFERROR(__xludf.DUMMYFUNCTION("""COMPUTED_VALUE"""),0.0)</f>
        <v>0</v>
      </c>
      <c r="R229" s="9">
        <f>IFERROR(__xludf.DUMMYFUNCTION("""COMPUTED_VALUE"""),0.0)</f>
        <v>0</v>
      </c>
      <c r="S229" s="9">
        <f>IFERROR(__xludf.DUMMYFUNCTION("""COMPUTED_VALUE"""),0.0)</f>
        <v>0</v>
      </c>
      <c r="T229" s="9">
        <f>IFERROR(__xludf.DUMMYFUNCTION("""COMPUTED_VALUE"""),0.0)</f>
        <v>0</v>
      </c>
      <c r="U229" s="9">
        <f>IFERROR(__xludf.DUMMYFUNCTION("""COMPUTED_VALUE"""),0.0)</f>
        <v>0</v>
      </c>
      <c r="V229" s="9">
        <f>IFERROR(__xludf.DUMMYFUNCTION("""COMPUTED_VALUE"""),0.0)</f>
        <v>0</v>
      </c>
      <c r="W229" s="9">
        <f>IFERROR(__xludf.DUMMYFUNCTION("""COMPUTED_VALUE"""),0.0)</f>
        <v>0</v>
      </c>
      <c r="X229" s="9">
        <f>IFERROR(__xludf.DUMMYFUNCTION("""COMPUTED_VALUE"""),0.0)</f>
        <v>0</v>
      </c>
      <c r="Y229" s="9">
        <f>IFERROR(__xludf.DUMMYFUNCTION("""COMPUTED_VALUE"""),0.0)</f>
        <v>0</v>
      </c>
      <c r="Z229" s="9">
        <f>IFERROR(__xludf.DUMMYFUNCTION("""COMPUTED_VALUE"""),0.0)</f>
        <v>0</v>
      </c>
      <c r="AA229" s="9">
        <f>IFERROR(__xludf.DUMMYFUNCTION("""COMPUTED_VALUE"""),0.0)</f>
        <v>0</v>
      </c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</row>
    <row r="230">
      <c r="A230" s="8">
        <f>IFERROR(__xludf.DUMMYFUNCTION("""COMPUTED_VALUE"""),45348.0)</f>
        <v>45348</v>
      </c>
      <c r="B230" s="9">
        <f>IFERROR(__xludf.DUMMYFUNCTION("""COMPUTED_VALUE"""),9.0)</f>
        <v>9</v>
      </c>
      <c r="C230" s="9">
        <f>IFERROR(__xludf.DUMMYFUNCTION("""COMPUTED_VALUE"""),40.0)</f>
        <v>40</v>
      </c>
      <c r="D230" s="9">
        <f>IFERROR(__xludf.DUMMYFUNCTION("""COMPUTED_VALUE"""),4.0)</f>
        <v>4</v>
      </c>
      <c r="E230" s="9">
        <f>IFERROR(__xludf.DUMMYFUNCTION("""COMPUTED_VALUE"""),766.0)</f>
        <v>766</v>
      </c>
      <c r="F230" s="9">
        <f>IFERROR(__xludf.DUMMYFUNCTION("""COMPUTED_VALUE"""),85.0)</f>
        <v>85</v>
      </c>
      <c r="G230" s="9">
        <f>IFERROR(__xludf.DUMMYFUNCTION("""COMPUTED_VALUE"""),0.0)</f>
        <v>0</v>
      </c>
      <c r="H230" s="9"/>
      <c r="I230" s="9">
        <f>IFERROR(__xludf.DUMMYFUNCTION("""COMPUTED_VALUE"""),5.0)</f>
        <v>5</v>
      </c>
      <c r="J230" s="9">
        <f>IFERROR(__xludf.DUMMYFUNCTION("""COMPUTED_VALUE"""),2.0)</f>
        <v>2</v>
      </c>
      <c r="K230" s="9">
        <f>IFERROR(__xludf.DUMMYFUNCTION("""COMPUTED_VALUE"""),0.0)</f>
        <v>0</v>
      </c>
      <c r="L230" s="9">
        <f>IFERROR(__xludf.DUMMYFUNCTION("""COMPUTED_VALUE"""),0.0)</f>
        <v>0</v>
      </c>
      <c r="M230" s="9">
        <f>IFERROR(__xludf.DUMMYFUNCTION("""COMPUTED_VALUE"""),7.0)</f>
        <v>7</v>
      </c>
      <c r="N230" s="9">
        <f>IFERROR(__xludf.DUMMYFUNCTION("""COMPUTED_VALUE"""),4.0)</f>
        <v>4</v>
      </c>
      <c r="O230" s="9">
        <f>IFERROR(__xludf.DUMMYFUNCTION("""COMPUTED_VALUE"""),0.0)</f>
        <v>0</v>
      </c>
      <c r="P230" s="9">
        <f>IFERROR(__xludf.DUMMYFUNCTION("""COMPUTED_VALUE"""),5.0)</f>
        <v>5</v>
      </c>
      <c r="Q230" s="9">
        <f>IFERROR(__xludf.DUMMYFUNCTION("""COMPUTED_VALUE"""),3.0)</f>
        <v>3</v>
      </c>
      <c r="R230" s="9">
        <f>IFERROR(__xludf.DUMMYFUNCTION("""COMPUTED_VALUE"""),2.0)</f>
        <v>2</v>
      </c>
      <c r="S230" s="9">
        <f>IFERROR(__xludf.DUMMYFUNCTION("""COMPUTED_VALUE"""),2.0)</f>
        <v>2</v>
      </c>
      <c r="T230" s="9">
        <f>IFERROR(__xludf.DUMMYFUNCTION("""COMPUTED_VALUE"""),0.0)</f>
        <v>0</v>
      </c>
      <c r="U230" s="9">
        <f>IFERROR(__xludf.DUMMYFUNCTION("""COMPUTED_VALUE"""),0.0)</f>
        <v>0</v>
      </c>
      <c r="V230" s="9">
        <f>IFERROR(__xludf.DUMMYFUNCTION("""COMPUTED_VALUE"""),5.0)</f>
        <v>5</v>
      </c>
      <c r="W230" s="9">
        <f>IFERROR(__xludf.DUMMYFUNCTION("""COMPUTED_VALUE"""),1.0)</f>
        <v>1</v>
      </c>
      <c r="X230" s="9">
        <f>IFERROR(__xludf.DUMMYFUNCTION("""COMPUTED_VALUE"""),9.0)</f>
        <v>9</v>
      </c>
      <c r="Y230" s="9">
        <f>IFERROR(__xludf.DUMMYFUNCTION("""COMPUTED_VALUE"""),6.0)</f>
        <v>6</v>
      </c>
      <c r="Z230" s="9">
        <f>IFERROR(__xludf.DUMMYFUNCTION("""COMPUTED_VALUE"""),1.0)</f>
        <v>1</v>
      </c>
      <c r="AA230" s="9">
        <f>IFERROR(__xludf.DUMMYFUNCTION("""COMPUTED_VALUE"""),0.0)</f>
        <v>0</v>
      </c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</row>
    <row r="231">
      <c r="A231" s="8">
        <f>IFERROR(__xludf.DUMMYFUNCTION("""COMPUTED_VALUE"""),45349.0)</f>
        <v>45349</v>
      </c>
      <c r="B231" s="9">
        <f>IFERROR(__xludf.DUMMYFUNCTION("""COMPUTED_VALUE"""),11.0)</f>
        <v>11</v>
      </c>
      <c r="C231" s="9">
        <f>IFERROR(__xludf.DUMMYFUNCTION("""COMPUTED_VALUE"""),36.0)</f>
        <v>36</v>
      </c>
      <c r="D231" s="9">
        <f>IFERROR(__xludf.DUMMYFUNCTION("""COMPUTED_VALUE"""),3.0)</f>
        <v>3</v>
      </c>
      <c r="E231" s="9">
        <f>IFERROR(__xludf.DUMMYFUNCTION("""COMPUTED_VALUE"""),635.0)</f>
        <v>635</v>
      </c>
      <c r="F231" s="9">
        <f>IFERROR(__xludf.DUMMYFUNCTION("""COMPUTED_VALUE"""),58.0)</f>
        <v>58</v>
      </c>
      <c r="G231" s="9">
        <f>IFERROR(__xludf.DUMMYFUNCTION("""COMPUTED_VALUE"""),0.0)</f>
        <v>0</v>
      </c>
      <c r="H231" s="9"/>
      <c r="I231" s="9">
        <f>IFERROR(__xludf.DUMMYFUNCTION("""COMPUTED_VALUE"""),11.0)</f>
        <v>11</v>
      </c>
      <c r="J231" s="9">
        <f>IFERROR(__xludf.DUMMYFUNCTION("""COMPUTED_VALUE"""),0.0)</f>
        <v>0</v>
      </c>
      <c r="K231" s="9">
        <f>IFERROR(__xludf.DUMMYFUNCTION("""COMPUTED_VALUE"""),0.0)</f>
        <v>0</v>
      </c>
      <c r="L231" s="9">
        <f>IFERROR(__xludf.DUMMYFUNCTION("""COMPUTED_VALUE"""),0.0)</f>
        <v>0</v>
      </c>
      <c r="M231" s="9">
        <f>IFERROR(__xludf.DUMMYFUNCTION("""COMPUTED_VALUE"""),11.0)</f>
        <v>11</v>
      </c>
      <c r="N231" s="9">
        <f>IFERROR(__xludf.DUMMYFUNCTION("""COMPUTED_VALUE"""),9.0)</f>
        <v>9</v>
      </c>
      <c r="O231" s="9">
        <f>IFERROR(__xludf.DUMMYFUNCTION("""COMPUTED_VALUE"""),0.0)</f>
        <v>0</v>
      </c>
      <c r="P231" s="9">
        <f>IFERROR(__xludf.DUMMYFUNCTION("""COMPUTED_VALUE"""),2.0)</f>
        <v>2</v>
      </c>
      <c r="Q231" s="9">
        <f>IFERROR(__xludf.DUMMYFUNCTION("""COMPUTED_VALUE"""),6.0)</f>
        <v>6</v>
      </c>
      <c r="R231" s="9">
        <f>IFERROR(__xludf.DUMMYFUNCTION("""COMPUTED_VALUE"""),1.0)</f>
        <v>1</v>
      </c>
      <c r="S231" s="9">
        <f>IFERROR(__xludf.DUMMYFUNCTION("""COMPUTED_VALUE"""),3.0)</f>
        <v>3</v>
      </c>
      <c r="T231" s="9">
        <f>IFERROR(__xludf.DUMMYFUNCTION("""COMPUTED_VALUE"""),1.0)</f>
        <v>1</v>
      </c>
      <c r="U231" s="9">
        <f>IFERROR(__xludf.DUMMYFUNCTION("""COMPUTED_VALUE"""),0.0)</f>
        <v>0</v>
      </c>
      <c r="V231" s="9">
        <f>IFERROR(__xludf.DUMMYFUNCTION("""COMPUTED_VALUE"""),7.0)</f>
        <v>7</v>
      </c>
      <c r="W231" s="9">
        <f>IFERROR(__xludf.DUMMYFUNCTION("""COMPUTED_VALUE"""),0.0)</f>
        <v>0</v>
      </c>
      <c r="X231" s="9">
        <f>IFERROR(__xludf.DUMMYFUNCTION("""COMPUTED_VALUE"""),1.0)</f>
        <v>1</v>
      </c>
      <c r="Y231" s="9">
        <f>IFERROR(__xludf.DUMMYFUNCTION("""COMPUTED_VALUE"""),9.0)</f>
        <v>9</v>
      </c>
      <c r="Z231" s="9">
        <f>IFERROR(__xludf.DUMMYFUNCTION("""COMPUTED_VALUE"""),1.0)</f>
        <v>1</v>
      </c>
      <c r="AA231" s="9">
        <f>IFERROR(__xludf.DUMMYFUNCTION("""COMPUTED_VALUE"""),0.0)</f>
        <v>0</v>
      </c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</row>
    <row r="232">
      <c r="A232" s="8">
        <f>IFERROR(__xludf.DUMMYFUNCTION("""COMPUTED_VALUE"""),45350.0)</f>
        <v>45350</v>
      </c>
      <c r="B232" s="9">
        <f>IFERROR(__xludf.DUMMYFUNCTION("""COMPUTED_VALUE"""),8.0)</f>
        <v>8</v>
      </c>
      <c r="C232" s="9">
        <f>IFERROR(__xludf.DUMMYFUNCTION("""COMPUTED_VALUE"""),36.0)</f>
        <v>36</v>
      </c>
      <c r="D232" s="9">
        <f>IFERROR(__xludf.DUMMYFUNCTION("""COMPUTED_VALUE"""),4.0)</f>
        <v>4</v>
      </c>
      <c r="E232" s="9">
        <f>IFERROR(__xludf.DUMMYFUNCTION("""COMPUTED_VALUE"""),586.0)</f>
        <v>586</v>
      </c>
      <c r="F232" s="9">
        <f>IFERROR(__xludf.DUMMYFUNCTION("""COMPUTED_VALUE"""),73.0)</f>
        <v>73</v>
      </c>
      <c r="G232" s="9">
        <f>IFERROR(__xludf.DUMMYFUNCTION("""COMPUTED_VALUE"""),0.0)</f>
        <v>0</v>
      </c>
      <c r="H232" s="9"/>
      <c r="I232" s="9">
        <f>IFERROR(__xludf.DUMMYFUNCTION("""COMPUTED_VALUE"""),6.0)</f>
        <v>6</v>
      </c>
      <c r="J232" s="9">
        <f>IFERROR(__xludf.DUMMYFUNCTION("""COMPUTED_VALUE"""),1.0)</f>
        <v>1</v>
      </c>
      <c r="K232" s="9">
        <f>IFERROR(__xludf.DUMMYFUNCTION("""COMPUTED_VALUE"""),0.0)</f>
        <v>0</v>
      </c>
      <c r="L232" s="9">
        <f>IFERROR(__xludf.DUMMYFUNCTION("""COMPUTED_VALUE"""),0.0)</f>
        <v>0</v>
      </c>
      <c r="M232" s="9">
        <f>IFERROR(__xludf.DUMMYFUNCTION("""COMPUTED_VALUE"""),7.0)</f>
        <v>7</v>
      </c>
      <c r="N232" s="9">
        <f>IFERROR(__xludf.DUMMYFUNCTION("""COMPUTED_VALUE"""),7.0)</f>
        <v>7</v>
      </c>
      <c r="O232" s="9">
        <f>IFERROR(__xludf.DUMMYFUNCTION("""COMPUTED_VALUE"""),0.0)</f>
        <v>0</v>
      </c>
      <c r="P232" s="9">
        <f>IFERROR(__xludf.DUMMYFUNCTION("""COMPUTED_VALUE"""),1.0)</f>
        <v>1</v>
      </c>
      <c r="Q232" s="9">
        <f>IFERROR(__xludf.DUMMYFUNCTION("""COMPUTED_VALUE"""),3.0)</f>
        <v>3</v>
      </c>
      <c r="R232" s="9">
        <f>IFERROR(__xludf.DUMMYFUNCTION("""COMPUTED_VALUE"""),0.0)</f>
        <v>0</v>
      </c>
      <c r="S232" s="9">
        <f>IFERROR(__xludf.DUMMYFUNCTION("""COMPUTED_VALUE"""),4.0)</f>
        <v>4</v>
      </c>
      <c r="T232" s="9">
        <f>IFERROR(__xludf.DUMMYFUNCTION("""COMPUTED_VALUE"""),1.0)</f>
        <v>1</v>
      </c>
      <c r="U232" s="9">
        <f>IFERROR(__xludf.DUMMYFUNCTION("""COMPUTED_VALUE"""),0.0)</f>
        <v>0</v>
      </c>
      <c r="V232" s="9">
        <f>IFERROR(__xludf.DUMMYFUNCTION("""COMPUTED_VALUE"""),3.0)</f>
        <v>3</v>
      </c>
      <c r="W232" s="9">
        <f>IFERROR(__xludf.DUMMYFUNCTION("""COMPUTED_VALUE"""),0.0)</f>
        <v>0</v>
      </c>
      <c r="X232" s="9">
        <f>IFERROR(__xludf.DUMMYFUNCTION("""COMPUTED_VALUE"""),6.0)</f>
        <v>6</v>
      </c>
      <c r="Y232" s="9">
        <f>IFERROR(__xludf.DUMMYFUNCTION("""COMPUTED_VALUE"""),7.0)</f>
        <v>7</v>
      </c>
      <c r="Z232" s="9">
        <f>IFERROR(__xludf.DUMMYFUNCTION("""COMPUTED_VALUE"""),1.0)</f>
        <v>1</v>
      </c>
      <c r="AA232" s="9">
        <f>IFERROR(__xludf.DUMMYFUNCTION("""COMPUTED_VALUE"""),0.0)</f>
        <v>0</v>
      </c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</row>
    <row r="233">
      <c r="A233" s="8">
        <f>IFERROR(__xludf.DUMMYFUNCTION("""COMPUTED_VALUE"""),45351.0)</f>
        <v>45351</v>
      </c>
      <c r="B233" s="9">
        <f>IFERROR(__xludf.DUMMYFUNCTION("""COMPUTED_VALUE"""),14.0)</f>
        <v>14</v>
      </c>
      <c r="C233" s="9">
        <f>IFERROR(__xludf.DUMMYFUNCTION("""COMPUTED_VALUE"""),47.0)</f>
        <v>47</v>
      </c>
      <c r="D233" s="9">
        <f>IFERROR(__xludf.DUMMYFUNCTION("""COMPUTED_VALUE"""),3.0)</f>
        <v>3</v>
      </c>
      <c r="E233" s="9">
        <f>IFERROR(__xludf.DUMMYFUNCTION("""COMPUTED_VALUE"""),745.0)</f>
        <v>745</v>
      </c>
      <c r="F233" s="9">
        <f>IFERROR(__xludf.DUMMYFUNCTION("""COMPUTED_VALUE"""),53.0)</f>
        <v>53</v>
      </c>
      <c r="G233" s="9">
        <f>IFERROR(__xludf.DUMMYFUNCTION("""COMPUTED_VALUE"""),0.0)</f>
        <v>0</v>
      </c>
      <c r="H233" s="9"/>
      <c r="I233" s="9">
        <f>IFERROR(__xludf.DUMMYFUNCTION("""COMPUTED_VALUE"""),12.0)</f>
        <v>12</v>
      </c>
      <c r="J233" s="9">
        <f>IFERROR(__xludf.DUMMYFUNCTION("""COMPUTED_VALUE"""),1.0)</f>
        <v>1</v>
      </c>
      <c r="K233" s="9">
        <f>IFERROR(__xludf.DUMMYFUNCTION("""COMPUTED_VALUE"""),0.0)</f>
        <v>0</v>
      </c>
      <c r="L233" s="9">
        <f>IFERROR(__xludf.DUMMYFUNCTION("""COMPUTED_VALUE"""),0.0)</f>
        <v>0</v>
      </c>
      <c r="M233" s="9">
        <f>IFERROR(__xludf.DUMMYFUNCTION("""COMPUTED_VALUE"""),13.0)</f>
        <v>13</v>
      </c>
      <c r="N233" s="9">
        <f>IFERROR(__xludf.DUMMYFUNCTION("""COMPUTED_VALUE"""),10.0)</f>
        <v>10</v>
      </c>
      <c r="O233" s="9">
        <f>IFERROR(__xludf.DUMMYFUNCTION("""COMPUTED_VALUE"""),0.0)</f>
        <v>0</v>
      </c>
      <c r="P233" s="9">
        <f>IFERROR(__xludf.DUMMYFUNCTION("""COMPUTED_VALUE"""),4.0)</f>
        <v>4</v>
      </c>
      <c r="Q233" s="9">
        <f>IFERROR(__xludf.DUMMYFUNCTION("""COMPUTED_VALUE"""),5.0)</f>
        <v>5</v>
      </c>
      <c r="R233" s="9">
        <f>IFERROR(__xludf.DUMMYFUNCTION("""COMPUTED_VALUE"""),4.0)</f>
        <v>4</v>
      </c>
      <c r="S233" s="9">
        <f>IFERROR(__xludf.DUMMYFUNCTION("""COMPUTED_VALUE"""),3.0)</f>
        <v>3</v>
      </c>
      <c r="T233" s="9">
        <f>IFERROR(__xludf.DUMMYFUNCTION("""COMPUTED_VALUE"""),0.0)</f>
        <v>0</v>
      </c>
      <c r="U233" s="9">
        <f>IFERROR(__xludf.DUMMYFUNCTION("""COMPUTED_VALUE"""),0.0)</f>
        <v>0</v>
      </c>
      <c r="V233" s="9">
        <f>IFERROR(__xludf.DUMMYFUNCTION("""COMPUTED_VALUE"""),9.0)</f>
        <v>9</v>
      </c>
      <c r="W233" s="9">
        <f>IFERROR(__xludf.DUMMYFUNCTION("""COMPUTED_VALUE"""),0.0)</f>
        <v>0</v>
      </c>
      <c r="X233" s="9">
        <f>IFERROR(__xludf.DUMMYFUNCTION("""COMPUTED_VALUE"""),4.0)</f>
        <v>4</v>
      </c>
      <c r="Y233" s="9">
        <f>IFERROR(__xludf.DUMMYFUNCTION("""COMPUTED_VALUE"""),10.0)</f>
        <v>10</v>
      </c>
      <c r="Z233" s="9">
        <f>IFERROR(__xludf.DUMMYFUNCTION("""COMPUTED_VALUE"""),0.0)</f>
        <v>0</v>
      </c>
      <c r="AA233" s="9">
        <f>IFERROR(__xludf.DUMMYFUNCTION("""COMPUTED_VALUE"""),0.0)</f>
        <v>0</v>
      </c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</row>
    <row r="234">
      <c r="A234" s="8">
        <f>IFERROR(__xludf.DUMMYFUNCTION("""COMPUTED_VALUE"""),45352.0)</f>
        <v>45352</v>
      </c>
      <c r="B234" s="9">
        <f>IFERROR(__xludf.DUMMYFUNCTION("""COMPUTED_VALUE"""),14.0)</f>
        <v>14</v>
      </c>
      <c r="C234" s="9">
        <f>IFERROR(__xludf.DUMMYFUNCTION("""COMPUTED_VALUE"""),62.0)</f>
        <v>62</v>
      </c>
      <c r="D234" s="9">
        <f>IFERROR(__xludf.DUMMYFUNCTION("""COMPUTED_VALUE"""),4.0)</f>
        <v>4</v>
      </c>
      <c r="E234" s="9">
        <f>IFERROR(__xludf.DUMMYFUNCTION("""COMPUTED_VALUE"""),884.0)</f>
        <v>884</v>
      </c>
      <c r="F234" s="9">
        <f>IFERROR(__xludf.DUMMYFUNCTION("""COMPUTED_VALUE"""),63.0)</f>
        <v>63</v>
      </c>
      <c r="G234" s="9">
        <f>IFERROR(__xludf.DUMMYFUNCTION("""COMPUTED_VALUE"""),0.0)</f>
        <v>0</v>
      </c>
      <c r="H234" s="9"/>
      <c r="I234" s="9">
        <f>IFERROR(__xludf.DUMMYFUNCTION("""COMPUTED_VALUE"""),11.0)</f>
        <v>11</v>
      </c>
      <c r="J234" s="9">
        <f>IFERROR(__xludf.DUMMYFUNCTION("""COMPUTED_VALUE"""),0.0)</f>
        <v>0</v>
      </c>
      <c r="K234" s="9">
        <f>IFERROR(__xludf.DUMMYFUNCTION("""COMPUTED_VALUE"""),1.0)</f>
        <v>1</v>
      </c>
      <c r="L234" s="9">
        <f>IFERROR(__xludf.DUMMYFUNCTION("""COMPUTED_VALUE"""),0.0)</f>
        <v>0</v>
      </c>
      <c r="M234" s="9">
        <f>IFERROR(__xludf.DUMMYFUNCTION("""COMPUTED_VALUE"""),12.0)</f>
        <v>12</v>
      </c>
      <c r="N234" s="9">
        <f>IFERROR(__xludf.DUMMYFUNCTION("""COMPUTED_VALUE"""),9.0)</f>
        <v>9</v>
      </c>
      <c r="O234" s="9">
        <f>IFERROR(__xludf.DUMMYFUNCTION("""COMPUTED_VALUE"""),0.0)</f>
        <v>0</v>
      </c>
      <c r="P234" s="9">
        <f>IFERROR(__xludf.DUMMYFUNCTION("""COMPUTED_VALUE"""),5.0)</f>
        <v>5</v>
      </c>
      <c r="Q234" s="9">
        <f>IFERROR(__xludf.DUMMYFUNCTION("""COMPUTED_VALUE"""),5.0)</f>
        <v>5</v>
      </c>
      <c r="R234" s="9">
        <f>IFERROR(__xludf.DUMMYFUNCTION("""COMPUTED_VALUE"""),3.0)</f>
        <v>3</v>
      </c>
      <c r="S234" s="9">
        <f>IFERROR(__xludf.DUMMYFUNCTION("""COMPUTED_VALUE"""),8.0)</f>
        <v>8</v>
      </c>
      <c r="T234" s="9">
        <f>IFERROR(__xludf.DUMMYFUNCTION("""COMPUTED_VALUE"""),0.0)</f>
        <v>0</v>
      </c>
      <c r="U234" s="9">
        <f>IFERROR(__xludf.DUMMYFUNCTION("""COMPUTED_VALUE"""),0.0)</f>
        <v>0</v>
      </c>
      <c r="V234" s="9">
        <f>IFERROR(__xludf.DUMMYFUNCTION("""COMPUTED_VALUE"""),8.0)</f>
        <v>8</v>
      </c>
      <c r="W234" s="9">
        <f>IFERROR(__xludf.DUMMYFUNCTION("""COMPUTED_VALUE"""),1.0)</f>
        <v>1</v>
      </c>
      <c r="X234" s="9">
        <f>IFERROR(__xludf.DUMMYFUNCTION("""COMPUTED_VALUE"""),3.0)</f>
        <v>3</v>
      </c>
      <c r="Y234" s="9">
        <f>IFERROR(__xludf.DUMMYFUNCTION("""COMPUTED_VALUE"""),10.0)</f>
        <v>10</v>
      </c>
      <c r="Z234" s="9">
        <f>IFERROR(__xludf.DUMMYFUNCTION("""COMPUTED_VALUE"""),1.0)</f>
        <v>1</v>
      </c>
      <c r="AA234" s="9">
        <f>IFERROR(__xludf.DUMMYFUNCTION("""COMPUTED_VALUE"""),0.0)</f>
        <v>0</v>
      </c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</row>
    <row r="235">
      <c r="A235" s="8">
        <f>IFERROR(__xludf.DUMMYFUNCTION("""COMPUTED_VALUE"""),45353.0)</f>
        <v>45353</v>
      </c>
      <c r="B235" s="9">
        <f>IFERROR(__xludf.DUMMYFUNCTION("""COMPUTED_VALUE"""),2.0)</f>
        <v>2</v>
      </c>
      <c r="C235" s="9">
        <f>IFERROR(__xludf.DUMMYFUNCTION("""COMPUTED_VALUE"""),5.0)</f>
        <v>5</v>
      </c>
      <c r="D235" s="9">
        <f>IFERROR(__xludf.DUMMYFUNCTION("""COMPUTED_VALUE"""),2.0)</f>
        <v>2</v>
      </c>
      <c r="E235" s="9">
        <f>IFERROR(__xludf.DUMMYFUNCTION("""COMPUTED_VALUE"""),66.0)</f>
        <v>66</v>
      </c>
      <c r="F235" s="9">
        <f>IFERROR(__xludf.DUMMYFUNCTION("""COMPUTED_VALUE"""),33.0)</f>
        <v>33</v>
      </c>
      <c r="G235" s="9">
        <f>IFERROR(__xludf.DUMMYFUNCTION("""COMPUTED_VALUE"""),0.0)</f>
        <v>0</v>
      </c>
      <c r="H235" s="9"/>
      <c r="I235" s="9">
        <f>IFERROR(__xludf.DUMMYFUNCTION("""COMPUTED_VALUE"""),2.0)</f>
        <v>2</v>
      </c>
      <c r="J235" s="9">
        <f>IFERROR(__xludf.DUMMYFUNCTION("""COMPUTED_VALUE"""),0.0)</f>
        <v>0</v>
      </c>
      <c r="K235" s="9">
        <f>IFERROR(__xludf.DUMMYFUNCTION("""COMPUTED_VALUE"""),0.0)</f>
        <v>0</v>
      </c>
      <c r="L235" s="9">
        <f>IFERROR(__xludf.DUMMYFUNCTION("""COMPUTED_VALUE"""),0.0)</f>
        <v>0</v>
      </c>
      <c r="M235" s="9">
        <f>IFERROR(__xludf.DUMMYFUNCTION("""COMPUTED_VALUE"""),2.0)</f>
        <v>2</v>
      </c>
      <c r="N235" s="9">
        <f>IFERROR(__xludf.DUMMYFUNCTION("""COMPUTED_VALUE"""),1.0)</f>
        <v>1</v>
      </c>
      <c r="O235" s="9">
        <f>IFERROR(__xludf.DUMMYFUNCTION("""COMPUTED_VALUE"""),0.0)</f>
        <v>0</v>
      </c>
      <c r="P235" s="9">
        <f>IFERROR(__xludf.DUMMYFUNCTION("""COMPUTED_VALUE"""),1.0)</f>
        <v>1</v>
      </c>
      <c r="Q235" s="9">
        <f>IFERROR(__xludf.DUMMYFUNCTION("""COMPUTED_VALUE"""),0.0)</f>
        <v>0</v>
      </c>
      <c r="R235" s="9">
        <f>IFERROR(__xludf.DUMMYFUNCTION("""COMPUTED_VALUE"""),0.0)</f>
        <v>0</v>
      </c>
      <c r="S235" s="9">
        <f>IFERROR(__xludf.DUMMYFUNCTION("""COMPUTED_VALUE"""),0.0)</f>
        <v>0</v>
      </c>
      <c r="T235" s="9">
        <f>IFERROR(__xludf.DUMMYFUNCTION("""COMPUTED_VALUE"""),0.0)</f>
        <v>0</v>
      </c>
      <c r="U235" s="9">
        <f>IFERROR(__xludf.DUMMYFUNCTION("""COMPUTED_VALUE"""),0.0)</f>
        <v>0</v>
      </c>
      <c r="V235" s="9">
        <f>IFERROR(__xludf.DUMMYFUNCTION("""COMPUTED_VALUE"""),0.0)</f>
        <v>0</v>
      </c>
      <c r="W235" s="9">
        <f>IFERROR(__xludf.DUMMYFUNCTION("""COMPUTED_VALUE"""),0.0)</f>
        <v>0</v>
      </c>
      <c r="X235" s="9">
        <f>IFERROR(__xludf.DUMMYFUNCTION("""COMPUTED_VALUE"""),0.0)</f>
        <v>0</v>
      </c>
      <c r="Y235" s="9">
        <f>IFERROR(__xludf.DUMMYFUNCTION("""COMPUTED_VALUE"""),1.0)</f>
        <v>1</v>
      </c>
      <c r="Z235" s="9">
        <f>IFERROR(__xludf.DUMMYFUNCTION("""COMPUTED_VALUE"""),0.0)</f>
        <v>0</v>
      </c>
      <c r="AA235" s="9">
        <f>IFERROR(__xludf.DUMMYFUNCTION("""COMPUTED_VALUE"""),0.0)</f>
        <v>0</v>
      </c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</row>
    <row r="236">
      <c r="A236" s="8">
        <f>IFERROR(__xludf.DUMMYFUNCTION("""COMPUTED_VALUE"""),45354.0)</f>
        <v>45354</v>
      </c>
      <c r="B236" s="9">
        <f>IFERROR(__xludf.DUMMYFUNCTION("""COMPUTED_VALUE"""),0.0)</f>
        <v>0</v>
      </c>
      <c r="C236" s="9">
        <f>IFERROR(__xludf.DUMMYFUNCTION("""COMPUTED_VALUE"""),0.0)</f>
        <v>0</v>
      </c>
      <c r="D236" s="9">
        <f>IFERROR(__xludf.DUMMYFUNCTION("""COMPUTED_VALUE"""),0.0)</f>
        <v>0</v>
      </c>
      <c r="E236" s="9">
        <f>IFERROR(__xludf.DUMMYFUNCTION("""COMPUTED_VALUE"""),0.0)</f>
        <v>0</v>
      </c>
      <c r="F236" s="9">
        <f>IFERROR(__xludf.DUMMYFUNCTION("""COMPUTED_VALUE"""),0.0)</f>
        <v>0</v>
      </c>
      <c r="G236" s="9">
        <f>IFERROR(__xludf.DUMMYFUNCTION("""COMPUTED_VALUE"""),0.0)</f>
        <v>0</v>
      </c>
      <c r="H236" s="9"/>
      <c r="I236" s="9">
        <f>IFERROR(__xludf.DUMMYFUNCTION("""COMPUTED_VALUE"""),0.0)</f>
        <v>0</v>
      </c>
      <c r="J236" s="9">
        <f>IFERROR(__xludf.DUMMYFUNCTION("""COMPUTED_VALUE"""),0.0)</f>
        <v>0</v>
      </c>
      <c r="K236" s="9">
        <f>IFERROR(__xludf.DUMMYFUNCTION("""COMPUTED_VALUE"""),0.0)</f>
        <v>0</v>
      </c>
      <c r="L236" s="9">
        <f>IFERROR(__xludf.DUMMYFUNCTION("""COMPUTED_VALUE"""),0.0)</f>
        <v>0</v>
      </c>
      <c r="M236" s="9">
        <f>IFERROR(__xludf.DUMMYFUNCTION("""COMPUTED_VALUE"""),0.0)</f>
        <v>0</v>
      </c>
      <c r="N236" s="9">
        <f>IFERROR(__xludf.DUMMYFUNCTION("""COMPUTED_VALUE"""),0.0)</f>
        <v>0</v>
      </c>
      <c r="O236" s="9">
        <f>IFERROR(__xludf.DUMMYFUNCTION("""COMPUTED_VALUE"""),0.0)</f>
        <v>0</v>
      </c>
      <c r="P236" s="9">
        <f>IFERROR(__xludf.DUMMYFUNCTION("""COMPUTED_VALUE"""),0.0)</f>
        <v>0</v>
      </c>
      <c r="Q236" s="9">
        <f>IFERROR(__xludf.DUMMYFUNCTION("""COMPUTED_VALUE"""),0.0)</f>
        <v>0</v>
      </c>
      <c r="R236" s="9">
        <f>IFERROR(__xludf.DUMMYFUNCTION("""COMPUTED_VALUE"""),0.0)</f>
        <v>0</v>
      </c>
      <c r="S236" s="9">
        <f>IFERROR(__xludf.DUMMYFUNCTION("""COMPUTED_VALUE"""),0.0)</f>
        <v>0</v>
      </c>
      <c r="T236" s="9">
        <f>IFERROR(__xludf.DUMMYFUNCTION("""COMPUTED_VALUE"""),0.0)</f>
        <v>0</v>
      </c>
      <c r="U236" s="9">
        <f>IFERROR(__xludf.DUMMYFUNCTION("""COMPUTED_VALUE"""),0.0)</f>
        <v>0</v>
      </c>
      <c r="V236" s="9">
        <f>IFERROR(__xludf.DUMMYFUNCTION("""COMPUTED_VALUE"""),0.0)</f>
        <v>0</v>
      </c>
      <c r="W236" s="9">
        <f>IFERROR(__xludf.DUMMYFUNCTION("""COMPUTED_VALUE"""),0.0)</f>
        <v>0</v>
      </c>
      <c r="X236" s="9">
        <f>IFERROR(__xludf.DUMMYFUNCTION("""COMPUTED_VALUE"""),0.0)</f>
        <v>0</v>
      </c>
      <c r="Y236" s="9">
        <f>IFERROR(__xludf.DUMMYFUNCTION("""COMPUTED_VALUE"""),0.0)</f>
        <v>0</v>
      </c>
      <c r="Z236" s="9">
        <f>IFERROR(__xludf.DUMMYFUNCTION("""COMPUTED_VALUE"""),0.0)</f>
        <v>0</v>
      </c>
      <c r="AA236" s="9">
        <f>IFERROR(__xludf.DUMMYFUNCTION("""COMPUTED_VALUE"""),0.0)</f>
        <v>0</v>
      </c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</row>
    <row r="237">
      <c r="A237" s="8">
        <f>IFERROR(__xludf.DUMMYFUNCTION("""COMPUTED_VALUE"""),45355.0)</f>
        <v>45355</v>
      </c>
      <c r="B237" s="9">
        <f>IFERROR(__xludf.DUMMYFUNCTION("""COMPUTED_VALUE"""),16.0)</f>
        <v>16</v>
      </c>
      <c r="C237" s="9">
        <f>IFERROR(__xludf.DUMMYFUNCTION("""COMPUTED_VALUE"""),66.0)</f>
        <v>66</v>
      </c>
      <c r="D237" s="9">
        <f>IFERROR(__xludf.DUMMYFUNCTION("""COMPUTED_VALUE"""),4.0)</f>
        <v>4</v>
      </c>
      <c r="E237" s="9">
        <f>IFERROR(__xludf.DUMMYFUNCTION("""COMPUTED_VALUE"""),1279.0)</f>
        <v>1279</v>
      </c>
      <c r="F237" s="9">
        <f>IFERROR(__xludf.DUMMYFUNCTION("""COMPUTED_VALUE"""),80.0)</f>
        <v>80</v>
      </c>
      <c r="G237" s="9">
        <f>IFERROR(__xludf.DUMMYFUNCTION("""COMPUTED_VALUE"""),0.0)</f>
        <v>0</v>
      </c>
      <c r="H237" s="9"/>
      <c r="I237" s="9">
        <f>IFERROR(__xludf.DUMMYFUNCTION("""COMPUTED_VALUE"""),12.0)</f>
        <v>12</v>
      </c>
      <c r="J237" s="9">
        <f>IFERROR(__xludf.DUMMYFUNCTION("""COMPUTED_VALUE"""),2.0)</f>
        <v>2</v>
      </c>
      <c r="K237" s="9">
        <f>IFERROR(__xludf.DUMMYFUNCTION("""COMPUTED_VALUE"""),0.0)</f>
        <v>0</v>
      </c>
      <c r="L237" s="9">
        <f>IFERROR(__xludf.DUMMYFUNCTION("""COMPUTED_VALUE"""),0.0)</f>
        <v>0</v>
      </c>
      <c r="M237" s="9">
        <f>IFERROR(__xludf.DUMMYFUNCTION("""COMPUTED_VALUE"""),14.0)</f>
        <v>14</v>
      </c>
      <c r="N237" s="9">
        <f>IFERROR(__xludf.DUMMYFUNCTION("""COMPUTED_VALUE"""),12.0)</f>
        <v>12</v>
      </c>
      <c r="O237" s="9">
        <f>IFERROR(__xludf.DUMMYFUNCTION("""COMPUTED_VALUE"""),0.0)</f>
        <v>0</v>
      </c>
      <c r="P237" s="9">
        <f>IFERROR(__xludf.DUMMYFUNCTION("""COMPUTED_VALUE"""),3.0)</f>
        <v>3</v>
      </c>
      <c r="Q237" s="9">
        <f>IFERROR(__xludf.DUMMYFUNCTION("""COMPUTED_VALUE"""),7.0)</f>
        <v>7</v>
      </c>
      <c r="R237" s="9">
        <f>IFERROR(__xludf.DUMMYFUNCTION("""COMPUTED_VALUE"""),3.0)</f>
        <v>3</v>
      </c>
      <c r="S237" s="9">
        <f>IFERROR(__xludf.DUMMYFUNCTION("""COMPUTED_VALUE"""),5.0)</f>
        <v>5</v>
      </c>
      <c r="T237" s="9">
        <f>IFERROR(__xludf.DUMMYFUNCTION("""COMPUTED_VALUE"""),0.0)</f>
        <v>0</v>
      </c>
      <c r="U237" s="9">
        <f>IFERROR(__xludf.DUMMYFUNCTION("""COMPUTED_VALUE"""),0.0)</f>
        <v>0</v>
      </c>
      <c r="V237" s="9">
        <f>IFERROR(__xludf.DUMMYFUNCTION("""COMPUTED_VALUE"""),10.0)</f>
        <v>10</v>
      </c>
      <c r="W237" s="9">
        <f>IFERROR(__xludf.DUMMYFUNCTION("""COMPUTED_VALUE"""),0.0)</f>
        <v>0</v>
      </c>
      <c r="X237" s="9">
        <f>IFERROR(__xludf.DUMMYFUNCTION("""COMPUTED_VALUE"""),14.0)</f>
        <v>14</v>
      </c>
      <c r="Y237" s="9">
        <f>IFERROR(__xludf.DUMMYFUNCTION("""COMPUTED_VALUE"""),11.0)</f>
        <v>11</v>
      </c>
      <c r="Z237" s="9">
        <f>IFERROR(__xludf.DUMMYFUNCTION("""COMPUTED_VALUE"""),0.0)</f>
        <v>0</v>
      </c>
      <c r="AA237" s="9">
        <f>IFERROR(__xludf.DUMMYFUNCTION("""COMPUTED_VALUE"""),0.0)</f>
        <v>0</v>
      </c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</row>
    <row r="238">
      <c r="A238" s="8">
        <f>IFERROR(__xludf.DUMMYFUNCTION("""COMPUTED_VALUE"""),45356.0)</f>
        <v>45356</v>
      </c>
      <c r="B238" s="9">
        <f>IFERROR(__xludf.DUMMYFUNCTION("""COMPUTED_VALUE"""),16.0)</f>
        <v>16</v>
      </c>
      <c r="C238" s="9">
        <f>IFERROR(__xludf.DUMMYFUNCTION("""COMPUTED_VALUE"""),70.0)</f>
        <v>70</v>
      </c>
      <c r="D238" s="9">
        <f>IFERROR(__xludf.DUMMYFUNCTION("""COMPUTED_VALUE"""),4.0)</f>
        <v>4</v>
      </c>
      <c r="E238" s="9">
        <f>IFERROR(__xludf.DUMMYFUNCTION("""COMPUTED_VALUE"""),1144.0)</f>
        <v>1144</v>
      </c>
      <c r="F238" s="9">
        <f>IFERROR(__xludf.DUMMYFUNCTION("""COMPUTED_VALUE"""),72.0)</f>
        <v>72</v>
      </c>
      <c r="G238" s="9">
        <f>IFERROR(__xludf.DUMMYFUNCTION("""COMPUTED_VALUE"""),0.0)</f>
        <v>0</v>
      </c>
      <c r="H238" s="9"/>
      <c r="I238" s="9">
        <f>IFERROR(__xludf.DUMMYFUNCTION("""COMPUTED_VALUE"""),11.0)</f>
        <v>11</v>
      </c>
      <c r="J238" s="9">
        <f>IFERROR(__xludf.DUMMYFUNCTION("""COMPUTED_VALUE"""),1.0)</f>
        <v>1</v>
      </c>
      <c r="K238" s="9">
        <f>IFERROR(__xludf.DUMMYFUNCTION("""COMPUTED_VALUE"""),1.0)</f>
        <v>1</v>
      </c>
      <c r="L238" s="9">
        <f>IFERROR(__xludf.DUMMYFUNCTION("""COMPUTED_VALUE"""),0.0)</f>
        <v>0</v>
      </c>
      <c r="M238" s="9">
        <f>IFERROR(__xludf.DUMMYFUNCTION("""COMPUTED_VALUE"""),13.0)</f>
        <v>13</v>
      </c>
      <c r="N238" s="9">
        <f>IFERROR(__xludf.DUMMYFUNCTION("""COMPUTED_VALUE"""),12.0)</f>
        <v>12</v>
      </c>
      <c r="O238" s="9">
        <f>IFERROR(__xludf.DUMMYFUNCTION("""COMPUTED_VALUE"""),0.0)</f>
        <v>0</v>
      </c>
      <c r="P238" s="9">
        <f>IFERROR(__xludf.DUMMYFUNCTION("""COMPUTED_VALUE"""),4.0)</f>
        <v>4</v>
      </c>
      <c r="Q238" s="9">
        <f>IFERROR(__xludf.DUMMYFUNCTION("""COMPUTED_VALUE"""),5.0)</f>
        <v>5</v>
      </c>
      <c r="R238" s="9">
        <f>IFERROR(__xludf.DUMMYFUNCTION("""COMPUTED_VALUE"""),0.0)</f>
        <v>0</v>
      </c>
      <c r="S238" s="9">
        <f>IFERROR(__xludf.DUMMYFUNCTION("""COMPUTED_VALUE"""),5.0)</f>
        <v>5</v>
      </c>
      <c r="T238" s="9">
        <f>IFERROR(__xludf.DUMMYFUNCTION("""COMPUTED_VALUE"""),1.0)</f>
        <v>1</v>
      </c>
      <c r="U238" s="9">
        <f>IFERROR(__xludf.DUMMYFUNCTION("""COMPUTED_VALUE"""),0.0)</f>
        <v>0</v>
      </c>
      <c r="V238" s="9">
        <f>IFERROR(__xludf.DUMMYFUNCTION("""COMPUTED_VALUE"""),5.0)</f>
        <v>5</v>
      </c>
      <c r="W238" s="9">
        <f>IFERROR(__xludf.DUMMYFUNCTION("""COMPUTED_VALUE"""),0.0)</f>
        <v>0</v>
      </c>
      <c r="X238" s="9">
        <f>IFERROR(__xludf.DUMMYFUNCTION("""COMPUTED_VALUE"""),18.0)</f>
        <v>18</v>
      </c>
      <c r="Y238" s="9">
        <f>IFERROR(__xludf.DUMMYFUNCTION("""COMPUTED_VALUE"""),6.0)</f>
        <v>6</v>
      </c>
      <c r="Z238" s="9">
        <f>IFERROR(__xludf.DUMMYFUNCTION("""COMPUTED_VALUE"""),1.0)</f>
        <v>1</v>
      </c>
      <c r="AA238" s="9">
        <f>IFERROR(__xludf.DUMMYFUNCTION("""COMPUTED_VALUE"""),0.0)</f>
        <v>0</v>
      </c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</row>
    <row r="239">
      <c r="A239" s="8">
        <f>IFERROR(__xludf.DUMMYFUNCTION("""COMPUTED_VALUE"""),45357.0)</f>
        <v>45357</v>
      </c>
      <c r="B239" s="9">
        <f>IFERROR(__xludf.DUMMYFUNCTION("""COMPUTED_VALUE"""),5.0)</f>
        <v>5</v>
      </c>
      <c r="C239" s="9">
        <f>IFERROR(__xludf.DUMMYFUNCTION("""COMPUTED_VALUE"""),19.0)</f>
        <v>19</v>
      </c>
      <c r="D239" s="9">
        <f>IFERROR(__xludf.DUMMYFUNCTION("""COMPUTED_VALUE"""),4.0)</f>
        <v>4</v>
      </c>
      <c r="E239" s="9">
        <f>IFERROR(__xludf.DUMMYFUNCTION("""COMPUTED_VALUE"""),347.0)</f>
        <v>347</v>
      </c>
      <c r="F239" s="9">
        <f>IFERROR(__xludf.DUMMYFUNCTION("""COMPUTED_VALUE"""),69.0)</f>
        <v>69</v>
      </c>
      <c r="G239" s="9">
        <f>IFERROR(__xludf.DUMMYFUNCTION("""COMPUTED_VALUE"""),0.0)</f>
        <v>0</v>
      </c>
      <c r="H239" s="9"/>
      <c r="I239" s="9">
        <f>IFERROR(__xludf.DUMMYFUNCTION("""COMPUTED_VALUE"""),3.0)</f>
        <v>3</v>
      </c>
      <c r="J239" s="9">
        <f>IFERROR(__xludf.DUMMYFUNCTION("""COMPUTED_VALUE"""),1.0)</f>
        <v>1</v>
      </c>
      <c r="K239" s="9">
        <f>IFERROR(__xludf.DUMMYFUNCTION("""COMPUTED_VALUE"""),0.0)</f>
        <v>0</v>
      </c>
      <c r="L239" s="9">
        <f>IFERROR(__xludf.DUMMYFUNCTION("""COMPUTED_VALUE"""),0.0)</f>
        <v>0</v>
      </c>
      <c r="M239" s="9">
        <f>IFERROR(__xludf.DUMMYFUNCTION("""COMPUTED_VALUE"""),4.0)</f>
        <v>4</v>
      </c>
      <c r="N239" s="9">
        <f>IFERROR(__xludf.DUMMYFUNCTION("""COMPUTED_VALUE"""),5.0)</f>
        <v>5</v>
      </c>
      <c r="O239" s="9">
        <f>IFERROR(__xludf.DUMMYFUNCTION("""COMPUTED_VALUE"""),0.0)</f>
        <v>0</v>
      </c>
      <c r="P239" s="9">
        <f>IFERROR(__xludf.DUMMYFUNCTION("""COMPUTED_VALUE"""),0.0)</f>
        <v>0</v>
      </c>
      <c r="Q239" s="9">
        <f>IFERROR(__xludf.DUMMYFUNCTION("""COMPUTED_VALUE"""),3.0)</f>
        <v>3</v>
      </c>
      <c r="R239" s="9">
        <f>IFERROR(__xludf.DUMMYFUNCTION("""COMPUTED_VALUE"""),0.0)</f>
        <v>0</v>
      </c>
      <c r="S239" s="9">
        <f>IFERROR(__xludf.DUMMYFUNCTION("""COMPUTED_VALUE"""),2.0)</f>
        <v>2</v>
      </c>
      <c r="T239" s="9">
        <f>IFERROR(__xludf.DUMMYFUNCTION("""COMPUTED_VALUE"""),0.0)</f>
        <v>0</v>
      </c>
      <c r="U239" s="9">
        <f>IFERROR(__xludf.DUMMYFUNCTION("""COMPUTED_VALUE"""),0.0)</f>
        <v>0</v>
      </c>
      <c r="V239" s="9">
        <f>IFERROR(__xludf.DUMMYFUNCTION("""COMPUTED_VALUE"""),3.0)</f>
        <v>3</v>
      </c>
      <c r="W239" s="9">
        <f>IFERROR(__xludf.DUMMYFUNCTION("""COMPUTED_VALUE"""),0.0)</f>
        <v>0</v>
      </c>
      <c r="X239" s="9">
        <f>IFERROR(__xludf.DUMMYFUNCTION("""COMPUTED_VALUE"""),4.0)</f>
        <v>4</v>
      </c>
      <c r="Y239" s="9">
        <f>IFERROR(__xludf.DUMMYFUNCTION("""COMPUTED_VALUE"""),3.0)</f>
        <v>3</v>
      </c>
      <c r="Z239" s="9">
        <f>IFERROR(__xludf.DUMMYFUNCTION("""COMPUTED_VALUE"""),0.0)</f>
        <v>0</v>
      </c>
      <c r="AA239" s="9">
        <f>IFERROR(__xludf.DUMMYFUNCTION("""COMPUTED_VALUE"""),0.0)</f>
        <v>0</v>
      </c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</row>
    <row r="240">
      <c r="A240" s="8">
        <f>IFERROR(__xludf.DUMMYFUNCTION("""COMPUTED_VALUE"""),45358.0)</f>
        <v>45358</v>
      </c>
      <c r="B240" s="9">
        <f>IFERROR(__xludf.DUMMYFUNCTION("""COMPUTED_VALUE"""),5.0)</f>
        <v>5</v>
      </c>
      <c r="C240" s="9">
        <f>IFERROR(__xludf.DUMMYFUNCTION("""COMPUTED_VALUE"""),17.0)</f>
        <v>17</v>
      </c>
      <c r="D240" s="9">
        <f>IFERROR(__xludf.DUMMYFUNCTION("""COMPUTED_VALUE"""),3.0)</f>
        <v>3</v>
      </c>
      <c r="E240" s="9">
        <f>IFERROR(__xludf.DUMMYFUNCTION("""COMPUTED_VALUE"""),322.0)</f>
        <v>322</v>
      </c>
      <c r="F240" s="9">
        <f>IFERROR(__xludf.DUMMYFUNCTION("""COMPUTED_VALUE"""),64.0)</f>
        <v>64</v>
      </c>
      <c r="G240" s="9">
        <f>IFERROR(__xludf.DUMMYFUNCTION("""COMPUTED_VALUE"""),0.0)</f>
        <v>0</v>
      </c>
      <c r="H240" s="9"/>
      <c r="I240" s="9">
        <f>IFERROR(__xludf.DUMMYFUNCTION("""COMPUTED_VALUE"""),2.0)</f>
        <v>2</v>
      </c>
      <c r="J240" s="9">
        <f>IFERROR(__xludf.DUMMYFUNCTION("""COMPUTED_VALUE"""),0.0)</f>
        <v>0</v>
      </c>
      <c r="K240" s="9">
        <f>IFERROR(__xludf.DUMMYFUNCTION("""COMPUTED_VALUE"""),1.0)</f>
        <v>1</v>
      </c>
      <c r="L240" s="9">
        <f>IFERROR(__xludf.DUMMYFUNCTION("""COMPUTED_VALUE"""),0.0)</f>
        <v>0</v>
      </c>
      <c r="M240" s="9">
        <f>IFERROR(__xludf.DUMMYFUNCTION("""COMPUTED_VALUE"""),3.0)</f>
        <v>3</v>
      </c>
      <c r="N240" s="9">
        <f>IFERROR(__xludf.DUMMYFUNCTION("""COMPUTED_VALUE"""),4.0)</f>
        <v>4</v>
      </c>
      <c r="O240" s="9">
        <f>IFERROR(__xludf.DUMMYFUNCTION("""COMPUTED_VALUE"""),0.0)</f>
        <v>0</v>
      </c>
      <c r="P240" s="9">
        <f>IFERROR(__xludf.DUMMYFUNCTION("""COMPUTED_VALUE"""),1.0)</f>
        <v>1</v>
      </c>
      <c r="Q240" s="9">
        <f>IFERROR(__xludf.DUMMYFUNCTION("""COMPUTED_VALUE"""),1.0)</f>
        <v>1</v>
      </c>
      <c r="R240" s="9">
        <f>IFERROR(__xludf.DUMMYFUNCTION("""COMPUTED_VALUE"""),1.0)</f>
        <v>1</v>
      </c>
      <c r="S240" s="9">
        <f>IFERROR(__xludf.DUMMYFUNCTION("""COMPUTED_VALUE"""),0.0)</f>
        <v>0</v>
      </c>
      <c r="T240" s="9">
        <f>IFERROR(__xludf.DUMMYFUNCTION("""COMPUTED_VALUE"""),0.0)</f>
        <v>0</v>
      </c>
      <c r="U240" s="9">
        <f>IFERROR(__xludf.DUMMYFUNCTION("""COMPUTED_VALUE"""),0.0)</f>
        <v>0</v>
      </c>
      <c r="V240" s="9">
        <f>IFERROR(__xludf.DUMMYFUNCTION("""COMPUTED_VALUE"""),2.0)</f>
        <v>2</v>
      </c>
      <c r="W240" s="9">
        <f>IFERROR(__xludf.DUMMYFUNCTION("""COMPUTED_VALUE"""),0.0)</f>
        <v>0</v>
      </c>
      <c r="X240" s="9">
        <f>IFERROR(__xludf.DUMMYFUNCTION("""COMPUTED_VALUE"""),1.0)</f>
        <v>1</v>
      </c>
      <c r="Y240" s="9">
        <f>IFERROR(__xludf.DUMMYFUNCTION("""COMPUTED_VALUE"""),4.0)</f>
        <v>4</v>
      </c>
      <c r="Z240" s="9">
        <f>IFERROR(__xludf.DUMMYFUNCTION("""COMPUTED_VALUE"""),0.0)</f>
        <v>0</v>
      </c>
      <c r="AA240" s="9">
        <f>IFERROR(__xludf.DUMMYFUNCTION("""COMPUTED_VALUE"""),0.0)</f>
        <v>0</v>
      </c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</row>
    <row r="241">
      <c r="A241" s="8">
        <f>IFERROR(__xludf.DUMMYFUNCTION("""COMPUTED_VALUE"""),45359.0)</f>
        <v>45359</v>
      </c>
      <c r="B241" s="9">
        <f>IFERROR(__xludf.DUMMYFUNCTION("""COMPUTED_VALUE"""),5.0)</f>
        <v>5</v>
      </c>
      <c r="C241" s="9">
        <f>IFERROR(__xludf.DUMMYFUNCTION("""COMPUTED_VALUE"""),14.0)</f>
        <v>14</v>
      </c>
      <c r="D241" s="9">
        <f>IFERROR(__xludf.DUMMYFUNCTION("""COMPUTED_VALUE"""),3.0)</f>
        <v>3</v>
      </c>
      <c r="E241" s="9">
        <f>IFERROR(__xludf.DUMMYFUNCTION("""COMPUTED_VALUE"""),215.0)</f>
        <v>215</v>
      </c>
      <c r="F241" s="9">
        <f>IFERROR(__xludf.DUMMYFUNCTION("""COMPUTED_VALUE"""),43.0)</f>
        <v>43</v>
      </c>
      <c r="G241" s="9">
        <f>IFERROR(__xludf.DUMMYFUNCTION("""COMPUTED_VALUE"""),0.0)</f>
        <v>0</v>
      </c>
      <c r="H241" s="9"/>
      <c r="I241" s="9">
        <f>IFERROR(__xludf.DUMMYFUNCTION("""COMPUTED_VALUE"""),2.0)</f>
        <v>2</v>
      </c>
      <c r="J241" s="9">
        <f>IFERROR(__xludf.DUMMYFUNCTION("""COMPUTED_VALUE"""),0.0)</f>
        <v>0</v>
      </c>
      <c r="K241" s="9">
        <f>IFERROR(__xludf.DUMMYFUNCTION("""COMPUTED_VALUE"""),1.0)</f>
        <v>1</v>
      </c>
      <c r="L241" s="9">
        <f>IFERROR(__xludf.DUMMYFUNCTION("""COMPUTED_VALUE"""),0.0)</f>
        <v>0</v>
      </c>
      <c r="M241" s="9">
        <f>IFERROR(__xludf.DUMMYFUNCTION("""COMPUTED_VALUE"""),3.0)</f>
        <v>3</v>
      </c>
      <c r="N241" s="9">
        <f>IFERROR(__xludf.DUMMYFUNCTION("""COMPUTED_VALUE"""),2.0)</f>
        <v>2</v>
      </c>
      <c r="O241" s="9">
        <f>IFERROR(__xludf.DUMMYFUNCTION("""COMPUTED_VALUE"""),0.0)</f>
        <v>0</v>
      </c>
      <c r="P241" s="9">
        <f>IFERROR(__xludf.DUMMYFUNCTION("""COMPUTED_VALUE"""),3.0)</f>
        <v>3</v>
      </c>
      <c r="Q241" s="9">
        <f>IFERROR(__xludf.DUMMYFUNCTION("""COMPUTED_VALUE"""),1.0)</f>
        <v>1</v>
      </c>
      <c r="R241" s="9">
        <f>IFERROR(__xludf.DUMMYFUNCTION("""COMPUTED_VALUE"""),1.0)</f>
        <v>1</v>
      </c>
      <c r="S241" s="9">
        <f>IFERROR(__xludf.DUMMYFUNCTION("""COMPUTED_VALUE"""),0.0)</f>
        <v>0</v>
      </c>
      <c r="T241" s="9">
        <f>IFERROR(__xludf.DUMMYFUNCTION("""COMPUTED_VALUE"""),0.0)</f>
        <v>0</v>
      </c>
      <c r="U241" s="9">
        <f>IFERROR(__xludf.DUMMYFUNCTION("""COMPUTED_VALUE"""),0.0)</f>
        <v>0</v>
      </c>
      <c r="V241" s="9">
        <f>IFERROR(__xludf.DUMMYFUNCTION("""COMPUTED_VALUE"""),2.0)</f>
        <v>2</v>
      </c>
      <c r="W241" s="9">
        <f>IFERROR(__xludf.DUMMYFUNCTION("""COMPUTED_VALUE"""),0.0)</f>
        <v>0</v>
      </c>
      <c r="X241" s="9">
        <f>IFERROR(__xludf.DUMMYFUNCTION("""COMPUTED_VALUE"""),1.0)</f>
        <v>1</v>
      </c>
      <c r="Y241" s="9">
        <f>IFERROR(__xludf.DUMMYFUNCTION("""COMPUTED_VALUE"""),3.0)</f>
        <v>3</v>
      </c>
      <c r="Z241" s="9">
        <f>IFERROR(__xludf.DUMMYFUNCTION("""COMPUTED_VALUE"""),0.0)</f>
        <v>0</v>
      </c>
      <c r="AA241" s="9">
        <f>IFERROR(__xludf.DUMMYFUNCTION("""COMPUTED_VALUE"""),0.0)</f>
        <v>0</v>
      </c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</row>
    <row r="242">
      <c r="A242" s="8">
        <f>IFERROR(__xludf.DUMMYFUNCTION("""COMPUTED_VALUE"""),45360.0)</f>
        <v>45360</v>
      </c>
      <c r="B242" s="9">
        <f>IFERROR(__xludf.DUMMYFUNCTION("""COMPUTED_VALUE"""),8.0)</f>
        <v>8</v>
      </c>
      <c r="C242" s="9">
        <f>IFERROR(__xludf.DUMMYFUNCTION("""COMPUTED_VALUE"""),28.0)</f>
        <v>28</v>
      </c>
      <c r="D242" s="9">
        <f>IFERROR(__xludf.DUMMYFUNCTION("""COMPUTED_VALUE"""),4.0)</f>
        <v>4</v>
      </c>
      <c r="E242" s="9">
        <f>IFERROR(__xludf.DUMMYFUNCTION("""COMPUTED_VALUE"""),496.0)</f>
        <v>496</v>
      </c>
      <c r="F242" s="9">
        <f>IFERROR(__xludf.DUMMYFUNCTION("""COMPUTED_VALUE"""),62.0)</f>
        <v>62</v>
      </c>
      <c r="G242" s="9">
        <f>IFERROR(__xludf.DUMMYFUNCTION("""COMPUTED_VALUE"""),0.0)</f>
        <v>0</v>
      </c>
      <c r="H242" s="9"/>
      <c r="I242" s="9">
        <f>IFERROR(__xludf.DUMMYFUNCTION("""COMPUTED_VALUE"""),8.0)</f>
        <v>8</v>
      </c>
      <c r="J242" s="9">
        <f>IFERROR(__xludf.DUMMYFUNCTION("""COMPUTED_VALUE"""),0.0)</f>
        <v>0</v>
      </c>
      <c r="K242" s="9">
        <f>IFERROR(__xludf.DUMMYFUNCTION("""COMPUTED_VALUE"""),0.0)</f>
        <v>0</v>
      </c>
      <c r="L242" s="9">
        <f>IFERROR(__xludf.DUMMYFUNCTION("""COMPUTED_VALUE"""),0.0)</f>
        <v>0</v>
      </c>
      <c r="M242" s="9">
        <f>IFERROR(__xludf.DUMMYFUNCTION("""COMPUTED_VALUE"""),8.0)</f>
        <v>8</v>
      </c>
      <c r="N242" s="9">
        <f>IFERROR(__xludf.DUMMYFUNCTION("""COMPUTED_VALUE"""),5.0)</f>
        <v>5</v>
      </c>
      <c r="O242" s="9">
        <f>IFERROR(__xludf.DUMMYFUNCTION("""COMPUTED_VALUE"""),0.0)</f>
        <v>0</v>
      </c>
      <c r="P242" s="9">
        <f>IFERROR(__xludf.DUMMYFUNCTION("""COMPUTED_VALUE"""),3.0)</f>
        <v>3</v>
      </c>
      <c r="Q242" s="9">
        <f>IFERROR(__xludf.DUMMYFUNCTION("""COMPUTED_VALUE"""),2.0)</f>
        <v>2</v>
      </c>
      <c r="R242" s="9">
        <f>IFERROR(__xludf.DUMMYFUNCTION("""COMPUTED_VALUE"""),2.0)</f>
        <v>2</v>
      </c>
      <c r="S242" s="9">
        <f>IFERROR(__xludf.DUMMYFUNCTION("""COMPUTED_VALUE"""),5.0)</f>
        <v>5</v>
      </c>
      <c r="T242" s="9">
        <f>IFERROR(__xludf.DUMMYFUNCTION("""COMPUTED_VALUE"""),0.0)</f>
        <v>0</v>
      </c>
      <c r="U242" s="9">
        <f>IFERROR(__xludf.DUMMYFUNCTION("""COMPUTED_VALUE"""),0.0)</f>
        <v>0</v>
      </c>
      <c r="V242" s="9">
        <f>IFERROR(__xludf.DUMMYFUNCTION("""COMPUTED_VALUE"""),4.0)</f>
        <v>4</v>
      </c>
      <c r="W242" s="9">
        <f>IFERROR(__xludf.DUMMYFUNCTION("""COMPUTED_VALUE"""),0.0)</f>
        <v>0</v>
      </c>
      <c r="X242" s="9">
        <f>IFERROR(__xludf.DUMMYFUNCTION("""COMPUTED_VALUE"""),2.0)</f>
        <v>2</v>
      </c>
      <c r="Y242" s="9">
        <f>IFERROR(__xludf.DUMMYFUNCTION("""COMPUTED_VALUE"""),5.0)</f>
        <v>5</v>
      </c>
      <c r="Z242" s="9">
        <f>IFERROR(__xludf.DUMMYFUNCTION("""COMPUTED_VALUE"""),0.0)</f>
        <v>0</v>
      </c>
      <c r="AA242" s="9">
        <f>IFERROR(__xludf.DUMMYFUNCTION("""COMPUTED_VALUE"""),0.0)</f>
        <v>0</v>
      </c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  <c r="TB242" s="9"/>
      <c r="TC242" s="9"/>
      <c r="TD242" s="9"/>
      <c r="TE242" s="9"/>
      <c r="TF242" s="9"/>
      <c r="TG242" s="9"/>
      <c r="TH242" s="9"/>
      <c r="TI242" s="9"/>
      <c r="TJ242" s="9"/>
      <c r="TK242" s="9"/>
      <c r="TL242" s="9"/>
      <c r="TM242" s="9"/>
      <c r="TN242" s="9"/>
      <c r="TO242" s="9"/>
      <c r="TP242" s="9"/>
      <c r="TQ242" s="9"/>
      <c r="TR242" s="9"/>
      <c r="TS242" s="9"/>
      <c r="TT242" s="9"/>
      <c r="TU242" s="9"/>
      <c r="TV242" s="9"/>
      <c r="TW242" s="9"/>
      <c r="TX242" s="9"/>
      <c r="TY242" s="9"/>
      <c r="TZ242" s="9"/>
      <c r="UA242" s="9"/>
      <c r="UB242" s="9"/>
      <c r="UC242" s="9"/>
      <c r="UD242" s="9"/>
      <c r="UE242" s="9"/>
      <c r="UF242" s="9"/>
      <c r="UG242" s="9"/>
      <c r="UH242" s="9"/>
      <c r="UI242" s="9"/>
      <c r="UJ242" s="9"/>
    </row>
    <row r="243">
      <c r="A243" s="8">
        <f>IFERROR(__xludf.DUMMYFUNCTION("""COMPUTED_VALUE"""),45361.0)</f>
        <v>45361</v>
      </c>
      <c r="B243" s="9">
        <f>IFERROR(__xludf.DUMMYFUNCTION("""COMPUTED_VALUE"""),0.0)</f>
        <v>0</v>
      </c>
      <c r="C243" s="9">
        <f>IFERROR(__xludf.DUMMYFUNCTION("""COMPUTED_VALUE"""),0.0)</f>
        <v>0</v>
      </c>
      <c r="D243" s="9">
        <f>IFERROR(__xludf.DUMMYFUNCTION("""COMPUTED_VALUE"""),0.0)</f>
        <v>0</v>
      </c>
      <c r="E243" s="9">
        <f>IFERROR(__xludf.DUMMYFUNCTION("""COMPUTED_VALUE"""),0.0)</f>
        <v>0</v>
      </c>
      <c r="F243" s="9">
        <f>IFERROR(__xludf.DUMMYFUNCTION("""COMPUTED_VALUE"""),0.0)</f>
        <v>0</v>
      </c>
      <c r="G243" s="9">
        <f>IFERROR(__xludf.DUMMYFUNCTION("""COMPUTED_VALUE"""),0.0)</f>
        <v>0</v>
      </c>
      <c r="H243" s="9"/>
      <c r="I243" s="9">
        <f>IFERROR(__xludf.DUMMYFUNCTION("""COMPUTED_VALUE"""),0.0)</f>
        <v>0</v>
      </c>
      <c r="J243" s="9">
        <f>IFERROR(__xludf.DUMMYFUNCTION("""COMPUTED_VALUE"""),0.0)</f>
        <v>0</v>
      </c>
      <c r="K243" s="9">
        <f>IFERROR(__xludf.DUMMYFUNCTION("""COMPUTED_VALUE"""),0.0)</f>
        <v>0</v>
      </c>
      <c r="L243" s="9">
        <f>IFERROR(__xludf.DUMMYFUNCTION("""COMPUTED_VALUE"""),0.0)</f>
        <v>0</v>
      </c>
      <c r="M243" s="9">
        <f>IFERROR(__xludf.DUMMYFUNCTION("""COMPUTED_VALUE"""),0.0)</f>
        <v>0</v>
      </c>
      <c r="N243" s="9">
        <f>IFERROR(__xludf.DUMMYFUNCTION("""COMPUTED_VALUE"""),0.0)</f>
        <v>0</v>
      </c>
      <c r="O243" s="9">
        <f>IFERROR(__xludf.DUMMYFUNCTION("""COMPUTED_VALUE"""),0.0)</f>
        <v>0</v>
      </c>
      <c r="P243" s="9">
        <f>IFERROR(__xludf.DUMMYFUNCTION("""COMPUTED_VALUE"""),0.0)</f>
        <v>0</v>
      </c>
      <c r="Q243" s="9">
        <f>IFERROR(__xludf.DUMMYFUNCTION("""COMPUTED_VALUE"""),0.0)</f>
        <v>0</v>
      </c>
      <c r="R243" s="9">
        <f>IFERROR(__xludf.DUMMYFUNCTION("""COMPUTED_VALUE"""),0.0)</f>
        <v>0</v>
      </c>
      <c r="S243" s="9">
        <f>IFERROR(__xludf.DUMMYFUNCTION("""COMPUTED_VALUE"""),0.0)</f>
        <v>0</v>
      </c>
      <c r="T243" s="9">
        <f>IFERROR(__xludf.DUMMYFUNCTION("""COMPUTED_VALUE"""),0.0)</f>
        <v>0</v>
      </c>
      <c r="U243" s="9">
        <f>IFERROR(__xludf.DUMMYFUNCTION("""COMPUTED_VALUE"""),0.0)</f>
        <v>0</v>
      </c>
      <c r="V243" s="9">
        <f>IFERROR(__xludf.DUMMYFUNCTION("""COMPUTED_VALUE"""),0.0)</f>
        <v>0</v>
      </c>
      <c r="W243" s="9">
        <f>IFERROR(__xludf.DUMMYFUNCTION("""COMPUTED_VALUE"""),0.0)</f>
        <v>0</v>
      </c>
      <c r="X243" s="9">
        <f>IFERROR(__xludf.DUMMYFUNCTION("""COMPUTED_VALUE"""),0.0)</f>
        <v>0</v>
      </c>
      <c r="Y243" s="9">
        <f>IFERROR(__xludf.DUMMYFUNCTION("""COMPUTED_VALUE"""),0.0)</f>
        <v>0</v>
      </c>
      <c r="Z243" s="9">
        <f>IFERROR(__xludf.DUMMYFUNCTION("""COMPUTED_VALUE"""),0.0)</f>
        <v>0</v>
      </c>
      <c r="AA243" s="9">
        <f>IFERROR(__xludf.DUMMYFUNCTION("""COMPUTED_VALUE"""),0.0)</f>
        <v>0</v>
      </c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</row>
    <row r="244">
      <c r="A244" s="8">
        <f>IFERROR(__xludf.DUMMYFUNCTION("""COMPUTED_VALUE"""),45362.0)</f>
        <v>45362</v>
      </c>
      <c r="B244" s="9">
        <f>IFERROR(__xludf.DUMMYFUNCTION("""COMPUTED_VALUE"""),12.0)</f>
        <v>12</v>
      </c>
      <c r="C244" s="9">
        <f>IFERROR(__xludf.DUMMYFUNCTION("""COMPUTED_VALUE"""),47.0)</f>
        <v>47</v>
      </c>
      <c r="D244" s="9">
        <f>IFERROR(__xludf.DUMMYFUNCTION("""COMPUTED_VALUE"""),4.0)</f>
        <v>4</v>
      </c>
      <c r="E244" s="9">
        <f>IFERROR(__xludf.DUMMYFUNCTION("""COMPUTED_VALUE"""),838.0)</f>
        <v>838</v>
      </c>
      <c r="F244" s="9">
        <f>IFERROR(__xludf.DUMMYFUNCTION("""COMPUTED_VALUE"""),70.0)</f>
        <v>70</v>
      </c>
      <c r="G244" s="9">
        <f>IFERROR(__xludf.DUMMYFUNCTION("""COMPUTED_VALUE"""),0.0)</f>
        <v>0</v>
      </c>
      <c r="H244" s="9"/>
      <c r="I244" s="9">
        <f>IFERROR(__xludf.DUMMYFUNCTION("""COMPUTED_VALUE"""),4.0)</f>
        <v>4</v>
      </c>
      <c r="J244" s="9">
        <f>IFERROR(__xludf.DUMMYFUNCTION("""COMPUTED_VALUE"""),4.0)</f>
        <v>4</v>
      </c>
      <c r="K244" s="9">
        <f>IFERROR(__xludf.DUMMYFUNCTION("""COMPUTED_VALUE"""),0.0)</f>
        <v>0</v>
      </c>
      <c r="L244" s="9">
        <f>IFERROR(__xludf.DUMMYFUNCTION("""COMPUTED_VALUE"""),0.0)</f>
        <v>0</v>
      </c>
      <c r="M244" s="9">
        <f>IFERROR(__xludf.DUMMYFUNCTION("""COMPUTED_VALUE"""),8.0)</f>
        <v>8</v>
      </c>
      <c r="N244" s="9">
        <f>IFERROR(__xludf.DUMMYFUNCTION("""COMPUTED_VALUE"""),12.0)</f>
        <v>12</v>
      </c>
      <c r="O244" s="9">
        <f>IFERROR(__xludf.DUMMYFUNCTION("""COMPUTED_VALUE"""),0.0)</f>
        <v>0</v>
      </c>
      <c r="P244" s="9">
        <f>IFERROR(__xludf.DUMMYFUNCTION("""COMPUTED_VALUE"""),0.0)</f>
        <v>0</v>
      </c>
      <c r="Q244" s="9">
        <f>IFERROR(__xludf.DUMMYFUNCTION("""COMPUTED_VALUE"""),3.0)</f>
        <v>3</v>
      </c>
      <c r="R244" s="9">
        <f>IFERROR(__xludf.DUMMYFUNCTION("""COMPUTED_VALUE"""),0.0)</f>
        <v>0</v>
      </c>
      <c r="S244" s="9">
        <f>IFERROR(__xludf.DUMMYFUNCTION("""COMPUTED_VALUE"""),8.0)</f>
        <v>8</v>
      </c>
      <c r="T244" s="9">
        <f>IFERROR(__xludf.DUMMYFUNCTION("""COMPUTED_VALUE"""),0.0)</f>
        <v>0</v>
      </c>
      <c r="U244" s="9">
        <f>IFERROR(__xludf.DUMMYFUNCTION("""COMPUTED_VALUE"""),0.0)</f>
        <v>0</v>
      </c>
      <c r="V244" s="9">
        <f>IFERROR(__xludf.DUMMYFUNCTION("""COMPUTED_VALUE"""),3.0)</f>
        <v>3</v>
      </c>
      <c r="W244" s="9">
        <f>IFERROR(__xludf.DUMMYFUNCTION("""COMPUTED_VALUE"""),0.0)</f>
        <v>0</v>
      </c>
      <c r="X244" s="9">
        <f>IFERROR(__xludf.DUMMYFUNCTION("""COMPUTED_VALUE"""),8.0)</f>
        <v>8</v>
      </c>
      <c r="Y244" s="9">
        <f>IFERROR(__xludf.DUMMYFUNCTION("""COMPUTED_VALUE"""),5.0)</f>
        <v>5</v>
      </c>
      <c r="Z244" s="9">
        <f>IFERROR(__xludf.DUMMYFUNCTION("""COMPUTED_VALUE"""),0.0)</f>
        <v>0</v>
      </c>
      <c r="AA244" s="9">
        <f>IFERROR(__xludf.DUMMYFUNCTION("""COMPUTED_VALUE"""),0.0)</f>
        <v>0</v>
      </c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</row>
    <row r="245">
      <c r="A245" s="8">
        <f>IFERROR(__xludf.DUMMYFUNCTION("""COMPUTED_VALUE"""),45363.0)</f>
        <v>45363</v>
      </c>
      <c r="B245" s="9">
        <f>IFERROR(__xludf.DUMMYFUNCTION("""COMPUTED_VALUE"""),7.0)</f>
        <v>7</v>
      </c>
      <c r="C245" s="9">
        <f>IFERROR(__xludf.DUMMYFUNCTION("""COMPUTED_VALUE"""),20.0)</f>
        <v>20</v>
      </c>
      <c r="D245" s="9">
        <f>IFERROR(__xludf.DUMMYFUNCTION("""COMPUTED_VALUE"""),3.0)</f>
        <v>3</v>
      </c>
      <c r="E245" s="9">
        <f>IFERROR(__xludf.DUMMYFUNCTION("""COMPUTED_VALUE"""),299.0)</f>
        <v>299</v>
      </c>
      <c r="F245" s="9">
        <f>IFERROR(__xludf.DUMMYFUNCTION("""COMPUTED_VALUE"""),43.0)</f>
        <v>43</v>
      </c>
      <c r="G245" s="9">
        <f>IFERROR(__xludf.DUMMYFUNCTION("""COMPUTED_VALUE"""),0.0)</f>
        <v>0</v>
      </c>
      <c r="H245" s="9"/>
      <c r="I245" s="9">
        <f>IFERROR(__xludf.DUMMYFUNCTION("""COMPUTED_VALUE"""),5.0)</f>
        <v>5</v>
      </c>
      <c r="J245" s="9">
        <f>IFERROR(__xludf.DUMMYFUNCTION("""COMPUTED_VALUE"""),1.0)</f>
        <v>1</v>
      </c>
      <c r="K245" s="9">
        <f>IFERROR(__xludf.DUMMYFUNCTION("""COMPUTED_VALUE"""),0.0)</f>
        <v>0</v>
      </c>
      <c r="L245" s="9">
        <f>IFERROR(__xludf.DUMMYFUNCTION("""COMPUTED_VALUE"""),0.0)</f>
        <v>0</v>
      </c>
      <c r="M245" s="9">
        <f>IFERROR(__xludf.DUMMYFUNCTION("""COMPUTED_VALUE"""),6.0)</f>
        <v>6</v>
      </c>
      <c r="N245" s="9">
        <f>IFERROR(__xludf.DUMMYFUNCTION("""COMPUTED_VALUE"""),7.0)</f>
        <v>7</v>
      </c>
      <c r="O245" s="9">
        <f>IFERROR(__xludf.DUMMYFUNCTION("""COMPUTED_VALUE"""),0.0)</f>
        <v>0</v>
      </c>
      <c r="P245" s="9">
        <f>IFERROR(__xludf.DUMMYFUNCTION("""COMPUTED_VALUE"""),0.0)</f>
        <v>0</v>
      </c>
      <c r="Q245" s="9">
        <f>IFERROR(__xludf.DUMMYFUNCTION("""COMPUTED_VALUE"""),4.0)</f>
        <v>4</v>
      </c>
      <c r="R245" s="9">
        <f>IFERROR(__xludf.DUMMYFUNCTION("""COMPUTED_VALUE"""),0.0)</f>
        <v>0</v>
      </c>
      <c r="S245" s="9">
        <f>IFERROR(__xludf.DUMMYFUNCTION("""COMPUTED_VALUE"""),0.0)</f>
        <v>0</v>
      </c>
      <c r="T245" s="9">
        <f>IFERROR(__xludf.DUMMYFUNCTION("""COMPUTED_VALUE"""),0.0)</f>
        <v>0</v>
      </c>
      <c r="U245" s="9">
        <f>IFERROR(__xludf.DUMMYFUNCTION("""COMPUTED_VALUE"""),0.0)</f>
        <v>0</v>
      </c>
      <c r="V245" s="9">
        <f>IFERROR(__xludf.DUMMYFUNCTION("""COMPUTED_VALUE"""),4.0)</f>
        <v>4</v>
      </c>
      <c r="W245" s="9">
        <f>IFERROR(__xludf.DUMMYFUNCTION("""COMPUTED_VALUE"""),0.0)</f>
        <v>0</v>
      </c>
      <c r="X245" s="9">
        <f>IFERROR(__xludf.DUMMYFUNCTION("""COMPUTED_VALUE"""),2.0)</f>
        <v>2</v>
      </c>
      <c r="Y245" s="9">
        <f>IFERROR(__xludf.DUMMYFUNCTION("""COMPUTED_VALUE"""),4.0)</f>
        <v>4</v>
      </c>
      <c r="Z245" s="9">
        <f>IFERROR(__xludf.DUMMYFUNCTION("""COMPUTED_VALUE"""),0.0)</f>
        <v>0</v>
      </c>
      <c r="AA245" s="9">
        <f>IFERROR(__xludf.DUMMYFUNCTION("""COMPUTED_VALUE"""),0.0)</f>
        <v>0</v>
      </c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</row>
    <row r="246">
      <c r="A246" s="8">
        <f>IFERROR(__xludf.DUMMYFUNCTION("""COMPUTED_VALUE"""),45364.0)</f>
        <v>45364</v>
      </c>
      <c r="B246" s="9">
        <f>IFERROR(__xludf.DUMMYFUNCTION("""COMPUTED_VALUE"""),13.0)</f>
        <v>13</v>
      </c>
      <c r="C246" s="9">
        <f>IFERROR(__xludf.DUMMYFUNCTION("""COMPUTED_VALUE"""),60.0)</f>
        <v>60</v>
      </c>
      <c r="D246" s="9">
        <f>IFERROR(__xludf.DUMMYFUNCTION("""COMPUTED_VALUE"""),5.0)</f>
        <v>5</v>
      </c>
      <c r="E246" s="9">
        <f>IFERROR(__xludf.DUMMYFUNCTION("""COMPUTED_VALUE"""),983.0)</f>
        <v>983</v>
      </c>
      <c r="F246" s="9">
        <f>IFERROR(__xludf.DUMMYFUNCTION("""COMPUTED_VALUE"""),76.0)</f>
        <v>76</v>
      </c>
      <c r="G246" s="9">
        <f>IFERROR(__xludf.DUMMYFUNCTION("""COMPUTED_VALUE"""),0.0)</f>
        <v>0</v>
      </c>
      <c r="H246" s="9"/>
      <c r="I246" s="9">
        <f>IFERROR(__xludf.DUMMYFUNCTION("""COMPUTED_VALUE"""),7.0)</f>
        <v>7</v>
      </c>
      <c r="J246" s="9">
        <f>IFERROR(__xludf.DUMMYFUNCTION("""COMPUTED_VALUE"""),3.0)</f>
        <v>3</v>
      </c>
      <c r="K246" s="9">
        <f>IFERROR(__xludf.DUMMYFUNCTION("""COMPUTED_VALUE"""),0.0)</f>
        <v>0</v>
      </c>
      <c r="L246" s="9">
        <f>IFERROR(__xludf.DUMMYFUNCTION("""COMPUTED_VALUE"""),0.0)</f>
        <v>0</v>
      </c>
      <c r="M246" s="9">
        <f>IFERROR(__xludf.DUMMYFUNCTION("""COMPUTED_VALUE"""),10.0)</f>
        <v>10</v>
      </c>
      <c r="N246" s="9">
        <f>IFERROR(__xludf.DUMMYFUNCTION("""COMPUTED_VALUE"""),12.0)</f>
        <v>12</v>
      </c>
      <c r="O246" s="9">
        <f>IFERROR(__xludf.DUMMYFUNCTION("""COMPUTED_VALUE"""),0.0)</f>
        <v>0</v>
      </c>
      <c r="P246" s="9">
        <f>IFERROR(__xludf.DUMMYFUNCTION("""COMPUTED_VALUE"""),1.0)</f>
        <v>1</v>
      </c>
      <c r="Q246" s="9">
        <f>IFERROR(__xludf.DUMMYFUNCTION("""COMPUTED_VALUE"""),6.0)</f>
        <v>6</v>
      </c>
      <c r="R246" s="9">
        <f>IFERROR(__xludf.DUMMYFUNCTION("""COMPUTED_VALUE"""),1.0)</f>
        <v>1</v>
      </c>
      <c r="S246" s="9">
        <f>IFERROR(__xludf.DUMMYFUNCTION("""COMPUTED_VALUE"""),14.0)</f>
        <v>14</v>
      </c>
      <c r="T246" s="9">
        <f>IFERROR(__xludf.DUMMYFUNCTION("""COMPUTED_VALUE"""),1.0)</f>
        <v>1</v>
      </c>
      <c r="U246" s="9">
        <f>IFERROR(__xludf.DUMMYFUNCTION("""COMPUTED_VALUE"""),0.0)</f>
        <v>0</v>
      </c>
      <c r="V246" s="9">
        <f>IFERROR(__xludf.DUMMYFUNCTION("""COMPUTED_VALUE"""),7.0)</f>
        <v>7</v>
      </c>
      <c r="W246" s="9">
        <f>IFERROR(__xludf.DUMMYFUNCTION("""COMPUTED_VALUE"""),0.0)</f>
        <v>0</v>
      </c>
      <c r="X246" s="9">
        <f>IFERROR(__xludf.DUMMYFUNCTION("""COMPUTED_VALUE"""),7.0)</f>
        <v>7</v>
      </c>
      <c r="Y246" s="9">
        <f>IFERROR(__xludf.DUMMYFUNCTION("""COMPUTED_VALUE"""),8.0)</f>
        <v>8</v>
      </c>
      <c r="Z246" s="9">
        <f>IFERROR(__xludf.DUMMYFUNCTION("""COMPUTED_VALUE"""),1.0)</f>
        <v>1</v>
      </c>
      <c r="AA246" s="9">
        <f>IFERROR(__xludf.DUMMYFUNCTION("""COMPUTED_VALUE"""),0.0)</f>
        <v>0</v>
      </c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</row>
    <row r="247">
      <c r="A247" s="8">
        <f>IFERROR(__xludf.DUMMYFUNCTION("""COMPUTED_VALUE"""),45365.0)</f>
        <v>45365</v>
      </c>
      <c r="B247" s="9">
        <f>IFERROR(__xludf.DUMMYFUNCTION("""COMPUTED_VALUE"""),10.0)</f>
        <v>10</v>
      </c>
      <c r="C247" s="9">
        <f>IFERROR(__xludf.DUMMYFUNCTION("""COMPUTED_VALUE"""),41.0)</f>
        <v>41</v>
      </c>
      <c r="D247" s="9">
        <f>IFERROR(__xludf.DUMMYFUNCTION("""COMPUTED_VALUE"""),4.0)</f>
        <v>4</v>
      </c>
      <c r="E247" s="9">
        <f>IFERROR(__xludf.DUMMYFUNCTION("""COMPUTED_VALUE"""),711.0)</f>
        <v>711</v>
      </c>
      <c r="F247" s="9">
        <f>IFERROR(__xludf.DUMMYFUNCTION("""COMPUTED_VALUE"""),71.0)</f>
        <v>71</v>
      </c>
      <c r="G247" s="9">
        <f>IFERROR(__xludf.DUMMYFUNCTION("""COMPUTED_VALUE"""),0.0)</f>
        <v>0</v>
      </c>
      <c r="H247" s="9"/>
      <c r="I247" s="9">
        <f>IFERROR(__xludf.DUMMYFUNCTION("""COMPUTED_VALUE"""),8.0)</f>
        <v>8</v>
      </c>
      <c r="J247" s="9">
        <f>IFERROR(__xludf.DUMMYFUNCTION("""COMPUTED_VALUE"""),1.0)</f>
        <v>1</v>
      </c>
      <c r="K247" s="9">
        <f>IFERROR(__xludf.DUMMYFUNCTION("""COMPUTED_VALUE"""),0.0)</f>
        <v>0</v>
      </c>
      <c r="L247" s="9">
        <f>IFERROR(__xludf.DUMMYFUNCTION("""COMPUTED_VALUE"""),0.0)</f>
        <v>0</v>
      </c>
      <c r="M247" s="9">
        <f>IFERROR(__xludf.DUMMYFUNCTION("""COMPUTED_VALUE"""),9.0)</f>
        <v>9</v>
      </c>
      <c r="N247" s="9">
        <f>IFERROR(__xludf.DUMMYFUNCTION("""COMPUTED_VALUE"""),6.0)</f>
        <v>6</v>
      </c>
      <c r="O247" s="9">
        <f>IFERROR(__xludf.DUMMYFUNCTION("""COMPUTED_VALUE"""),0.0)</f>
        <v>0</v>
      </c>
      <c r="P247" s="9">
        <f>IFERROR(__xludf.DUMMYFUNCTION("""COMPUTED_VALUE"""),4.0)</f>
        <v>4</v>
      </c>
      <c r="Q247" s="9">
        <f>IFERROR(__xludf.DUMMYFUNCTION("""COMPUTED_VALUE"""),3.0)</f>
        <v>3</v>
      </c>
      <c r="R247" s="9">
        <f>IFERROR(__xludf.DUMMYFUNCTION("""COMPUTED_VALUE"""),3.0)</f>
        <v>3</v>
      </c>
      <c r="S247" s="9">
        <f>IFERROR(__xludf.DUMMYFUNCTION("""COMPUTED_VALUE"""),6.0)</f>
        <v>6</v>
      </c>
      <c r="T247" s="9">
        <f>IFERROR(__xludf.DUMMYFUNCTION("""COMPUTED_VALUE"""),1.0)</f>
        <v>1</v>
      </c>
      <c r="U247" s="9">
        <f>IFERROR(__xludf.DUMMYFUNCTION("""COMPUTED_VALUE"""),0.0)</f>
        <v>0</v>
      </c>
      <c r="V247" s="9">
        <f>IFERROR(__xludf.DUMMYFUNCTION("""COMPUTED_VALUE"""),6.0)</f>
        <v>6</v>
      </c>
      <c r="W247" s="9">
        <f>IFERROR(__xludf.DUMMYFUNCTION("""COMPUTED_VALUE"""),0.0)</f>
        <v>0</v>
      </c>
      <c r="X247" s="9">
        <f>IFERROR(__xludf.DUMMYFUNCTION("""COMPUTED_VALUE"""),5.0)</f>
        <v>5</v>
      </c>
      <c r="Y247" s="9">
        <f>IFERROR(__xludf.DUMMYFUNCTION("""COMPUTED_VALUE"""),7.0)</f>
        <v>7</v>
      </c>
      <c r="Z247" s="9">
        <f>IFERROR(__xludf.DUMMYFUNCTION("""COMPUTED_VALUE"""),1.0)</f>
        <v>1</v>
      </c>
      <c r="AA247" s="9">
        <f>IFERROR(__xludf.DUMMYFUNCTION("""COMPUTED_VALUE"""),0.0)</f>
        <v>0</v>
      </c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</row>
    <row r="248">
      <c r="A248" s="8">
        <f>IFERROR(__xludf.DUMMYFUNCTION("""COMPUTED_VALUE"""),45366.0)</f>
        <v>45366</v>
      </c>
      <c r="B248" s="9">
        <f>IFERROR(__xludf.DUMMYFUNCTION("""COMPUTED_VALUE"""),16.0)</f>
        <v>16</v>
      </c>
      <c r="C248" s="9">
        <f>IFERROR(__xludf.DUMMYFUNCTION("""COMPUTED_VALUE"""),71.0)</f>
        <v>71</v>
      </c>
      <c r="D248" s="9">
        <f>IFERROR(__xludf.DUMMYFUNCTION("""COMPUTED_VALUE"""),4.0)</f>
        <v>4</v>
      </c>
      <c r="E248" s="9">
        <f>IFERROR(__xludf.DUMMYFUNCTION("""COMPUTED_VALUE"""),893.0)</f>
        <v>893</v>
      </c>
      <c r="F248" s="9">
        <f>IFERROR(__xludf.DUMMYFUNCTION("""COMPUTED_VALUE"""),56.0)</f>
        <v>56</v>
      </c>
      <c r="G248" s="9">
        <f>IFERROR(__xludf.DUMMYFUNCTION("""COMPUTED_VALUE"""),0.0)</f>
        <v>0</v>
      </c>
      <c r="H248" s="9"/>
      <c r="I248" s="9">
        <f>IFERROR(__xludf.DUMMYFUNCTION("""COMPUTED_VALUE"""),12.0)</f>
        <v>12</v>
      </c>
      <c r="J248" s="9">
        <f>IFERROR(__xludf.DUMMYFUNCTION("""COMPUTED_VALUE"""),2.0)</f>
        <v>2</v>
      </c>
      <c r="K248" s="9">
        <f>IFERROR(__xludf.DUMMYFUNCTION("""COMPUTED_VALUE"""),0.0)</f>
        <v>0</v>
      </c>
      <c r="L248" s="9">
        <f>IFERROR(__xludf.DUMMYFUNCTION("""COMPUTED_VALUE"""),0.0)</f>
        <v>0</v>
      </c>
      <c r="M248" s="9">
        <f>IFERROR(__xludf.DUMMYFUNCTION("""COMPUTED_VALUE"""),14.0)</f>
        <v>14</v>
      </c>
      <c r="N248" s="9">
        <f>IFERROR(__xludf.DUMMYFUNCTION("""COMPUTED_VALUE"""),5.0)</f>
        <v>5</v>
      </c>
      <c r="O248" s="9">
        <f>IFERROR(__xludf.DUMMYFUNCTION("""COMPUTED_VALUE"""),0.0)</f>
        <v>0</v>
      </c>
      <c r="P248" s="9">
        <f>IFERROR(__xludf.DUMMYFUNCTION("""COMPUTED_VALUE"""),11.0)</f>
        <v>11</v>
      </c>
      <c r="Q248" s="9">
        <f>IFERROR(__xludf.DUMMYFUNCTION("""COMPUTED_VALUE"""),3.0)</f>
        <v>3</v>
      </c>
      <c r="R248" s="9">
        <f>IFERROR(__xludf.DUMMYFUNCTION("""COMPUTED_VALUE"""),3.0)</f>
        <v>3</v>
      </c>
      <c r="S248" s="9">
        <f>IFERROR(__xludf.DUMMYFUNCTION("""COMPUTED_VALUE"""),9.0)</f>
        <v>9</v>
      </c>
      <c r="T248" s="9">
        <f>IFERROR(__xludf.DUMMYFUNCTION("""COMPUTED_VALUE"""),1.0)</f>
        <v>1</v>
      </c>
      <c r="U248" s="9">
        <f>IFERROR(__xludf.DUMMYFUNCTION("""COMPUTED_VALUE"""),0.0)</f>
        <v>0</v>
      </c>
      <c r="V248" s="9">
        <f>IFERROR(__xludf.DUMMYFUNCTION("""COMPUTED_VALUE"""),6.0)</f>
        <v>6</v>
      </c>
      <c r="W248" s="9">
        <f>IFERROR(__xludf.DUMMYFUNCTION("""COMPUTED_VALUE"""),1.0)</f>
        <v>1</v>
      </c>
      <c r="X248" s="9">
        <f>IFERROR(__xludf.DUMMYFUNCTION("""COMPUTED_VALUE"""),3.0)</f>
        <v>3</v>
      </c>
      <c r="Y248" s="9">
        <f>IFERROR(__xludf.DUMMYFUNCTION("""COMPUTED_VALUE"""),9.0)</f>
        <v>9</v>
      </c>
      <c r="Z248" s="9">
        <f>IFERROR(__xludf.DUMMYFUNCTION("""COMPUTED_VALUE"""),2.0)</f>
        <v>2</v>
      </c>
      <c r="AA248" s="9">
        <f>IFERROR(__xludf.DUMMYFUNCTION("""COMPUTED_VALUE"""),0.0)</f>
        <v>0</v>
      </c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</row>
    <row r="249">
      <c r="A249" s="8">
        <f>IFERROR(__xludf.DUMMYFUNCTION("""COMPUTED_VALUE"""),45367.0)</f>
        <v>45367</v>
      </c>
      <c r="B249" s="9">
        <f>IFERROR(__xludf.DUMMYFUNCTION("""COMPUTED_VALUE"""),6.0)</f>
        <v>6</v>
      </c>
      <c r="C249" s="9">
        <f>IFERROR(__xludf.DUMMYFUNCTION("""COMPUTED_VALUE"""),21.0)</f>
        <v>21</v>
      </c>
      <c r="D249" s="9">
        <f>IFERROR(__xludf.DUMMYFUNCTION("""COMPUTED_VALUE"""),4.0)</f>
        <v>4</v>
      </c>
      <c r="E249" s="9">
        <f>IFERROR(__xludf.DUMMYFUNCTION("""COMPUTED_VALUE"""),366.0)</f>
        <v>366</v>
      </c>
      <c r="F249" s="9">
        <f>IFERROR(__xludf.DUMMYFUNCTION("""COMPUTED_VALUE"""),61.0)</f>
        <v>61</v>
      </c>
      <c r="G249" s="9">
        <f>IFERROR(__xludf.DUMMYFUNCTION("""COMPUTED_VALUE"""),0.0)</f>
        <v>0</v>
      </c>
      <c r="H249" s="9"/>
      <c r="I249" s="9">
        <f>IFERROR(__xludf.DUMMYFUNCTION("""COMPUTED_VALUE"""),4.0)</f>
        <v>4</v>
      </c>
      <c r="J249" s="9">
        <f>IFERROR(__xludf.DUMMYFUNCTION("""COMPUTED_VALUE"""),1.0)</f>
        <v>1</v>
      </c>
      <c r="K249" s="9">
        <f>IFERROR(__xludf.DUMMYFUNCTION("""COMPUTED_VALUE"""),0.0)</f>
        <v>0</v>
      </c>
      <c r="L249" s="9">
        <f>IFERROR(__xludf.DUMMYFUNCTION("""COMPUTED_VALUE"""),0.0)</f>
        <v>0</v>
      </c>
      <c r="M249" s="9">
        <f>IFERROR(__xludf.DUMMYFUNCTION("""COMPUTED_VALUE"""),5.0)</f>
        <v>5</v>
      </c>
      <c r="N249" s="9">
        <f>IFERROR(__xludf.DUMMYFUNCTION("""COMPUTED_VALUE"""),1.0)</f>
        <v>1</v>
      </c>
      <c r="O249" s="9">
        <f>IFERROR(__xludf.DUMMYFUNCTION("""COMPUTED_VALUE"""),0.0)</f>
        <v>0</v>
      </c>
      <c r="P249" s="9">
        <f>IFERROR(__xludf.DUMMYFUNCTION("""COMPUTED_VALUE"""),5.0)</f>
        <v>5</v>
      </c>
      <c r="Q249" s="9">
        <f>IFERROR(__xludf.DUMMYFUNCTION("""COMPUTED_VALUE"""),1.0)</f>
        <v>1</v>
      </c>
      <c r="R249" s="9">
        <f>IFERROR(__xludf.DUMMYFUNCTION("""COMPUTED_VALUE"""),4.0)</f>
        <v>4</v>
      </c>
      <c r="S249" s="9">
        <f>IFERROR(__xludf.DUMMYFUNCTION("""COMPUTED_VALUE"""),2.0)</f>
        <v>2</v>
      </c>
      <c r="T249" s="9">
        <f>IFERROR(__xludf.DUMMYFUNCTION("""COMPUTED_VALUE"""),0.0)</f>
        <v>0</v>
      </c>
      <c r="U249" s="9">
        <f>IFERROR(__xludf.DUMMYFUNCTION("""COMPUTED_VALUE"""),0.0)</f>
        <v>0</v>
      </c>
      <c r="V249" s="9">
        <f>IFERROR(__xludf.DUMMYFUNCTION("""COMPUTED_VALUE"""),5.0)</f>
        <v>5</v>
      </c>
      <c r="W249" s="9">
        <f>IFERROR(__xludf.DUMMYFUNCTION("""COMPUTED_VALUE"""),0.0)</f>
        <v>0</v>
      </c>
      <c r="X249" s="9">
        <f>IFERROR(__xludf.DUMMYFUNCTION("""COMPUTED_VALUE"""),0.0)</f>
        <v>0</v>
      </c>
      <c r="Y249" s="9">
        <f>IFERROR(__xludf.DUMMYFUNCTION("""COMPUTED_VALUE"""),6.0)</f>
        <v>6</v>
      </c>
      <c r="Z249" s="9">
        <f>IFERROR(__xludf.DUMMYFUNCTION("""COMPUTED_VALUE"""),0.0)</f>
        <v>0</v>
      </c>
      <c r="AA249" s="9">
        <f>IFERROR(__xludf.DUMMYFUNCTION("""COMPUTED_VALUE"""),0.0)</f>
        <v>0</v>
      </c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</row>
    <row r="250">
      <c r="A250" s="8">
        <f>IFERROR(__xludf.DUMMYFUNCTION("""COMPUTED_VALUE"""),45368.0)</f>
        <v>45368</v>
      </c>
      <c r="B250" s="9">
        <f>IFERROR(__xludf.DUMMYFUNCTION("""COMPUTED_VALUE"""),0.0)</f>
        <v>0</v>
      </c>
      <c r="C250" s="9">
        <f>IFERROR(__xludf.DUMMYFUNCTION("""COMPUTED_VALUE"""),0.0)</f>
        <v>0</v>
      </c>
      <c r="D250" s="9">
        <f>IFERROR(__xludf.DUMMYFUNCTION("""COMPUTED_VALUE"""),0.0)</f>
        <v>0</v>
      </c>
      <c r="E250" s="9">
        <f>IFERROR(__xludf.DUMMYFUNCTION("""COMPUTED_VALUE"""),0.0)</f>
        <v>0</v>
      </c>
      <c r="F250" s="9">
        <f>IFERROR(__xludf.DUMMYFUNCTION("""COMPUTED_VALUE"""),0.0)</f>
        <v>0</v>
      </c>
      <c r="G250" s="9">
        <f>IFERROR(__xludf.DUMMYFUNCTION("""COMPUTED_VALUE"""),0.0)</f>
        <v>0</v>
      </c>
      <c r="H250" s="9"/>
      <c r="I250" s="9">
        <f>IFERROR(__xludf.DUMMYFUNCTION("""COMPUTED_VALUE"""),0.0)</f>
        <v>0</v>
      </c>
      <c r="J250" s="9">
        <f>IFERROR(__xludf.DUMMYFUNCTION("""COMPUTED_VALUE"""),0.0)</f>
        <v>0</v>
      </c>
      <c r="K250" s="9">
        <f>IFERROR(__xludf.DUMMYFUNCTION("""COMPUTED_VALUE"""),0.0)</f>
        <v>0</v>
      </c>
      <c r="L250" s="9">
        <f>IFERROR(__xludf.DUMMYFUNCTION("""COMPUTED_VALUE"""),0.0)</f>
        <v>0</v>
      </c>
      <c r="M250" s="9">
        <f>IFERROR(__xludf.DUMMYFUNCTION("""COMPUTED_VALUE"""),0.0)</f>
        <v>0</v>
      </c>
      <c r="N250" s="9">
        <f>IFERROR(__xludf.DUMMYFUNCTION("""COMPUTED_VALUE"""),0.0)</f>
        <v>0</v>
      </c>
      <c r="O250" s="9">
        <f>IFERROR(__xludf.DUMMYFUNCTION("""COMPUTED_VALUE"""),0.0)</f>
        <v>0</v>
      </c>
      <c r="P250" s="9">
        <f>IFERROR(__xludf.DUMMYFUNCTION("""COMPUTED_VALUE"""),0.0)</f>
        <v>0</v>
      </c>
      <c r="Q250" s="9">
        <f>IFERROR(__xludf.DUMMYFUNCTION("""COMPUTED_VALUE"""),0.0)</f>
        <v>0</v>
      </c>
      <c r="R250" s="9">
        <f>IFERROR(__xludf.DUMMYFUNCTION("""COMPUTED_VALUE"""),0.0)</f>
        <v>0</v>
      </c>
      <c r="S250" s="9">
        <f>IFERROR(__xludf.DUMMYFUNCTION("""COMPUTED_VALUE"""),0.0)</f>
        <v>0</v>
      </c>
      <c r="T250" s="9">
        <f>IFERROR(__xludf.DUMMYFUNCTION("""COMPUTED_VALUE"""),0.0)</f>
        <v>0</v>
      </c>
      <c r="U250" s="9">
        <f>IFERROR(__xludf.DUMMYFUNCTION("""COMPUTED_VALUE"""),0.0)</f>
        <v>0</v>
      </c>
      <c r="V250" s="9">
        <f>IFERROR(__xludf.DUMMYFUNCTION("""COMPUTED_VALUE"""),0.0)</f>
        <v>0</v>
      </c>
      <c r="W250" s="9">
        <f>IFERROR(__xludf.DUMMYFUNCTION("""COMPUTED_VALUE"""),0.0)</f>
        <v>0</v>
      </c>
      <c r="X250" s="9">
        <f>IFERROR(__xludf.DUMMYFUNCTION("""COMPUTED_VALUE"""),0.0)</f>
        <v>0</v>
      </c>
      <c r="Y250" s="9">
        <f>IFERROR(__xludf.DUMMYFUNCTION("""COMPUTED_VALUE"""),0.0)</f>
        <v>0</v>
      </c>
      <c r="Z250" s="9">
        <f>IFERROR(__xludf.DUMMYFUNCTION("""COMPUTED_VALUE"""),0.0)</f>
        <v>0</v>
      </c>
      <c r="AA250" s="9">
        <f>IFERROR(__xludf.DUMMYFUNCTION("""COMPUTED_VALUE"""),0.0)</f>
        <v>0</v>
      </c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</row>
    <row r="251">
      <c r="A251" s="8">
        <f>IFERROR(__xludf.DUMMYFUNCTION("""COMPUTED_VALUE"""),45369.0)</f>
        <v>45369</v>
      </c>
      <c r="B251" s="9">
        <f>IFERROR(__xludf.DUMMYFUNCTION("""COMPUTED_VALUE"""),3.0)</f>
        <v>3</v>
      </c>
      <c r="C251" s="9">
        <f>IFERROR(__xludf.DUMMYFUNCTION("""COMPUTED_VALUE"""),12.0)</f>
        <v>12</v>
      </c>
      <c r="D251" s="9">
        <f>IFERROR(__xludf.DUMMYFUNCTION("""COMPUTED_VALUE"""),4.0)</f>
        <v>4</v>
      </c>
      <c r="E251" s="9">
        <f>IFERROR(__xludf.DUMMYFUNCTION("""COMPUTED_VALUE"""),263.0)</f>
        <v>263</v>
      </c>
      <c r="F251" s="9">
        <f>IFERROR(__xludf.DUMMYFUNCTION("""COMPUTED_VALUE"""),88.0)</f>
        <v>88</v>
      </c>
      <c r="G251" s="9">
        <f>IFERROR(__xludf.DUMMYFUNCTION("""COMPUTED_VALUE"""),0.0)</f>
        <v>0</v>
      </c>
      <c r="H251" s="9"/>
      <c r="I251" s="9">
        <f>IFERROR(__xludf.DUMMYFUNCTION("""COMPUTED_VALUE"""),3.0)</f>
        <v>3</v>
      </c>
      <c r="J251" s="9">
        <f>IFERROR(__xludf.DUMMYFUNCTION("""COMPUTED_VALUE"""),0.0)</f>
        <v>0</v>
      </c>
      <c r="K251" s="9">
        <f>IFERROR(__xludf.DUMMYFUNCTION("""COMPUTED_VALUE"""),0.0)</f>
        <v>0</v>
      </c>
      <c r="L251" s="9">
        <f>IFERROR(__xludf.DUMMYFUNCTION("""COMPUTED_VALUE"""),0.0)</f>
        <v>0</v>
      </c>
      <c r="M251" s="9">
        <f>IFERROR(__xludf.DUMMYFUNCTION("""COMPUTED_VALUE"""),3.0)</f>
        <v>3</v>
      </c>
      <c r="N251" s="9">
        <f>IFERROR(__xludf.DUMMYFUNCTION("""COMPUTED_VALUE"""),2.0)</f>
        <v>2</v>
      </c>
      <c r="O251" s="9">
        <f>IFERROR(__xludf.DUMMYFUNCTION("""COMPUTED_VALUE"""),0.0)</f>
        <v>0</v>
      </c>
      <c r="P251" s="9">
        <f>IFERROR(__xludf.DUMMYFUNCTION("""COMPUTED_VALUE"""),1.0)</f>
        <v>1</v>
      </c>
      <c r="Q251" s="9">
        <f>IFERROR(__xludf.DUMMYFUNCTION("""COMPUTED_VALUE"""),2.0)</f>
        <v>2</v>
      </c>
      <c r="R251" s="9">
        <f>IFERROR(__xludf.DUMMYFUNCTION("""COMPUTED_VALUE"""),1.0)</f>
        <v>1</v>
      </c>
      <c r="S251" s="9">
        <f>IFERROR(__xludf.DUMMYFUNCTION("""COMPUTED_VALUE"""),0.0)</f>
        <v>0</v>
      </c>
      <c r="T251" s="9">
        <f>IFERROR(__xludf.DUMMYFUNCTION("""COMPUTED_VALUE"""),0.0)</f>
        <v>0</v>
      </c>
      <c r="U251" s="9">
        <f>IFERROR(__xludf.DUMMYFUNCTION("""COMPUTED_VALUE"""),0.0)</f>
        <v>0</v>
      </c>
      <c r="V251" s="9">
        <f>IFERROR(__xludf.DUMMYFUNCTION("""COMPUTED_VALUE"""),3.0)</f>
        <v>3</v>
      </c>
      <c r="W251" s="9">
        <f>IFERROR(__xludf.DUMMYFUNCTION("""COMPUTED_VALUE"""),0.0)</f>
        <v>0</v>
      </c>
      <c r="X251" s="9">
        <f>IFERROR(__xludf.DUMMYFUNCTION("""COMPUTED_VALUE"""),3.0)</f>
        <v>3</v>
      </c>
      <c r="Y251" s="9">
        <f>IFERROR(__xludf.DUMMYFUNCTION("""COMPUTED_VALUE"""),3.0)</f>
        <v>3</v>
      </c>
      <c r="Z251" s="9">
        <f>IFERROR(__xludf.DUMMYFUNCTION("""COMPUTED_VALUE"""),0.0)</f>
        <v>0</v>
      </c>
      <c r="AA251" s="9">
        <f>IFERROR(__xludf.DUMMYFUNCTION("""COMPUTED_VALUE"""),0.0)</f>
        <v>0</v>
      </c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</row>
    <row r="252">
      <c r="A252" s="8">
        <f>IFERROR(__xludf.DUMMYFUNCTION("""COMPUTED_VALUE"""),45370.0)</f>
        <v>45370</v>
      </c>
      <c r="B252" s="9">
        <f>IFERROR(__xludf.DUMMYFUNCTION("""COMPUTED_VALUE"""),6.0)</f>
        <v>6</v>
      </c>
      <c r="C252" s="9">
        <f>IFERROR(__xludf.DUMMYFUNCTION("""COMPUTED_VALUE"""),20.0)</f>
        <v>20</v>
      </c>
      <c r="D252" s="9">
        <f>IFERROR(__xludf.DUMMYFUNCTION("""COMPUTED_VALUE"""),3.0)</f>
        <v>3</v>
      </c>
      <c r="E252" s="9">
        <f>IFERROR(__xludf.DUMMYFUNCTION("""COMPUTED_VALUE"""),391.0)</f>
        <v>391</v>
      </c>
      <c r="F252" s="9">
        <f>IFERROR(__xludf.DUMMYFUNCTION("""COMPUTED_VALUE"""),65.0)</f>
        <v>65</v>
      </c>
      <c r="G252" s="9">
        <f>IFERROR(__xludf.DUMMYFUNCTION("""COMPUTED_VALUE"""),0.0)</f>
        <v>0</v>
      </c>
      <c r="H252" s="9"/>
      <c r="I252" s="9">
        <f>IFERROR(__xludf.DUMMYFUNCTION("""COMPUTED_VALUE"""),6.0)</f>
        <v>6</v>
      </c>
      <c r="J252" s="9">
        <f>IFERROR(__xludf.DUMMYFUNCTION("""COMPUTED_VALUE"""),0.0)</f>
        <v>0</v>
      </c>
      <c r="K252" s="9">
        <f>IFERROR(__xludf.DUMMYFUNCTION("""COMPUTED_VALUE"""),0.0)</f>
        <v>0</v>
      </c>
      <c r="L252" s="9">
        <f>IFERROR(__xludf.DUMMYFUNCTION("""COMPUTED_VALUE"""),0.0)</f>
        <v>0</v>
      </c>
      <c r="M252" s="9">
        <f>IFERROR(__xludf.DUMMYFUNCTION("""COMPUTED_VALUE"""),6.0)</f>
        <v>6</v>
      </c>
      <c r="N252" s="9">
        <f>IFERROR(__xludf.DUMMYFUNCTION("""COMPUTED_VALUE"""),3.0)</f>
        <v>3</v>
      </c>
      <c r="O252" s="9">
        <f>IFERROR(__xludf.DUMMYFUNCTION("""COMPUTED_VALUE"""),0.0)</f>
        <v>0</v>
      </c>
      <c r="P252" s="9">
        <f>IFERROR(__xludf.DUMMYFUNCTION("""COMPUTED_VALUE"""),3.0)</f>
        <v>3</v>
      </c>
      <c r="Q252" s="9">
        <f>IFERROR(__xludf.DUMMYFUNCTION("""COMPUTED_VALUE"""),3.0)</f>
        <v>3</v>
      </c>
      <c r="R252" s="9">
        <f>IFERROR(__xludf.DUMMYFUNCTION("""COMPUTED_VALUE"""),3.0)</f>
        <v>3</v>
      </c>
      <c r="S252" s="9">
        <f>IFERROR(__xludf.DUMMYFUNCTION("""COMPUTED_VALUE"""),0.0)</f>
        <v>0</v>
      </c>
      <c r="T252" s="9">
        <f>IFERROR(__xludf.DUMMYFUNCTION("""COMPUTED_VALUE"""),0.0)</f>
        <v>0</v>
      </c>
      <c r="U252" s="9">
        <f>IFERROR(__xludf.DUMMYFUNCTION("""COMPUTED_VALUE"""),0.0)</f>
        <v>0</v>
      </c>
      <c r="V252" s="9">
        <f>IFERROR(__xludf.DUMMYFUNCTION("""COMPUTED_VALUE"""),6.0)</f>
        <v>6</v>
      </c>
      <c r="W252" s="9">
        <f>IFERROR(__xludf.DUMMYFUNCTION("""COMPUTED_VALUE"""),0.0)</f>
        <v>0</v>
      </c>
      <c r="X252" s="9">
        <f>IFERROR(__xludf.DUMMYFUNCTION("""COMPUTED_VALUE"""),2.0)</f>
        <v>2</v>
      </c>
      <c r="Y252" s="9">
        <f>IFERROR(__xludf.DUMMYFUNCTION("""COMPUTED_VALUE"""),6.0)</f>
        <v>6</v>
      </c>
      <c r="Z252" s="9">
        <f>IFERROR(__xludf.DUMMYFUNCTION("""COMPUTED_VALUE"""),0.0)</f>
        <v>0</v>
      </c>
      <c r="AA252" s="9">
        <f>IFERROR(__xludf.DUMMYFUNCTION("""COMPUTED_VALUE"""),0.0)</f>
        <v>0</v>
      </c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</row>
    <row r="253">
      <c r="A253" s="8">
        <f>IFERROR(__xludf.DUMMYFUNCTION("""COMPUTED_VALUE"""),45371.0)</f>
        <v>45371</v>
      </c>
      <c r="B253" s="9">
        <f>IFERROR(__xludf.DUMMYFUNCTION("""COMPUTED_VALUE"""),11.0)</f>
        <v>11</v>
      </c>
      <c r="C253" s="9">
        <f>IFERROR(__xludf.DUMMYFUNCTION("""COMPUTED_VALUE"""),56.0)</f>
        <v>56</v>
      </c>
      <c r="D253" s="9">
        <f>IFERROR(__xludf.DUMMYFUNCTION("""COMPUTED_VALUE"""),5.0)</f>
        <v>5</v>
      </c>
      <c r="E253" s="9">
        <f>IFERROR(__xludf.DUMMYFUNCTION("""COMPUTED_VALUE"""),896.0)</f>
        <v>896</v>
      </c>
      <c r="F253" s="9">
        <f>IFERROR(__xludf.DUMMYFUNCTION("""COMPUTED_VALUE"""),81.0)</f>
        <v>81</v>
      </c>
      <c r="G253" s="9">
        <f>IFERROR(__xludf.DUMMYFUNCTION("""COMPUTED_VALUE"""),0.0)</f>
        <v>0</v>
      </c>
      <c r="H253" s="9"/>
      <c r="I253" s="9">
        <f>IFERROR(__xludf.DUMMYFUNCTION("""COMPUTED_VALUE"""),5.0)</f>
        <v>5</v>
      </c>
      <c r="J253" s="9">
        <f>IFERROR(__xludf.DUMMYFUNCTION("""COMPUTED_VALUE"""),3.0)</f>
        <v>3</v>
      </c>
      <c r="K253" s="9">
        <f>IFERROR(__xludf.DUMMYFUNCTION("""COMPUTED_VALUE"""),0.0)</f>
        <v>0</v>
      </c>
      <c r="L253" s="9">
        <f>IFERROR(__xludf.DUMMYFUNCTION("""COMPUTED_VALUE"""),0.0)</f>
        <v>0</v>
      </c>
      <c r="M253" s="9">
        <f>IFERROR(__xludf.DUMMYFUNCTION("""COMPUTED_VALUE"""),8.0)</f>
        <v>8</v>
      </c>
      <c r="N253" s="9">
        <f>IFERROR(__xludf.DUMMYFUNCTION("""COMPUTED_VALUE"""),5.0)</f>
        <v>5</v>
      </c>
      <c r="O253" s="9">
        <f>IFERROR(__xludf.DUMMYFUNCTION("""COMPUTED_VALUE"""),0.0)</f>
        <v>0</v>
      </c>
      <c r="P253" s="9">
        <f>IFERROR(__xludf.DUMMYFUNCTION("""COMPUTED_VALUE"""),5.0)</f>
        <v>5</v>
      </c>
      <c r="Q253" s="9">
        <f>IFERROR(__xludf.DUMMYFUNCTION("""COMPUTED_VALUE"""),2.0)</f>
        <v>2</v>
      </c>
      <c r="R253" s="9">
        <f>IFERROR(__xludf.DUMMYFUNCTION("""COMPUTED_VALUE"""),1.0)</f>
        <v>1</v>
      </c>
      <c r="S253" s="9">
        <f>IFERROR(__xludf.DUMMYFUNCTION("""COMPUTED_VALUE"""),9.0)</f>
        <v>9</v>
      </c>
      <c r="T253" s="9">
        <f>IFERROR(__xludf.DUMMYFUNCTION("""COMPUTED_VALUE"""),0.0)</f>
        <v>0</v>
      </c>
      <c r="U253" s="9">
        <f>IFERROR(__xludf.DUMMYFUNCTION("""COMPUTED_VALUE"""),0.0)</f>
        <v>0</v>
      </c>
      <c r="V253" s="9">
        <f>IFERROR(__xludf.DUMMYFUNCTION("""COMPUTED_VALUE"""),3.0)</f>
        <v>3</v>
      </c>
      <c r="W253" s="9">
        <f>IFERROR(__xludf.DUMMYFUNCTION("""COMPUTED_VALUE"""),0.0)</f>
        <v>0</v>
      </c>
      <c r="X253" s="9">
        <f>IFERROR(__xludf.DUMMYFUNCTION("""COMPUTED_VALUE"""),7.0)</f>
        <v>7</v>
      </c>
      <c r="Y253" s="9">
        <f>IFERROR(__xludf.DUMMYFUNCTION("""COMPUTED_VALUE"""),6.0)</f>
        <v>6</v>
      </c>
      <c r="Z253" s="9">
        <f>IFERROR(__xludf.DUMMYFUNCTION("""COMPUTED_VALUE"""),0.0)</f>
        <v>0</v>
      </c>
      <c r="AA253" s="9">
        <f>IFERROR(__xludf.DUMMYFUNCTION("""COMPUTED_VALUE"""),0.0)</f>
        <v>0</v>
      </c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</row>
    <row r="254">
      <c r="A254" s="8">
        <f>IFERROR(__xludf.DUMMYFUNCTION("""COMPUTED_VALUE"""),45372.0)</f>
        <v>45372</v>
      </c>
      <c r="B254" s="9">
        <f>IFERROR(__xludf.DUMMYFUNCTION("""COMPUTED_VALUE"""),8.0)</f>
        <v>8</v>
      </c>
      <c r="C254" s="9">
        <f>IFERROR(__xludf.DUMMYFUNCTION("""COMPUTED_VALUE"""),36.0)</f>
        <v>36</v>
      </c>
      <c r="D254" s="9">
        <f>IFERROR(__xludf.DUMMYFUNCTION("""COMPUTED_VALUE"""),4.0)</f>
        <v>4</v>
      </c>
      <c r="E254" s="9">
        <f>IFERROR(__xludf.DUMMYFUNCTION("""COMPUTED_VALUE"""),672.0)</f>
        <v>672</v>
      </c>
      <c r="F254" s="9">
        <f>IFERROR(__xludf.DUMMYFUNCTION("""COMPUTED_VALUE"""),84.0)</f>
        <v>84</v>
      </c>
      <c r="G254" s="9">
        <f>IFERROR(__xludf.DUMMYFUNCTION("""COMPUTED_VALUE"""),0.0)</f>
        <v>0</v>
      </c>
      <c r="H254" s="9"/>
      <c r="I254" s="9">
        <f>IFERROR(__xludf.DUMMYFUNCTION("""COMPUTED_VALUE"""),4.0)</f>
        <v>4</v>
      </c>
      <c r="J254" s="9">
        <f>IFERROR(__xludf.DUMMYFUNCTION("""COMPUTED_VALUE"""),2.0)</f>
        <v>2</v>
      </c>
      <c r="K254" s="9">
        <f>IFERROR(__xludf.DUMMYFUNCTION("""COMPUTED_VALUE"""),0.0)</f>
        <v>0</v>
      </c>
      <c r="L254" s="9">
        <f>IFERROR(__xludf.DUMMYFUNCTION("""COMPUTED_VALUE"""),0.0)</f>
        <v>0</v>
      </c>
      <c r="M254" s="9">
        <f>IFERROR(__xludf.DUMMYFUNCTION("""COMPUTED_VALUE"""),6.0)</f>
        <v>6</v>
      </c>
      <c r="N254" s="9">
        <f>IFERROR(__xludf.DUMMYFUNCTION("""COMPUTED_VALUE"""),3.0)</f>
        <v>3</v>
      </c>
      <c r="O254" s="9">
        <f>IFERROR(__xludf.DUMMYFUNCTION("""COMPUTED_VALUE"""),0.0)</f>
        <v>0</v>
      </c>
      <c r="P254" s="9">
        <f>IFERROR(__xludf.DUMMYFUNCTION("""COMPUTED_VALUE"""),5.0)</f>
        <v>5</v>
      </c>
      <c r="Q254" s="9">
        <f>IFERROR(__xludf.DUMMYFUNCTION("""COMPUTED_VALUE"""),1.0)</f>
        <v>1</v>
      </c>
      <c r="R254" s="9">
        <f>IFERROR(__xludf.DUMMYFUNCTION("""COMPUTED_VALUE"""),4.0)</f>
        <v>4</v>
      </c>
      <c r="S254" s="9">
        <f>IFERROR(__xludf.DUMMYFUNCTION("""COMPUTED_VALUE"""),3.0)</f>
        <v>3</v>
      </c>
      <c r="T254" s="9">
        <f>IFERROR(__xludf.DUMMYFUNCTION("""COMPUTED_VALUE"""),0.0)</f>
        <v>0</v>
      </c>
      <c r="U254" s="9">
        <f>IFERROR(__xludf.DUMMYFUNCTION("""COMPUTED_VALUE"""),0.0)</f>
        <v>0</v>
      </c>
      <c r="V254" s="9">
        <f>IFERROR(__xludf.DUMMYFUNCTION("""COMPUTED_VALUE"""),5.0)</f>
        <v>5</v>
      </c>
      <c r="W254" s="9">
        <f>IFERROR(__xludf.DUMMYFUNCTION("""COMPUTED_VALUE"""),0.0)</f>
        <v>0</v>
      </c>
      <c r="X254" s="9">
        <f>IFERROR(__xludf.DUMMYFUNCTION("""COMPUTED_VALUE"""),8.0)</f>
        <v>8</v>
      </c>
      <c r="Y254" s="9">
        <f>IFERROR(__xludf.DUMMYFUNCTION("""COMPUTED_VALUE"""),6.0)</f>
        <v>6</v>
      </c>
      <c r="Z254" s="9">
        <f>IFERROR(__xludf.DUMMYFUNCTION("""COMPUTED_VALUE"""),0.0)</f>
        <v>0</v>
      </c>
      <c r="AA254" s="9">
        <f>IFERROR(__xludf.DUMMYFUNCTION("""COMPUTED_VALUE"""),0.0)</f>
        <v>0</v>
      </c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</row>
    <row r="255">
      <c r="A255" s="8">
        <f>IFERROR(__xludf.DUMMYFUNCTION("""COMPUTED_VALUE"""),45373.0)</f>
        <v>45373</v>
      </c>
      <c r="B255" s="9">
        <f>IFERROR(__xludf.DUMMYFUNCTION("""COMPUTED_VALUE"""),5.0)</f>
        <v>5</v>
      </c>
      <c r="C255" s="9">
        <f>IFERROR(__xludf.DUMMYFUNCTION("""COMPUTED_VALUE"""),18.0)</f>
        <v>18</v>
      </c>
      <c r="D255" s="9">
        <f>IFERROR(__xludf.DUMMYFUNCTION("""COMPUTED_VALUE"""),4.0)</f>
        <v>4</v>
      </c>
      <c r="E255" s="9">
        <f>IFERROR(__xludf.DUMMYFUNCTION("""COMPUTED_VALUE"""),402.0)</f>
        <v>402</v>
      </c>
      <c r="F255" s="9">
        <f>IFERROR(__xludf.DUMMYFUNCTION("""COMPUTED_VALUE"""),80.0)</f>
        <v>80</v>
      </c>
      <c r="G255" s="9">
        <f>IFERROR(__xludf.DUMMYFUNCTION("""COMPUTED_VALUE"""),0.0)</f>
        <v>0</v>
      </c>
      <c r="H255" s="9"/>
      <c r="I255" s="9">
        <f>IFERROR(__xludf.DUMMYFUNCTION("""COMPUTED_VALUE"""),3.0)</f>
        <v>3</v>
      </c>
      <c r="J255" s="9">
        <f>IFERROR(__xludf.DUMMYFUNCTION("""COMPUTED_VALUE"""),1.0)</f>
        <v>1</v>
      </c>
      <c r="K255" s="9">
        <f>IFERROR(__xludf.DUMMYFUNCTION("""COMPUTED_VALUE"""),0.0)</f>
        <v>0</v>
      </c>
      <c r="L255" s="9">
        <f>IFERROR(__xludf.DUMMYFUNCTION("""COMPUTED_VALUE"""),0.0)</f>
        <v>0</v>
      </c>
      <c r="M255" s="9">
        <f>IFERROR(__xludf.DUMMYFUNCTION("""COMPUTED_VALUE"""),4.0)</f>
        <v>4</v>
      </c>
      <c r="N255" s="9">
        <f>IFERROR(__xludf.DUMMYFUNCTION("""COMPUTED_VALUE"""),4.0)</f>
        <v>4</v>
      </c>
      <c r="O255" s="9">
        <f>IFERROR(__xludf.DUMMYFUNCTION("""COMPUTED_VALUE"""),0.0)</f>
        <v>0</v>
      </c>
      <c r="P255" s="9">
        <f>IFERROR(__xludf.DUMMYFUNCTION("""COMPUTED_VALUE"""),1.0)</f>
        <v>1</v>
      </c>
      <c r="Q255" s="9">
        <f>IFERROR(__xludf.DUMMYFUNCTION("""COMPUTED_VALUE"""),3.0)</f>
        <v>3</v>
      </c>
      <c r="R255" s="9">
        <f>IFERROR(__xludf.DUMMYFUNCTION("""COMPUTED_VALUE"""),1.0)</f>
        <v>1</v>
      </c>
      <c r="S255" s="9">
        <f>IFERROR(__xludf.DUMMYFUNCTION("""COMPUTED_VALUE"""),2.0)</f>
        <v>2</v>
      </c>
      <c r="T255" s="9">
        <f>IFERROR(__xludf.DUMMYFUNCTION("""COMPUTED_VALUE"""),0.0)</f>
        <v>0</v>
      </c>
      <c r="U255" s="9">
        <f>IFERROR(__xludf.DUMMYFUNCTION("""COMPUTED_VALUE"""),0.0)</f>
        <v>0</v>
      </c>
      <c r="V255" s="9">
        <f>IFERROR(__xludf.DUMMYFUNCTION("""COMPUTED_VALUE"""),4.0)</f>
        <v>4</v>
      </c>
      <c r="W255" s="9">
        <f>IFERROR(__xludf.DUMMYFUNCTION("""COMPUTED_VALUE"""),0.0)</f>
        <v>0</v>
      </c>
      <c r="X255" s="9">
        <f>IFERROR(__xludf.DUMMYFUNCTION("""COMPUTED_VALUE"""),2.0)</f>
        <v>2</v>
      </c>
      <c r="Y255" s="9">
        <f>IFERROR(__xludf.DUMMYFUNCTION("""COMPUTED_VALUE"""),4.0)</f>
        <v>4</v>
      </c>
      <c r="Z255" s="9">
        <f>IFERROR(__xludf.DUMMYFUNCTION("""COMPUTED_VALUE"""),0.0)</f>
        <v>0</v>
      </c>
      <c r="AA255" s="9">
        <f>IFERROR(__xludf.DUMMYFUNCTION("""COMPUTED_VALUE"""),0.0)</f>
        <v>0</v>
      </c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</row>
    <row r="256">
      <c r="A256" s="8">
        <f>IFERROR(__xludf.DUMMYFUNCTION("""COMPUTED_VALUE"""),45374.0)</f>
        <v>45374</v>
      </c>
      <c r="B256" s="9">
        <f>IFERROR(__xludf.DUMMYFUNCTION("""COMPUTED_VALUE"""),0.0)</f>
        <v>0</v>
      </c>
      <c r="C256" s="9">
        <f>IFERROR(__xludf.DUMMYFUNCTION("""COMPUTED_VALUE"""),0.0)</f>
        <v>0</v>
      </c>
      <c r="D256" s="9">
        <f>IFERROR(__xludf.DUMMYFUNCTION("""COMPUTED_VALUE"""),0.0)</f>
        <v>0</v>
      </c>
      <c r="E256" s="9">
        <f>IFERROR(__xludf.DUMMYFUNCTION("""COMPUTED_VALUE"""),0.0)</f>
        <v>0</v>
      </c>
      <c r="F256" s="9">
        <f>IFERROR(__xludf.DUMMYFUNCTION("""COMPUTED_VALUE"""),0.0)</f>
        <v>0</v>
      </c>
      <c r="G256" s="9">
        <f>IFERROR(__xludf.DUMMYFUNCTION("""COMPUTED_VALUE"""),0.0)</f>
        <v>0</v>
      </c>
      <c r="H256" s="9"/>
      <c r="I256" s="9">
        <f>IFERROR(__xludf.DUMMYFUNCTION("""COMPUTED_VALUE"""),0.0)</f>
        <v>0</v>
      </c>
      <c r="J256" s="9">
        <f>IFERROR(__xludf.DUMMYFUNCTION("""COMPUTED_VALUE"""),0.0)</f>
        <v>0</v>
      </c>
      <c r="K256" s="9">
        <f>IFERROR(__xludf.DUMMYFUNCTION("""COMPUTED_VALUE"""),0.0)</f>
        <v>0</v>
      </c>
      <c r="L256" s="9">
        <f>IFERROR(__xludf.DUMMYFUNCTION("""COMPUTED_VALUE"""),0.0)</f>
        <v>0</v>
      </c>
      <c r="M256" s="9">
        <f>IFERROR(__xludf.DUMMYFUNCTION("""COMPUTED_VALUE"""),0.0)</f>
        <v>0</v>
      </c>
      <c r="N256" s="9">
        <f>IFERROR(__xludf.DUMMYFUNCTION("""COMPUTED_VALUE"""),0.0)</f>
        <v>0</v>
      </c>
      <c r="O256" s="9">
        <f>IFERROR(__xludf.DUMMYFUNCTION("""COMPUTED_VALUE"""),0.0)</f>
        <v>0</v>
      </c>
      <c r="P256" s="9">
        <f>IFERROR(__xludf.DUMMYFUNCTION("""COMPUTED_VALUE"""),0.0)</f>
        <v>0</v>
      </c>
      <c r="Q256" s="9">
        <f>IFERROR(__xludf.DUMMYFUNCTION("""COMPUTED_VALUE"""),0.0)</f>
        <v>0</v>
      </c>
      <c r="R256" s="9">
        <f>IFERROR(__xludf.DUMMYFUNCTION("""COMPUTED_VALUE"""),0.0)</f>
        <v>0</v>
      </c>
      <c r="S256" s="9">
        <f>IFERROR(__xludf.DUMMYFUNCTION("""COMPUTED_VALUE"""),0.0)</f>
        <v>0</v>
      </c>
      <c r="T256" s="9">
        <f>IFERROR(__xludf.DUMMYFUNCTION("""COMPUTED_VALUE"""),0.0)</f>
        <v>0</v>
      </c>
      <c r="U256" s="9">
        <f>IFERROR(__xludf.DUMMYFUNCTION("""COMPUTED_VALUE"""),0.0)</f>
        <v>0</v>
      </c>
      <c r="V256" s="9">
        <f>IFERROR(__xludf.DUMMYFUNCTION("""COMPUTED_VALUE"""),0.0)</f>
        <v>0</v>
      </c>
      <c r="W256" s="9">
        <f>IFERROR(__xludf.DUMMYFUNCTION("""COMPUTED_VALUE"""),0.0)</f>
        <v>0</v>
      </c>
      <c r="X256" s="9">
        <f>IFERROR(__xludf.DUMMYFUNCTION("""COMPUTED_VALUE"""),0.0)</f>
        <v>0</v>
      </c>
      <c r="Y256" s="9">
        <f>IFERROR(__xludf.DUMMYFUNCTION("""COMPUTED_VALUE"""),0.0)</f>
        <v>0</v>
      </c>
      <c r="Z256" s="9">
        <f>IFERROR(__xludf.DUMMYFUNCTION("""COMPUTED_VALUE"""),0.0)</f>
        <v>0</v>
      </c>
      <c r="AA256" s="9">
        <f>IFERROR(__xludf.DUMMYFUNCTION("""COMPUTED_VALUE"""),0.0)</f>
        <v>0</v>
      </c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</row>
    <row r="257">
      <c r="A257" s="8">
        <f>IFERROR(__xludf.DUMMYFUNCTION("""COMPUTED_VALUE"""),45375.0)</f>
        <v>45375</v>
      </c>
      <c r="B257" s="9">
        <f>IFERROR(__xludf.DUMMYFUNCTION("""COMPUTED_VALUE"""),0.0)</f>
        <v>0</v>
      </c>
      <c r="C257" s="9">
        <f>IFERROR(__xludf.DUMMYFUNCTION("""COMPUTED_VALUE"""),0.0)</f>
        <v>0</v>
      </c>
      <c r="D257" s="9">
        <f>IFERROR(__xludf.DUMMYFUNCTION("""COMPUTED_VALUE"""),0.0)</f>
        <v>0</v>
      </c>
      <c r="E257" s="9">
        <f>IFERROR(__xludf.DUMMYFUNCTION("""COMPUTED_VALUE"""),0.0)</f>
        <v>0</v>
      </c>
      <c r="F257" s="9">
        <f>IFERROR(__xludf.DUMMYFUNCTION("""COMPUTED_VALUE"""),0.0)</f>
        <v>0</v>
      </c>
      <c r="G257" s="9">
        <f>IFERROR(__xludf.DUMMYFUNCTION("""COMPUTED_VALUE"""),0.0)</f>
        <v>0</v>
      </c>
      <c r="H257" s="9"/>
      <c r="I257" s="9">
        <f>IFERROR(__xludf.DUMMYFUNCTION("""COMPUTED_VALUE"""),0.0)</f>
        <v>0</v>
      </c>
      <c r="J257" s="9">
        <f>IFERROR(__xludf.DUMMYFUNCTION("""COMPUTED_VALUE"""),0.0)</f>
        <v>0</v>
      </c>
      <c r="K257" s="9">
        <f>IFERROR(__xludf.DUMMYFUNCTION("""COMPUTED_VALUE"""),0.0)</f>
        <v>0</v>
      </c>
      <c r="L257" s="9">
        <f>IFERROR(__xludf.DUMMYFUNCTION("""COMPUTED_VALUE"""),0.0)</f>
        <v>0</v>
      </c>
      <c r="M257" s="9">
        <f>IFERROR(__xludf.DUMMYFUNCTION("""COMPUTED_VALUE"""),0.0)</f>
        <v>0</v>
      </c>
      <c r="N257" s="9">
        <f>IFERROR(__xludf.DUMMYFUNCTION("""COMPUTED_VALUE"""),0.0)</f>
        <v>0</v>
      </c>
      <c r="O257" s="9">
        <f>IFERROR(__xludf.DUMMYFUNCTION("""COMPUTED_VALUE"""),0.0)</f>
        <v>0</v>
      </c>
      <c r="P257" s="9">
        <f>IFERROR(__xludf.DUMMYFUNCTION("""COMPUTED_VALUE"""),0.0)</f>
        <v>0</v>
      </c>
      <c r="Q257" s="9">
        <f>IFERROR(__xludf.DUMMYFUNCTION("""COMPUTED_VALUE"""),0.0)</f>
        <v>0</v>
      </c>
      <c r="R257" s="9">
        <f>IFERROR(__xludf.DUMMYFUNCTION("""COMPUTED_VALUE"""),0.0)</f>
        <v>0</v>
      </c>
      <c r="S257" s="9">
        <f>IFERROR(__xludf.DUMMYFUNCTION("""COMPUTED_VALUE"""),0.0)</f>
        <v>0</v>
      </c>
      <c r="T257" s="9">
        <f>IFERROR(__xludf.DUMMYFUNCTION("""COMPUTED_VALUE"""),0.0)</f>
        <v>0</v>
      </c>
      <c r="U257" s="9">
        <f>IFERROR(__xludf.DUMMYFUNCTION("""COMPUTED_VALUE"""),0.0)</f>
        <v>0</v>
      </c>
      <c r="V257" s="9">
        <f>IFERROR(__xludf.DUMMYFUNCTION("""COMPUTED_VALUE"""),0.0)</f>
        <v>0</v>
      </c>
      <c r="W257" s="9">
        <f>IFERROR(__xludf.DUMMYFUNCTION("""COMPUTED_VALUE"""),0.0)</f>
        <v>0</v>
      </c>
      <c r="X257" s="9">
        <f>IFERROR(__xludf.DUMMYFUNCTION("""COMPUTED_VALUE"""),0.0)</f>
        <v>0</v>
      </c>
      <c r="Y257" s="9">
        <f>IFERROR(__xludf.DUMMYFUNCTION("""COMPUTED_VALUE"""),0.0)</f>
        <v>0</v>
      </c>
      <c r="Z257" s="9">
        <f>IFERROR(__xludf.DUMMYFUNCTION("""COMPUTED_VALUE"""),0.0)</f>
        <v>0</v>
      </c>
      <c r="AA257" s="9">
        <f>IFERROR(__xludf.DUMMYFUNCTION("""COMPUTED_VALUE"""),0.0)</f>
        <v>0</v>
      </c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  <c r="TB257" s="9"/>
      <c r="TC257" s="9"/>
      <c r="TD257" s="9"/>
      <c r="TE257" s="9"/>
      <c r="TF257" s="9"/>
      <c r="TG257" s="9"/>
      <c r="TH257" s="9"/>
      <c r="TI257" s="9"/>
      <c r="TJ257" s="9"/>
      <c r="TK257" s="9"/>
      <c r="TL257" s="9"/>
      <c r="TM257" s="9"/>
      <c r="TN257" s="9"/>
      <c r="TO257" s="9"/>
      <c r="TP257" s="9"/>
      <c r="TQ257" s="9"/>
      <c r="TR257" s="9"/>
      <c r="TS257" s="9"/>
      <c r="TT257" s="9"/>
      <c r="TU257" s="9"/>
      <c r="TV257" s="9"/>
      <c r="TW257" s="9"/>
      <c r="TX257" s="9"/>
      <c r="TY257" s="9"/>
      <c r="TZ257" s="9"/>
      <c r="UA257" s="9"/>
      <c r="UB257" s="9"/>
      <c r="UC257" s="9"/>
      <c r="UD257" s="9"/>
      <c r="UE257" s="9"/>
      <c r="UF257" s="9"/>
      <c r="UG257" s="9"/>
      <c r="UH257" s="9"/>
      <c r="UI257" s="9"/>
      <c r="UJ257" s="9"/>
    </row>
    <row r="258">
      <c r="A258" s="8">
        <f>IFERROR(__xludf.DUMMYFUNCTION("""COMPUTED_VALUE"""),45376.0)</f>
        <v>45376</v>
      </c>
      <c r="B258" s="9">
        <f>IFERROR(__xludf.DUMMYFUNCTION("""COMPUTED_VALUE"""),5.0)</f>
        <v>5</v>
      </c>
      <c r="C258" s="9">
        <f>IFERROR(__xludf.DUMMYFUNCTION("""COMPUTED_VALUE"""),20.0)</f>
        <v>20</v>
      </c>
      <c r="D258" s="9">
        <f>IFERROR(__xludf.DUMMYFUNCTION("""COMPUTED_VALUE"""),4.0)</f>
        <v>4</v>
      </c>
      <c r="E258" s="9">
        <f>IFERROR(__xludf.DUMMYFUNCTION("""COMPUTED_VALUE"""),335.0)</f>
        <v>335</v>
      </c>
      <c r="F258" s="9">
        <f>IFERROR(__xludf.DUMMYFUNCTION("""COMPUTED_VALUE"""),67.0)</f>
        <v>67</v>
      </c>
      <c r="G258" s="9">
        <f>IFERROR(__xludf.DUMMYFUNCTION("""COMPUTED_VALUE"""),0.0)</f>
        <v>0</v>
      </c>
      <c r="H258" s="9"/>
      <c r="I258" s="9">
        <f>IFERROR(__xludf.DUMMYFUNCTION("""COMPUTED_VALUE"""),3.0)</f>
        <v>3</v>
      </c>
      <c r="J258" s="9">
        <f>IFERROR(__xludf.DUMMYFUNCTION("""COMPUTED_VALUE"""),1.0)</f>
        <v>1</v>
      </c>
      <c r="K258" s="9">
        <f>IFERROR(__xludf.DUMMYFUNCTION("""COMPUTED_VALUE"""),0.0)</f>
        <v>0</v>
      </c>
      <c r="L258" s="9">
        <f>IFERROR(__xludf.DUMMYFUNCTION("""COMPUTED_VALUE"""),0.0)</f>
        <v>0</v>
      </c>
      <c r="M258" s="9">
        <f>IFERROR(__xludf.DUMMYFUNCTION("""COMPUTED_VALUE"""),4.0)</f>
        <v>4</v>
      </c>
      <c r="N258" s="9">
        <f>IFERROR(__xludf.DUMMYFUNCTION("""COMPUTED_VALUE"""),3.0)</f>
        <v>3</v>
      </c>
      <c r="O258" s="9">
        <f>IFERROR(__xludf.DUMMYFUNCTION("""COMPUTED_VALUE"""),0.0)</f>
        <v>0</v>
      </c>
      <c r="P258" s="9">
        <f>IFERROR(__xludf.DUMMYFUNCTION("""COMPUTED_VALUE"""),2.0)</f>
        <v>2</v>
      </c>
      <c r="Q258" s="9">
        <f>IFERROR(__xludf.DUMMYFUNCTION("""COMPUTED_VALUE"""),1.0)</f>
        <v>1</v>
      </c>
      <c r="R258" s="9">
        <f>IFERROR(__xludf.DUMMYFUNCTION("""COMPUTED_VALUE"""),1.0)</f>
        <v>1</v>
      </c>
      <c r="S258" s="9">
        <f>IFERROR(__xludf.DUMMYFUNCTION("""COMPUTED_VALUE"""),2.0)</f>
        <v>2</v>
      </c>
      <c r="T258" s="9">
        <f>IFERROR(__xludf.DUMMYFUNCTION("""COMPUTED_VALUE"""),0.0)</f>
        <v>0</v>
      </c>
      <c r="U258" s="9">
        <f>IFERROR(__xludf.DUMMYFUNCTION("""COMPUTED_VALUE"""),0.0)</f>
        <v>0</v>
      </c>
      <c r="V258" s="9">
        <f>IFERROR(__xludf.DUMMYFUNCTION("""COMPUTED_VALUE"""),2.0)</f>
        <v>2</v>
      </c>
      <c r="W258" s="9">
        <f>IFERROR(__xludf.DUMMYFUNCTION("""COMPUTED_VALUE"""),1.0)</f>
        <v>1</v>
      </c>
      <c r="X258" s="9">
        <f>IFERROR(__xludf.DUMMYFUNCTION("""COMPUTED_VALUE"""),1.0)</f>
        <v>1</v>
      </c>
      <c r="Y258" s="9">
        <f>IFERROR(__xludf.DUMMYFUNCTION("""COMPUTED_VALUE"""),3.0)</f>
        <v>3</v>
      </c>
      <c r="Z258" s="9">
        <f>IFERROR(__xludf.DUMMYFUNCTION("""COMPUTED_VALUE"""),1.0)</f>
        <v>1</v>
      </c>
      <c r="AA258" s="9">
        <f>IFERROR(__xludf.DUMMYFUNCTION("""COMPUTED_VALUE"""),0.0)</f>
        <v>0</v>
      </c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  <c r="TB258" s="9"/>
      <c r="TC258" s="9"/>
      <c r="TD258" s="9"/>
      <c r="TE258" s="9"/>
      <c r="TF258" s="9"/>
      <c r="TG258" s="9"/>
      <c r="TH258" s="9"/>
      <c r="TI258" s="9"/>
      <c r="TJ258" s="9"/>
      <c r="TK258" s="9"/>
      <c r="TL258" s="9"/>
      <c r="TM258" s="9"/>
      <c r="TN258" s="9"/>
      <c r="TO258" s="9"/>
      <c r="TP258" s="9"/>
      <c r="TQ258" s="9"/>
      <c r="TR258" s="9"/>
      <c r="TS258" s="9"/>
      <c r="TT258" s="9"/>
      <c r="TU258" s="9"/>
      <c r="TV258" s="9"/>
      <c r="TW258" s="9"/>
      <c r="TX258" s="9"/>
      <c r="TY258" s="9"/>
      <c r="TZ258" s="9"/>
      <c r="UA258" s="9"/>
      <c r="UB258" s="9"/>
      <c r="UC258" s="9"/>
      <c r="UD258" s="9"/>
      <c r="UE258" s="9"/>
      <c r="UF258" s="9"/>
      <c r="UG258" s="9"/>
      <c r="UH258" s="9"/>
      <c r="UI258" s="9"/>
      <c r="UJ258" s="9"/>
    </row>
    <row r="259">
      <c r="A259" s="8">
        <f>IFERROR(__xludf.DUMMYFUNCTION("""COMPUTED_VALUE"""),45377.0)</f>
        <v>45377</v>
      </c>
      <c r="B259" s="9">
        <f>IFERROR(__xludf.DUMMYFUNCTION("""COMPUTED_VALUE"""),3.0)</f>
        <v>3</v>
      </c>
      <c r="C259" s="9">
        <f>IFERROR(__xludf.DUMMYFUNCTION("""COMPUTED_VALUE"""),13.0)</f>
        <v>13</v>
      </c>
      <c r="D259" s="9">
        <f>IFERROR(__xludf.DUMMYFUNCTION("""COMPUTED_VALUE"""),4.0)</f>
        <v>4</v>
      </c>
      <c r="E259" s="9">
        <f>IFERROR(__xludf.DUMMYFUNCTION("""COMPUTED_VALUE"""),278.0)</f>
        <v>278</v>
      </c>
      <c r="F259" s="9">
        <f>IFERROR(__xludf.DUMMYFUNCTION("""COMPUTED_VALUE"""),93.0)</f>
        <v>93</v>
      </c>
      <c r="G259" s="9">
        <f>IFERROR(__xludf.DUMMYFUNCTION("""COMPUTED_VALUE"""),0.0)</f>
        <v>0</v>
      </c>
      <c r="H259" s="9"/>
      <c r="I259" s="9">
        <f>IFERROR(__xludf.DUMMYFUNCTION("""COMPUTED_VALUE"""),3.0)</f>
        <v>3</v>
      </c>
      <c r="J259" s="9">
        <f>IFERROR(__xludf.DUMMYFUNCTION("""COMPUTED_VALUE"""),0.0)</f>
        <v>0</v>
      </c>
      <c r="K259" s="9">
        <f>IFERROR(__xludf.DUMMYFUNCTION("""COMPUTED_VALUE"""),0.0)</f>
        <v>0</v>
      </c>
      <c r="L259" s="9">
        <f>IFERROR(__xludf.DUMMYFUNCTION("""COMPUTED_VALUE"""),0.0)</f>
        <v>0</v>
      </c>
      <c r="M259" s="9">
        <f>IFERROR(__xludf.DUMMYFUNCTION("""COMPUTED_VALUE"""),3.0)</f>
        <v>3</v>
      </c>
      <c r="N259" s="9">
        <f>IFERROR(__xludf.DUMMYFUNCTION("""COMPUTED_VALUE"""),0.0)</f>
        <v>0</v>
      </c>
      <c r="O259" s="9">
        <f>IFERROR(__xludf.DUMMYFUNCTION("""COMPUTED_VALUE"""),0.0)</f>
        <v>0</v>
      </c>
      <c r="P259" s="9">
        <f>IFERROR(__xludf.DUMMYFUNCTION("""COMPUTED_VALUE"""),3.0)</f>
        <v>3</v>
      </c>
      <c r="Q259" s="9">
        <f>IFERROR(__xludf.DUMMYFUNCTION("""COMPUTED_VALUE"""),0.0)</f>
        <v>0</v>
      </c>
      <c r="R259" s="9">
        <f>IFERROR(__xludf.DUMMYFUNCTION("""COMPUTED_VALUE"""),3.0)</f>
        <v>3</v>
      </c>
      <c r="S259" s="9">
        <f>IFERROR(__xludf.DUMMYFUNCTION("""COMPUTED_VALUE"""),2.0)</f>
        <v>2</v>
      </c>
      <c r="T259" s="9">
        <f>IFERROR(__xludf.DUMMYFUNCTION("""COMPUTED_VALUE"""),0.0)</f>
        <v>0</v>
      </c>
      <c r="U259" s="9">
        <f>IFERROR(__xludf.DUMMYFUNCTION("""COMPUTED_VALUE"""),0.0)</f>
        <v>0</v>
      </c>
      <c r="V259" s="9">
        <f>IFERROR(__xludf.DUMMYFUNCTION("""COMPUTED_VALUE"""),3.0)</f>
        <v>3</v>
      </c>
      <c r="W259" s="9">
        <f>IFERROR(__xludf.DUMMYFUNCTION("""COMPUTED_VALUE"""),0.0)</f>
        <v>0</v>
      </c>
      <c r="X259" s="9">
        <f>IFERROR(__xludf.DUMMYFUNCTION("""COMPUTED_VALUE"""),2.0)</f>
        <v>2</v>
      </c>
      <c r="Y259" s="9">
        <f>IFERROR(__xludf.DUMMYFUNCTION("""COMPUTED_VALUE"""),3.0)</f>
        <v>3</v>
      </c>
      <c r="Z259" s="9">
        <f>IFERROR(__xludf.DUMMYFUNCTION("""COMPUTED_VALUE"""),0.0)</f>
        <v>0</v>
      </c>
      <c r="AA259" s="9">
        <f>IFERROR(__xludf.DUMMYFUNCTION("""COMPUTED_VALUE"""),0.0)</f>
        <v>0</v>
      </c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</row>
    <row r="260">
      <c r="A260" s="8">
        <f>IFERROR(__xludf.DUMMYFUNCTION("""COMPUTED_VALUE"""),45378.0)</f>
        <v>45378</v>
      </c>
      <c r="B260" s="9">
        <f>IFERROR(__xludf.DUMMYFUNCTION("""COMPUTED_VALUE"""),10.0)</f>
        <v>10</v>
      </c>
      <c r="C260" s="9">
        <f>IFERROR(__xludf.DUMMYFUNCTION("""COMPUTED_VALUE"""),33.0)</f>
        <v>33</v>
      </c>
      <c r="D260" s="9">
        <f>IFERROR(__xludf.DUMMYFUNCTION("""COMPUTED_VALUE"""),3.0)</f>
        <v>3</v>
      </c>
      <c r="E260" s="9">
        <f>IFERROR(__xludf.DUMMYFUNCTION("""COMPUTED_VALUE"""),602.0)</f>
        <v>602</v>
      </c>
      <c r="F260" s="9">
        <f>IFERROR(__xludf.DUMMYFUNCTION("""COMPUTED_VALUE"""),60.0)</f>
        <v>60</v>
      </c>
      <c r="G260" s="9">
        <f>IFERROR(__xludf.DUMMYFUNCTION("""COMPUTED_VALUE"""),0.0)</f>
        <v>0</v>
      </c>
      <c r="H260" s="9"/>
      <c r="I260" s="9">
        <f>IFERROR(__xludf.DUMMYFUNCTION("""COMPUTED_VALUE"""),6.0)</f>
        <v>6</v>
      </c>
      <c r="J260" s="9">
        <f>IFERROR(__xludf.DUMMYFUNCTION("""COMPUTED_VALUE"""),2.0)</f>
        <v>2</v>
      </c>
      <c r="K260" s="9">
        <f>IFERROR(__xludf.DUMMYFUNCTION("""COMPUTED_VALUE"""),0.0)</f>
        <v>0</v>
      </c>
      <c r="L260" s="9">
        <f>IFERROR(__xludf.DUMMYFUNCTION("""COMPUTED_VALUE"""),0.0)</f>
        <v>0</v>
      </c>
      <c r="M260" s="9">
        <f>IFERROR(__xludf.DUMMYFUNCTION("""COMPUTED_VALUE"""),8.0)</f>
        <v>8</v>
      </c>
      <c r="N260" s="9">
        <f>IFERROR(__xludf.DUMMYFUNCTION("""COMPUTED_VALUE"""),7.0)</f>
        <v>7</v>
      </c>
      <c r="O260" s="9">
        <f>IFERROR(__xludf.DUMMYFUNCTION("""COMPUTED_VALUE"""),0.0)</f>
        <v>0</v>
      </c>
      <c r="P260" s="9">
        <f>IFERROR(__xludf.DUMMYFUNCTION("""COMPUTED_VALUE"""),3.0)</f>
        <v>3</v>
      </c>
      <c r="Q260" s="9">
        <f>IFERROR(__xludf.DUMMYFUNCTION("""COMPUTED_VALUE"""),2.0)</f>
        <v>2</v>
      </c>
      <c r="R260" s="9">
        <f>IFERROR(__xludf.DUMMYFUNCTION("""COMPUTED_VALUE"""),2.0)</f>
        <v>2</v>
      </c>
      <c r="S260" s="9">
        <f>IFERROR(__xludf.DUMMYFUNCTION("""COMPUTED_VALUE"""),1.0)</f>
        <v>1</v>
      </c>
      <c r="T260" s="9">
        <f>IFERROR(__xludf.DUMMYFUNCTION("""COMPUTED_VALUE"""),0.0)</f>
        <v>0</v>
      </c>
      <c r="U260" s="9">
        <f>IFERROR(__xludf.DUMMYFUNCTION("""COMPUTED_VALUE"""),0.0)</f>
        <v>0</v>
      </c>
      <c r="V260" s="9">
        <f>IFERROR(__xludf.DUMMYFUNCTION("""COMPUTED_VALUE"""),4.0)</f>
        <v>4</v>
      </c>
      <c r="W260" s="9">
        <f>IFERROR(__xludf.DUMMYFUNCTION("""COMPUTED_VALUE"""),0.0)</f>
        <v>0</v>
      </c>
      <c r="X260" s="9">
        <f>IFERROR(__xludf.DUMMYFUNCTION("""COMPUTED_VALUE"""),8.0)</f>
        <v>8</v>
      </c>
      <c r="Y260" s="9">
        <f>IFERROR(__xludf.DUMMYFUNCTION("""COMPUTED_VALUE"""),5.0)</f>
        <v>5</v>
      </c>
      <c r="Z260" s="9">
        <f>IFERROR(__xludf.DUMMYFUNCTION("""COMPUTED_VALUE"""),0.0)</f>
        <v>0</v>
      </c>
      <c r="AA260" s="9">
        <f>IFERROR(__xludf.DUMMYFUNCTION("""COMPUTED_VALUE"""),0.0)</f>
        <v>0</v>
      </c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  <c r="TB260" s="9"/>
      <c r="TC260" s="9"/>
      <c r="TD260" s="9"/>
      <c r="TE260" s="9"/>
      <c r="TF260" s="9"/>
      <c r="TG260" s="9"/>
      <c r="TH260" s="9"/>
      <c r="TI260" s="9"/>
      <c r="TJ260" s="9"/>
      <c r="TK260" s="9"/>
      <c r="TL260" s="9"/>
      <c r="TM260" s="9"/>
      <c r="TN260" s="9"/>
      <c r="TO260" s="9"/>
      <c r="TP260" s="9"/>
      <c r="TQ260" s="9"/>
      <c r="TR260" s="9"/>
      <c r="TS260" s="9"/>
      <c r="TT260" s="9"/>
      <c r="TU260" s="9"/>
      <c r="TV260" s="9"/>
      <c r="TW260" s="9"/>
      <c r="TX260" s="9"/>
      <c r="TY260" s="9"/>
      <c r="TZ260" s="9"/>
      <c r="UA260" s="9"/>
      <c r="UB260" s="9"/>
      <c r="UC260" s="9"/>
      <c r="UD260" s="9"/>
      <c r="UE260" s="9"/>
      <c r="UF260" s="9"/>
      <c r="UG260" s="9"/>
      <c r="UH260" s="9"/>
      <c r="UI260" s="9"/>
      <c r="UJ260" s="9"/>
    </row>
    <row r="261">
      <c r="A261" s="8">
        <f>IFERROR(__xludf.DUMMYFUNCTION("""COMPUTED_VALUE"""),45379.0)</f>
        <v>45379</v>
      </c>
      <c r="B261" s="9">
        <f>IFERROR(__xludf.DUMMYFUNCTION("""COMPUTED_VALUE"""),8.0)</f>
        <v>8</v>
      </c>
      <c r="C261" s="9">
        <f>IFERROR(__xludf.DUMMYFUNCTION("""COMPUTED_VALUE"""),36.0)</f>
        <v>36</v>
      </c>
      <c r="D261" s="9">
        <f>IFERROR(__xludf.DUMMYFUNCTION("""COMPUTED_VALUE"""),4.0)</f>
        <v>4</v>
      </c>
      <c r="E261" s="9">
        <f>IFERROR(__xludf.DUMMYFUNCTION("""COMPUTED_VALUE"""),723.0)</f>
        <v>723</v>
      </c>
      <c r="F261" s="9">
        <f>IFERROR(__xludf.DUMMYFUNCTION("""COMPUTED_VALUE"""),90.0)</f>
        <v>90</v>
      </c>
      <c r="G261" s="9">
        <f>IFERROR(__xludf.DUMMYFUNCTION("""COMPUTED_VALUE"""),0.0)</f>
        <v>0</v>
      </c>
      <c r="H261" s="9"/>
      <c r="I261" s="9">
        <f>IFERROR(__xludf.DUMMYFUNCTION("""COMPUTED_VALUE"""),6.0)</f>
        <v>6</v>
      </c>
      <c r="J261" s="9">
        <f>IFERROR(__xludf.DUMMYFUNCTION("""COMPUTED_VALUE"""),1.0)</f>
        <v>1</v>
      </c>
      <c r="K261" s="9">
        <f>IFERROR(__xludf.DUMMYFUNCTION("""COMPUTED_VALUE"""),0.0)</f>
        <v>0</v>
      </c>
      <c r="L261" s="9">
        <f>IFERROR(__xludf.DUMMYFUNCTION("""COMPUTED_VALUE"""),0.0)</f>
        <v>0</v>
      </c>
      <c r="M261" s="9">
        <f>IFERROR(__xludf.DUMMYFUNCTION("""COMPUTED_VALUE"""),7.0)</f>
        <v>7</v>
      </c>
      <c r="N261" s="9">
        <f>IFERROR(__xludf.DUMMYFUNCTION("""COMPUTED_VALUE"""),4.0)</f>
        <v>4</v>
      </c>
      <c r="O261" s="9">
        <f>IFERROR(__xludf.DUMMYFUNCTION("""COMPUTED_VALUE"""),0.0)</f>
        <v>0</v>
      </c>
      <c r="P261" s="9">
        <f>IFERROR(__xludf.DUMMYFUNCTION("""COMPUTED_VALUE"""),4.0)</f>
        <v>4</v>
      </c>
      <c r="Q261" s="9">
        <f>IFERROR(__xludf.DUMMYFUNCTION("""COMPUTED_VALUE"""),2.0)</f>
        <v>2</v>
      </c>
      <c r="R261" s="9">
        <f>IFERROR(__xludf.DUMMYFUNCTION("""COMPUTED_VALUE"""),2.0)</f>
        <v>2</v>
      </c>
      <c r="S261" s="9">
        <f>IFERROR(__xludf.DUMMYFUNCTION("""COMPUTED_VALUE"""),7.0)</f>
        <v>7</v>
      </c>
      <c r="T261" s="9">
        <f>IFERROR(__xludf.DUMMYFUNCTION("""COMPUTED_VALUE"""),0.0)</f>
        <v>0</v>
      </c>
      <c r="U261" s="9">
        <f>IFERROR(__xludf.DUMMYFUNCTION("""COMPUTED_VALUE"""),0.0)</f>
        <v>0</v>
      </c>
      <c r="V261" s="9">
        <f>IFERROR(__xludf.DUMMYFUNCTION("""COMPUTED_VALUE"""),4.0)</f>
        <v>4</v>
      </c>
      <c r="W261" s="9">
        <f>IFERROR(__xludf.DUMMYFUNCTION("""COMPUTED_VALUE"""),0.0)</f>
        <v>0</v>
      </c>
      <c r="X261" s="9">
        <f>IFERROR(__xludf.DUMMYFUNCTION("""COMPUTED_VALUE"""),8.0)</f>
        <v>8</v>
      </c>
      <c r="Y261" s="9">
        <f>IFERROR(__xludf.DUMMYFUNCTION("""COMPUTED_VALUE"""),4.0)</f>
        <v>4</v>
      </c>
      <c r="Z261" s="9">
        <f>IFERROR(__xludf.DUMMYFUNCTION("""COMPUTED_VALUE"""),0.0)</f>
        <v>0</v>
      </c>
      <c r="AA261" s="9">
        <f>IFERROR(__xludf.DUMMYFUNCTION("""COMPUTED_VALUE"""),0.0)</f>
        <v>0</v>
      </c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  <c r="TB261" s="9"/>
      <c r="TC261" s="9"/>
      <c r="TD261" s="9"/>
      <c r="TE261" s="9"/>
      <c r="TF261" s="9"/>
      <c r="TG261" s="9"/>
      <c r="TH261" s="9"/>
      <c r="TI261" s="9"/>
      <c r="TJ261" s="9"/>
      <c r="TK261" s="9"/>
      <c r="TL261" s="9"/>
      <c r="TM261" s="9"/>
      <c r="TN261" s="9"/>
      <c r="TO261" s="9"/>
      <c r="TP261" s="9"/>
      <c r="TQ261" s="9"/>
      <c r="TR261" s="9"/>
      <c r="TS261" s="9"/>
      <c r="TT261" s="9"/>
      <c r="TU261" s="9"/>
      <c r="TV261" s="9"/>
      <c r="TW261" s="9"/>
      <c r="TX261" s="9"/>
      <c r="TY261" s="9"/>
      <c r="TZ261" s="9"/>
      <c r="UA261" s="9"/>
      <c r="UB261" s="9"/>
      <c r="UC261" s="9"/>
      <c r="UD261" s="9"/>
      <c r="UE261" s="9"/>
      <c r="UF261" s="9"/>
      <c r="UG261" s="9"/>
      <c r="UH261" s="9"/>
      <c r="UI261" s="9"/>
      <c r="UJ261" s="9"/>
    </row>
    <row r="262">
      <c r="A262" s="8">
        <f>IFERROR(__xludf.DUMMYFUNCTION("""COMPUTED_VALUE"""),45380.0)</f>
        <v>45380</v>
      </c>
      <c r="B262" s="9">
        <f>IFERROR(__xludf.DUMMYFUNCTION("""COMPUTED_VALUE"""),8.0)</f>
        <v>8</v>
      </c>
      <c r="C262" s="9">
        <f>IFERROR(__xludf.DUMMYFUNCTION("""COMPUTED_VALUE"""),31.0)</f>
        <v>31</v>
      </c>
      <c r="D262" s="9">
        <f>IFERROR(__xludf.DUMMYFUNCTION("""COMPUTED_VALUE"""),4.0)</f>
        <v>4</v>
      </c>
      <c r="E262" s="9">
        <f>IFERROR(__xludf.DUMMYFUNCTION("""COMPUTED_VALUE"""),481.0)</f>
        <v>481</v>
      </c>
      <c r="F262" s="9">
        <f>IFERROR(__xludf.DUMMYFUNCTION("""COMPUTED_VALUE"""),60.0)</f>
        <v>60</v>
      </c>
      <c r="G262" s="9">
        <f>IFERROR(__xludf.DUMMYFUNCTION("""COMPUTED_VALUE"""),0.0)</f>
        <v>0</v>
      </c>
      <c r="H262" s="9"/>
      <c r="I262" s="9">
        <f>IFERROR(__xludf.DUMMYFUNCTION("""COMPUTED_VALUE"""),4.0)</f>
        <v>4</v>
      </c>
      <c r="J262" s="9">
        <f>IFERROR(__xludf.DUMMYFUNCTION("""COMPUTED_VALUE"""),2.0)</f>
        <v>2</v>
      </c>
      <c r="K262" s="9">
        <f>IFERROR(__xludf.DUMMYFUNCTION("""COMPUTED_VALUE"""),0.0)</f>
        <v>0</v>
      </c>
      <c r="L262" s="9">
        <f>IFERROR(__xludf.DUMMYFUNCTION("""COMPUTED_VALUE"""),0.0)</f>
        <v>0</v>
      </c>
      <c r="M262" s="9">
        <f>IFERROR(__xludf.DUMMYFUNCTION("""COMPUTED_VALUE"""),6.0)</f>
        <v>6</v>
      </c>
      <c r="N262" s="9">
        <f>IFERROR(__xludf.DUMMYFUNCTION("""COMPUTED_VALUE"""),5.0)</f>
        <v>5</v>
      </c>
      <c r="O262" s="9">
        <f>IFERROR(__xludf.DUMMYFUNCTION("""COMPUTED_VALUE"""),0.0)</f>
        <v>0</v>
      </c>
      <c r="P262" s="9">
        <f>IFERROR(__xludf.DUMMYFUNCTION("""COMPUTED_VALUE"""),3.0)</f>
        <v>3</v>
      </c>
      <c r="Q262" s="9">
        <f>IFERROR(__xludf.DUMMYFUNCTION("""COMPUTED_VALUE"""),4.0)</f>
        <v>4</v>
      </c>
      <c r="R262" s="9">
        <f>IFERROR(__xludf.DUMMYFUNCTION("""COMPUTED_VALUE"""),1.0)</f>
        <v>1</v>
      </c>
      <c r="S262" s="9">
        <f>IFERROR(__xludf.DUMMYFUNCTION("""COMPUTED_VALUE"""),3.0)</f>
        <v>3</v>
      </c>
      <c r="T262" s="9">
        <f>IFERROR(__xludf.DUMMYFUNCTION("""COMPUTED_VALUE"""),1.0)</f>
        <v>1</v>
      </c>
      <c r="U262" s="9">
        <f>IFERROR(__xludf.DUMMYFUNCTION("""COMPUTED_VALUE"""),0.0)</f>
        <v>0</v>
      </c>
      <c r="V262" s="9">
        <f>IFERROR(__xludf.DUMMYFUNCTION("""COMPUTED_VALUE"""),5.0)</f>
        <v>5</v>
      </c>
      <c r="W262" s="9">
        <f>IFERROR(__xludf.DUMMYFUNCTION("""COMPUTED_VALUE"""),0.0)</f>
        <v>0</v>
      </c>
      <c r="X262" s="9">
        <f>IFERROR(__xludf.DUMMYFUNCTION("""COMPUTED_VALUE"""),3.0)</f>
        <v>3</v>
      </c>
      <c r="Y262" s="9">
        <f>IFERROR(__xludf.DUMMYFUNCTION("""COMPUTED_VALUE"""),6.0)</f>
        <v>6</v>
      </c>
      <c r="Z262" s="9">
        <f>IFERROR(__xludf.DUMMYFUNCTION("""COMPUTED_VALUE"""),1.0)</f>
        <v>1</v>
      </c>
      <c r="AA262" s="9">
        <f>IFERROR(__xludf.DUMMYFUNCTION("""COMPUTED_VALUE"""),0.0)</f>
        <v>0</v>
      </c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  <c r="TB262" s="9"/>
      <c r="TC262" s="9"/>
      <c r="TD262" s="9"/>
      <c r="TE262" s="9"/>
      <c r="TF262" s="9"/>
      <c r="TG262" s="9"/>
      <c r="TH262" s="9"/>
      <c r="TI262" s="9"/>
      <c r="TJ262" s="9"/>
      <c r="TK262" s="9"/>
      <c r="TL262" s="9"/>
      <c r="TM262" s="9"/>
      <c r="TN262" s="9"/>
      <c r="TO262" s="9"/>
      <c r="TP262" s="9"/>
      <c r="TQ262" s="9"/>
      <c r="TR262" s="9"/>
      <c r="TS262" s="9"/>
      <c r="TT262" s="9"/>
      <c r="TU262" s="9"/>
      <c r="TV262" s="9"/>
      <c r="TW262" s="9"/>
      <c r="TX262" s="9"/>
      <c r="TY262" s="9"/>
      <c r="TZ262" s="9"/>
      <c r="UA262" s="9"/>
      <c r="UB262" s="9"/>
      <c r="UC262" s="9"/>
      <c r="UD262" s="9"/>
      <c r="UE262" s="9"/>
      <c r="UF262" s="9"/>
      <c r="UG262" s="9"/>
      <c r="UH262" s="9"/>
      <c r="UI262" s="9"/>
      <c r="UJ262" s="9"/>
    </row>
    <row r="263">
      <c r="A263" s="8">
        <f>IFERROR(__xludf.DUMMYFUNCTION("""COMPUTED_VALUE"""),45381.0)</f>
        <v>45381</v>
      </c>
      <c r="B263" s="9">
        <f>IFERROR(__xludf.DUMMYFUNCTION("""COMPUTED_VALUE"""),3.0)</f>
        <v>3</v>
      </c>
      <c r="C263" s="9">
        <f>IFERROR(__xludf.DUMMYFUNCTION("""COMPUTED_VALUE"""),9.0)</f>
        <v>9</v>
      </c>
      <c r="D263" s="9">
        <f>IFERROR(__xludf.DUMMYFUNCTION("""COMPUTED_VALUE"""),3.0)</f>
        <v>3</v>
      </c>
      <c r="E263" s="9">
        <f>IFERROR(__xludf.DUMMYFUNCTION("""COMPUTED_VALUE"""),160.0)</f>
        <v>160</v>
      </c>
      <c r="F263" s="9">
        <f>IFERROR(__xludf.DUMMYFUNCTION("""COMPUTED_VALUE"""),53.0)</f>
        <v>53</v>
      </c>
      <c r="G263" s="9">
        <f>IFERROR(__xludf.DUMMYFUNCTION("""COMPUTED_VALUE"""),0.0)</f>
        <v>0</v>
      </c>
      <c r="H263" s="9"/>
      <c r="I263" s="9">
        <f>IFERROR(__xludf.DUMMYFUNCTION("""COMPUTED_VALUE"""),3.0)</f>
        <v>3</v>
      </c>
      <c r="J263" s="9">
        <f>IFERROR(__xludf.DUMMYFUNCTION("""COMPUTED_VALUE"""),0.0)</f>
        <v>0</v>
      </c>
      <c r="K263" s="9">
        <f>IFERROR(__xludf.DUMMYFUNCTION("""COMPUTED_VALUE"""),0.0)</f>
        <v>0</v>
      </c>
      <c r="L263" s="9">
        <f>IFERROR(__xludf.DUMMYFUNCTION("""COMPUTED_VALUE"""),0.0)</f>
        <v>0</v>
      </c>
      <c r="M263" s="9">
        <f>IFERROR(__xludf.DUMMYFUNCTION("""COMPUTED_VALUE"""),3.0)</f>
        <v>3</v>
      </c>
      <c r="N263" s="9">
        <f>IFERROR(__xludf.DUMMYFUNCTION("""COMPUTED_VALUE"""),2.0)</f>
        <v>2</v>
      </c>
      <c r="O263" s="9">
        <f>IFERROR(__xludf.DUMMYFUNCTION("""COMPUTED_VALUE"""),0.0)</f>
        <v>0</v>
      </c>
      <c r="P263" s="9">
        <f>IFERROR(__xludf.DUMMYFUNCTION("""COMPUTED_VALUE"""),1.0)</f>
        <v>1</v>
      </c>
      <c r="Q263" s="9">
        <f>IFERROR(__xludf.DUMMYFUNCTION("""COMPUTED_VALUE"""),1.0)</f>
        <v>1</v>
      </c>
      <c r="R263" s="9">
        <f>IFERROR(__xludf.DUMMYFUNCTION("""COMPUTED_VALUE"""),1.0)</f>
        <v>1</v>
      </c>
      <c r="S263" s="9">
        <f>IFERROR(__xludf.DUMMYFUNCTION("""COMPUTED_VALUE"""),0.0)</f>
        <v>0</v>
      </c>
      <c r="T263" s="9">
        <f>IFERROR(__xludf.DUMMYFUNCTION("""COMPUTED_VALUE"""),1.0)</f>
        <v>1</v>
      </c>
      <c r="U263" s="9">
        <f>IFERROR(__xludf.DUMMYFUNCTION("""COMPUTED_VALUE"""),0.0)</f>
        <v>0</v>
      </c>
      <c r="V263" s="9">
        <f>IFERROR(__xludf.DUMMYFUNCTION("""COMPUTED_VALUE"""),2.0)</f>
        <v>2</v>
      </c>
      <c r="W263" s="9">
        <f>IFERROR(__xludf.DUMMYFUNCTION("""COMPUTED_VALUE"""),0.0)</f>
        <v>0</v>
      </c>
      <c r="X263" s="9">
        <f>IFERROR(__xludf.DUMMYFUNCTION("""COMPUTED_VALUE"""),0.0)</f>
        <v>0</v>
      </c>
      <c r="Y263" s="9">
        <f>IFERROR(__xludf.DUMMYFUNCTION("""COMPUTED_VALUE"""),3.0)</f>
        <v>3</v>
      </c>
      <c r="Z263" s="9">
        <f>IFERROR(__xludf.DUMMYFUNCTION("""COMPUTED_VALUE"""),1.0)</f>
        <v>1</v>
      </c>
      <c r="AA263" s="9">
        <f>IFERROR(__xludf.DUMMYFUNCTION("""COMPUTED_VALUE"""),0.0)</f>
        <v>0</v>
      </c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</row>
    <row r="264">
      <c r="A264" s="8">
        <f>IFERROR(__xludf.DUMMYFUNCTION("""COMPUTED_VALUE"""),45382.0)</f>
        <v>45382</v>
      </c>
      <c r="B264" s="9">
        <f>IFERROR(__xludf.DUMMYFUNCTION("""COMPUTED_VALUE"""),0.0)</f>
        <v>0</v>
      </c>
      <c r="C264" s="9">
        <f>IFERROR(__xludf.DUMMYFUNCTION("""COMPUTED_VALUE"""),0.0)</f>
        <v>0</v>
      </c>
      <c r="D264" s="9">
        <f>IFERROR(__xludf.DUMMYFUNCTION("""COMPUTED_VALUE"""),0.0)</f>
        <v>0</v>
      </c>
      <c r="E264" s="9">
        <f>IFERROR(__xludf.DUMMYFUNCTION("""COMPUTED_VALUE"""),0.0)</f>
        <v>0</v>
      </c>
      <c r="F264" s="9">
        <f>IFERROR(__xludf.DUMMYFUNCTION("""COMPUTED_VALUE"""),0.0)</f>
        <v>0</v>
      </c>
      <c r="G264" s="9">
        <f>IFERROR(__xludf.DUMMYFUNCTION("""COMPUTED_VALUE"""),0.0)</f>
        <v>0</v>
      </c>
      <c r="H264" s="9"/>
      <c r="I264" s="9">
        <f>IFERROR(__xludf.DUMMYFUNCTION("""COMPUTED_VALUE"""),0.0)</f>
        <v>0</v>
      </c>
      <c r="J264" s="9">
        <f>IFERROR(__xludf.DUMMYFUNCTION("""COMPUTED_VALUE"""),0.0)</f>
        <v>0</v>
      </c>
      <c r="K264" s="9">
        <f>IFERROR(__xludf.DUMMYFUNCTION("""COMPUTED_VALUE"""),0.0)</f>
        <v>0</v>
      </c>
      <c r="L264" s="9">
        <f>IFERROR(__xludf.DUMMYFUNCTION("""COMPUTED_VALUE"""),0.0)</f>
        <v>0</v>
      </c>
      <c r="M264" s="9">
        <f>IFERROR(__xludf.DUMMYFUNCTION("""COMPUTED_VALUE"""),0.0)</f>
        <v>0</v>
      </c>
      <c r="N264" s="9">
        <f>IFERROR(__xludf.DUMMYFUNCTION("""COMPUTED_VALUE"""),0.0)</f>
        <v>0</v>
      </c>
      <c r="O264" s="9">
        <f>IFERROR(__xludf.DUMMYFUNCTION("""COMPUTED_VALUE"""),0.0)</f>
        <v>0</v>
      </c>
      <c r="P264" s="9">
        <f>IFERROR(__xludf.DUMMYFUNCTION("""COMPUTED_VALUE"""),0.0)</f>
        <v>0</v>
      </c>
      <c r="Q264" s="9">
        <f>IFERROR(__xludf.DUMMYFUNCTION("""COMPUTED_VALUE"""),0.0)</f>
        <v>0</v>
      </c>
      <c r="R264" s="9">
        <f>IFERROR(__xludf.DUMMYFUNCTION("""COMPUTED_VALUE"""),0.0)</f>
        <v>0</v>
      </c>
      <c r="S264" s="9">
        <f>IFERROR(__xludf.DUMMYFUNCTION("""COMPUTED_VALUE"""),0.0)</f>
        <v>0</v>
      </c>
      <c r="T264" s="9">
        <f>IFERROR(__xludf.DUMMYFUNCTION("""COMPUTED_VALUE"""),0.0)</f>
        <v>0</v>
      </c>
      <c r="U264" s="9">
        <f>IFERROR(__xludf.DUMMYFUNCTION("""COMPUTED_VALUE"""),0.0)</f>
        <v>0</v>
      </c>
      <c r="V264" s="9">
        <f>IFERROR(__xludf.DUMMYFUNCTION("""COMPUTED_VALUE"""),0.0)</f>
        <v>0</v>
      </c>
      <c r="W264" s="9">
        <f>IFERROR(__xludf.DUMMYFUNCTION("""COMPUTED_VALUE"""),0.0)</f>
        <v>0</v>
      </c>
      <c r="X264" s="9">
        <f>IFERROR(__xludf.DUMMYFUNCTION("""COMPUTED_VALUE"""),0.0)</f>
        <v>0</v>
      </c>
      <c r="Y264" s="9">
        <f>IFERROR(__xludf.DUMMYFUNCTION("""COMPUTED_VALUE"""),0.0)</f>
        <v>0</v>
      </c>
      <c r="Z264" s="9">
        <f>IFERROR(__xludf.DUMMYFUNCTION("""COMPUTED_VALUE"""),0.0)</f>
        <v>0</v>
      </c>
      <c r="AA264" s="9">
        <f>IFERROR(__xludf.DUMMYFUNCTION("""COMPUTED_VALUE"""),0.0)</f>
        <v>0</v>
      </c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</row>
    <row r="265">
      <c r="A265" s="8">
        <f>IFERROR(__xludf.DUMMYFUNCTION("""COMPUTED_VALUE"""),45383.0)</f>
        <v>45383</v>
      </c>
      <c r="B265" s="9">
        <f>IFERROR(__xludf.DUMMYFUNCTION("""COMPUTED_VALUE"""),0.0)</f>
        <v>0</v>
      </c>
      <c r="C265" s="9">
        <f>IFERROR(__xludf.DUMMYFUNCTION("""COMPUTED_VALUE"""),0.0)</f>
        <v>0</v>
      </c>
      <c r="D265" s="9">
        <f>IFERROR(__xludf.DUMMYFUNCTION("""COMPUTED_VALUE"""),0.0)</f>
        <v>0</v>
      </c>
      <c r="E265" s="9">
        <f>IFERROR(__xludf.DUMMYFUNCTION("""COMPUTED_VALUE"""),0.0)</f>
        <v>0</v>
      </c>
      <c r="F265" s="9">
        <f>IFERROR(__xludf.DUMMYFUNCTION("""COMPUTED_VALUE"""),0.0)</f>
        <v>0</v>
      </c>
      <c r="G265" s="9">
        <f>IFERROR(__xludf.DUMMYFUNCTION("""COMPUTED_VALUE"""),0.0)</f>
        <v>0</v>
      </c>
      <c r="H265" s="9"/>
      <c r="I265" s="9">
        <f>IFERROR(__xludf.DUMMYFUNCTION("""COMPUTED_VALUE"""),0.0)</f>
        <v>0</v>
      </c>
      <c r="J265" s="9">
        <f>IFERROR(__xludf.DUMMYFUNCTION("""COMPUTED_VALUE"""),0.0)</f>
        <v>0</v>
      </c>
      <c r="K265" s="9">
        <f>IFERROR(__xludf.DUMMYFUNCTION("""COMPUTED_VALUE"""),0.0)</f>
        <v>0</v>
      </c>
      <c r="L265" s="9">
        <f>IFERROR(__xludf.DUMMYFUNCTION("""COMPUTED_VALUE"""),0.0)</f>
        <v>0</v>
      </c>
      <c r="M265" s="9">
        <f>IFERROR(__xludf.DUMMYFUNCTION("""COMPUTED_VALUE"""),0.0)</f>
        <v>0</v>
      </c>
      <c r="N265" s="9">
        <f>IFERROR(__xludf.DUMMYFUNCTION("""COMPUTED_VALUE"""),0.0)</f>
        <v>0</v>
      </c>
      <c r="O265" s="9">
        <f>IFERROR(__xludf.DUMMYFUNCTION("""COMPUTED_VALUE"""),0.0)</f>
        <v>0</v>
      </c>
      <c r="P265" s="9">
        <f>IFERROR(__xludf.DUMMYFUNCTION("""COMPUTED_VALUE"""),0.0)</f>
        <v>0</v>
      </c>
      <c r="Q265" s="9">
        <f>IFERROR(__xludf.DUMMYFUNCTION("""COMPUTED_VALUE"""),0.0)</f>
        <v>0</v>
      </c>
      <c r="R265" s="9">
        <f>IFERROR(__xludf.DUMMYFUNCTION("""COMPUTED_VALUE"""),0.0)</f>
        <v>0</v>
      </c>
      <c r="S265" s="9">
        <f>IFERROR(__xludf.DUMMYFUNCTION("""COMPUTED_VALUE"""),0.0)</f>
        <v>0</v>
      </c>
      <c r="T265" s="9">
        <f>IFERROR(__xludf.DUMMYFUNCTION("""COMPUTED_VALUE"""),0.0)</f>
        <v>0</v>
      </c>
      <c r="U265" s="9">
        <f>IFERROR(__xludf.DUMMYFUNCTION("""COMPUTED_VALUE"""),0.0)</f>
        <v>0</v>
      </c>
      <c r="V265" s="9">
        <f>IFERROR(__xludf.DUMMYFUNCTION("""COMPUTED_VALUE"""),0.0)</f>
        <v>0</v>
      </c>
      <c r="W265" s="9">
        <f>IFERROR(__xludf.DUMMYFUNCTION("""COMPUTED_VALUE"""),0.0)</f>
        <v>0</v>
      </c>
      <c r="X265" s="9">
        <f>IFERROR(__xludf.DUMMYFUNCTION("""COMPUTED_VALUE"""),0.0)</f>
        <v>0</v>
      </c>
      <c r="Y265" s="9">
        <f>IFERROR(__xludf.DUMMYFUNCTION("""COMPUTED_VALUE"""),0.0)</f>
        <v>0</v>
      </c>
      <c r="Z265" s="9">
        <f>IFERROR(__xludf.DUMMYFUNCTION("""COMPUTED_VALUE"""),0.0)</f>
        <v>0</v>
      </c>
      <c r="AA265" s="9">
        <f>IFERROR(__xludf.DUMMYFUNCTION("""COMPUTED_VALUE"""),0.0)</f>
        <v>0</v>
      </c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</row>
    <row r="266">
      <c r="A266" s="8">
        <f>IFERROR(__xludf.DUMMYFUNCTION("""COMPUTED_VALUE"""),45384.0)</f>
        <v>45384</v>
      </c>
      <c r="B266" s="9">
        <f>IFERROR(__xludf.DUMMYFUNCTION("""COMPUTED_VALUE"""),6.0)</f>
        <v>6</v>
      </c>
      <c r="C266" s="9">
        <f>IFERROR(__xludf.DUMMYFUNCTION("""COMPUTED_VALUE"""),33.0)</f>
        <v>33</v>
      </c>
      <c r="D266" s="9">
        <f>IFERROR(__xludf.DUMMYFUNCTION("""COMPUTED_VALUE"""),6.0)</f>
        <v>6</v>
      </c>
      <c r="E266" s="9">
        <f>IFERROR(__xludf.DUMMYFUNCTION("""COMPUTED_VALUE"""),683.0)</f>
        <v>683</v>
      </c>
      <c r="F266" s="9">
        <f>IFERROR(__xludf.DUMMYFUNCTION("""COMPUTED_VALUE"""),114.0)</f>
        <v>114</v>
      </c>
      <c r="G266" s="9">
        <f>IFERROR(__xludf.DUMMYFUNCTION("""COMPUTED_VALUE"""),0.0)</f>
        <v>0</v>
      </c>
      <c r="H266" s="9"/>
      <c r="I266" s="9">
        <f>IFERROR(__xludf.DUMMYFUNCTION("""COMPUTED_VALUE"""),6.0)</f>
        <v>6</v>
      </c>
      <c r="J266" s="9">
        <f>IFERROR(__xludf.DUMMYFUNCTION("""COMPUTED_VALUE"""),0.0)</f>
        <v>0</v>
      </c>
      <c r="K266" s="9">
        <f>IFERROR(__xludf.DUMMYFUNCTION("""COMPUTED_VALUE"""),0.0)</f>
        <v>0</v>
      </c>
      <c r="L266" s="9">
        <f>IFERROR(__xludf.DUMMYFUNCTION("""COMPUTED_VALUE"""),0.0)</f>
        <v>0</v>
      </c>
      <c r="M266" s="9">
        <f>IFERROR(__xludf.DUMMYFUNCTION("""COMPUTED_VALUE"""),6.0)</f>
        <v>6</v>
      </c>
      <c r="N266" s="9">
        <f>IFERROR(__xludf.DUMMYFUNCTION("""COMPUTED_VALUE"""),3.0)</f>
        <v>3</v>
      </c>
      <c r="O266" s="9">
        <f>IFERROR(__xludf.DUMMYFUNCTION("""COMPUTED_VALUE"""),0.0)</f>
        <v>0</v>
      </c>
      <c r="P266" s="9">
        <f>IFERROR(__xludf.DUMMYFUNCTION("""COMPUTED_VALUE"""),3.0)</f>
        <v>3</v>
      </c>
      <c r="Q266" s="9">
        <f>IFERROR(__xludf.DUMMYFUNCTION("""COMPUTED_VALUE"""),3.0)</f>
        <v>3</v>
      </c>
      <c r="R266" s="9">
        <f>IFERROR(__xludf.DUMMYFUNCTION("""COMPUTED_VALUE"""),3.0)</f>
        <v>3</v>
      </c>
      <c r="S266" s="9">
        <f>IFERROR(__xludf.DUMMYFUNCTION("""COMPUTED_VALUE"""),10.0)</f>
        <v>10</v>
      </c>
      <c r="T266" s="9">
        <f>IFERROR(__xludf.DUMMYFUNCTION("""COMPUTED_VALUE"""),0.0)</f>
        <v>0</v>
      </c>
      <c r="U266" s="9">
        <f>IFERROR(__xludf.DUMMYFUNCTION("""COMPUTED_VALUE"""),0.0)</f>
        <v>0</v>
      </c>
      <c r="V266" s="9">
        <f>IFERROR(__xludf.DUMMYFUNCTION("""COMPUTED_VALUE"""),6.0)</f>
        <v>6</v>
      </c>
      <c r="W266" s="9">
        <f>IFERROR(__xludf.DUMMYFUNCTION("""COMPUTED_VALUE"""),0.0)</f>
        <v>0</v>
      </c>
      <c r="X266" s="9">
        <f>IFERROR(__xludf.DUMMYFUNCTION("""COMPUTED_VALUE"""),4.0)</f>
        <v>4</v>
      </c>
      <c r="Y266" s="9">
        <f>IFERROR(__xludf.DUMMYFUNCTION("""COMPUTED_VALUE"""),6.0)</f>
        <v>6</v>
      </c>
      <c r="Z266" s="9">
        <f>IFERROR(__xludf.DUMMYFUNCTION("""COMPUTED_VALUE"""),0.0)</f>
        <v>0</v>
      </c>
      <c r="AA266" s="9">
        <f>IFERROR(__xludf.DUMMYFUNCTION("""COMPUTED_VALUE"""),0.0)</f>
        <v>0</v>
      </c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</row>
    <row r="267">
      <c r="A267" s="8">
        <f>IFERROR(__xludf.DUMMYFUNCTION("""COMPUTED_VALUE"""),45385.0)</f>
        <v>45385</v>
      </c>
      <c r="B267" s="9">
        <f>IFERROR(__xludf.DUMMYFUNCTION("""COMPUTED_VALUE"""),13.0)</f>
        <v>13</v>
      </c>
      <c r="C267" s="9">
        <f>IFERROR(__xludf.DUMMYFUNCTION("""COMPUTED_VALUE"""),55.0)</f>
        <v>55</v>
      </c>
      <c r="D267" s="9">
        <f>IFERROR(__xludf.DUMMYFUNCTION("""COMPUTED_VALUE"""),4.0)</f>
        <v>4</v>
      </c>
      <c r="E267" s="9">
        <f>IFERROR(__xludf.DUMMYFUNCTION("""COMPUTED_VALUE"""),1030.0)</f>
        <v>1030</v>
      </c>
      <c r="F267" s="9">
        <f>IFERROR(__xludf.DUMMYFUNCTION("""COMPUTED_VALUE"""),79.0)</f>
        <v>79</v>
      </c>
      <c r="G267" s="9">
        <f>IFERROR(__xludf.DUMMYFUNCTION("""COMPUTED_VALUE"""),0.0)</f>
        <v>0</v>
      </c>
      <c r="H267" s="9"/>
      <c r="I267" s="9">
        <f>IFERROR(__xludf.DUMMYFUNCTION("""COMPUTED_VALUE"""),11.0)</f>
        <v>11</v>
      </c>
      <c r="J267" s="9">
        <f>IFERROR(__xludf.DUMMYFUNCTION("""COMPUTED_VALUE"""),1.0)</f>
        <v>1</v>
      </c>
      <c r="K267" s="9">
        <f>IFERROR(__xludf.DUMMYFUNCTION("""COMPUTED_VALUE"""),0.0)</f>
        <v>0</v>
      </c>
      <c r="L267" s="9">
        <f>IFERROR(__xludf.DUMMYFUNCTION("""COMPUTED_VALUE"""),0.0)</f>
        <v>0</v>
      </c>
      <c r="M267" s="9">
        <f>IFERROR(__xludf.DUMMYFUNCTION("""COMPUTED_VALUE"""),12.0)</f>
        <v>12</v>
      </c>
      <c r="N267" s="9">
        <f>IFERROR(__xludf.DUMMYFUNCTION("""COMPUTED_VALUE"""),7.0)</f>
        <v>7</v>
      </c>
      <c r="O267" s="9">
        <f>IFERROR(__xludf.DUMMYFUNCTION("""COMPUTED_VALUE"""),0.0)</f>
        <v>0</v>
      </c>
      <c r="P267" s="9">
        <f>IFERROR(__xludf.DUMMYFUNCTION("""COMPUTED_VALUE"""),5.0)</f>
        <v>5</v>
      </c>
      <c r="Q267" s="9">
        <f>IFERROR(__xludf.DUMMYFUNCTION("""COMPUTED_VALUE"""),3.0)</f>
        <v>3</v>
      </c>
      <c r="R267" s="9">
        <f>IFERROR(__xludf.DUMMYFUNCTION("""COMPUTED_VALUE"""),5.0)</f>
        <v>5</v>
      </c>
      <c r="S267" s="9">
        <f>IFERROR(__xludf.DUMMYFUNCTION("""COMPUTED_VALUE"""),8.0)</f>
        <v>8</v>
      </c>
      <c r="T267" s="9">
        <f>IFERROR(__xludf.DUMMYFUNCTION("""COMPUTED_VALUE"""),0.0)</f>
        <v>0</v>
      </c>
      <c r="U267" s="9">
        <f>IFERROR(__xludf.DUMMYFUNCTION("""COMPUTED_VALUE"""),0.0)</f>
        <v>0</v>
      </c>
      <c r="V267" s="9">
        <f>IFERROR(__xludf.DUMMYFUNCTION("""COMPUTED_VALUE"""),8.0)</f>
        <v>8</v>
      </c>
      <c r="W267" s="9">
        <f>IFERROR(__xludf.DUMMYFUNCTION("""COMPUTED_VALUE"""),0.0)</f>
        <v>0</v>
      </c>
      <c r="X267" s="9">
        <f>IFERROR(__xludf.DUMMYFUNCTION("""COMPUTED_VALUE"""),8.0)</f>
        <v>8</v>
      </c>
      <c r="Y267" s="9">
        <f>IFERROR(__xludf.DUMMYFUNCTION("""COMPUTED_VALUE"""),9.0)</f>
        <v>9</v>
      </c>
      <c r="Z267" s="9">
        <f>IFERROR(__xludf.DUMMYFUNCTION("""COMPUTED_VALUE"""),0.0)</f>
        <v>0</v>
      </c>
      <c r="AA267" s="9">
        <f>IFERROR(__xludf.DUMMYFUNCTION("""COMPUTED_VALUE"""),0.0)</f>
        <v>0</v>
      </c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</row>
    <row r="268">
      <c r="A268" s="8">
        <f>IFERROR(__xludf.DUMMYFUNCTION("""COMPUTED_VALUE"""),45386.0)</f>
        <v>45386</v>
      </c>
      <c r="B268" s="9">
        <f>IFERROR(__xludf.DUMMYFUNCTION("""COMPUTED_VALUE"""),20.0)</f>
        <v>20</v>
      </c>
      <c r="C268" s="9">
        <f>IFERROR(__xludf.DUMMYFUNCTION("""COMPUTED_VALUE"""),183.0)</f>
        <v>183</v>
      </c>
      <c r="D268" s="9">
        <f>IFERROR(__xludf.DUMMYFUNCTION("""COMPUTED_VALUE"""),9.0)</f>
        <v>9</v>
      </c>
      <c r="E268" s="9">
        <f>IFERROR(__xludf.DUMMYFUNCTION("""COMPUTED_VALUE"""),2179.0)</f>
        <v>2179</v>
      </c>
      <c r="F268" s="9">
        <f>IFERROR(__xludf.DUMMYFUNCTION("""COMPUTED_VALUE"""),109.0)</f>
        <v>109</v>
      </c>
      <c r="G268" s="9">
        <f>IFERROR(__xludf.DUMMYFUNCTION("""COMPUTED_VALUE"""),0.0)</f>
        <v>0</v>
      </c>
      <c r="H268" s="9"/>
      <c r="I268" s="9">
        <f>IFERROR(__xludf.DUMMYFUNCTION("""COMPUTED_VALUE"""),9.0)</f>
        <v>9</v>
      </c>
      <c r="J268" s="9">
        <f>IFERROR(__xludf.DUMMYFUNCTION("""COMPUTED_VALUE"""),1.0)</f>
        <v>1</v>
      </c>
      <c r="K268" s="9">
        <f>IFERROR(__xludf.DUMMYFUNCTION("""COMPUTED_VALUE"""),1.0)</f>
        <v>1</v>
      </c>
      <c r="L268" s="9">
        <f>IFERROR(__xludf.DUMMYFUNCTION("""COMPUTED_VALUE"""),1.0)</f>
        <v>1</v>
      </c>
      <c r="M268" s="9">
        <f>IFERROR(__xludf.DUMMYFUNCTION("""COMPUTED_VALUE"""),12.0)</f>
        <v>12</v>
      </c>
      <c r="N268" s="9">
        <f>IFERROR(__xludf.DUMMYFUNCTION("""COMPUTED_VALUE"""),12.0)</f>
        <v>12</v>
      </c>
      <c r="O268" s="9">
        <f>IFERROR(__xludf.DUMMYFUNCTION("""COMPUTED_VALUE"""),0.0)</f>
        <v>0</v>
      </c>
      <c r="P268" s="9">
        <f>IFERROR(__xludf.DUMMYFUNCTION("""COMPUTED_VALUE"""),7.0)</f>
        <v>7</v>
      </c>
      <c r="Q268" s="9">
        <f>IFERROR(__xludf.DUMMYFUNCTION("""COMPUTED_VALUE"""),9.0)</f>
        <v>9</v>
      </c>
      <c r="R268" s="9">
        <f>IFERROR(__xludf.DUMMYFUNCTION("""COMPUTED_VALUE"""),7.0)</f>
        <v>7</v>
      </c>
      <c r="S268" s="9">
        <f>IFERROR(__xludf.DUMMYFUNCTION("""COMPUTED_VALUE"""),3.0)</f>
        <v>3</v>
      </c>
      <c r="T268" s="9">
        <f>IFERROR(__xludf.DUMMYFUNCTION("""COMPUTED_VALUE"""),3.0)</f>
        <v>3</v>
      </c>
      <c r="U268" s="9">
        <f>IFERROR(__xludf.DUMMYFUNCTION("""COMPUTED_VALUE"""),0.0)</f>
        <v>0</v>
      </c>
      <c r="V268" s="9">
        <f>IFERROR(__xludf.DUMMYFUNCTION("""COMPUTED_VALUE"""),16.0)</f>
        <v>16</v>
      </c>
      <c r="W268" s="9">
        <f>IFERROR(__xludf.DUMMYFUNCTION("""COMPUTED_VALUE"""),0.0)</f>
        <v>0</v>
      </c>
      <c r="X268" s="9">
        <f>IFERROR(__xludf.DUMMYFUNCTION("""COMPUTED_VALUE"""),4.0)</f>
        <v>4</v>
      </c>
      <c r="Y268" s="9">
        <f>IFERROR(__xludf.DUMMYFUNCTION("""COMPUTED_VALUE"""),16.0)</f>
        <v>16</v>
      </c>
      <c r="Z268" s="9">
        <f>IFERROR(__xludf.DUMMYFUNCTION("""COMPUTED_VALUE"""),3.0)</f>
        <v>3</v>
      </c>
      <c r="AA268" s="9">
        <f>IFERROR(__xludf.DUMMYFUNCTION("""COMPUTED_VALUE"""),0.0)</f>
        <v>0</v>
      </c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</row>
    <row r="269">
      <c r="A269" s="8">
        <f>IFERROR(__xludf.DUMMYFUNCTION("""COMPUTED_VALUE"""),45387.0)</f>
        <v>45387</v>
      </c>
      <c r="B269" s="9">
        <f>IFERROR(__xludf.DUMMYFUNCTION("""COMPUTED_VALUE"""),15.0)</f>
        <v>15</v>
      </c>
      <c r="C269" s="9">
        <f>IFERROR(__xludf.DUMMYFUNCTION("""COMPUTED_VALUE"""),138.0)</f>
        <v>138</v>
      </c>
      <c r="D269" s="9">
        <f>IFERROR(__xludf.DUMMYFUNCTION("""COMPUTED_VALUE"""),9.0)</f>
        <v>9</v>
      </c>
      <c r="E269" s="9">
        <f>IFERROR(__xludf.DUMMYFUNCTION("""COMPUTED_VALUE"""),2576.0)</f>
        <v>2576</v>
      </c>
      <c r="F269" s="9">
        <f>IFERROR(__xludf.DUMMYFUNCTION("""COMPUTED_VALUE"""),172.0)</f>
        <v>172</v>
      </c>
      <c r="G269" s="9">
        <f>IFERROR(__xludf.DUMMYFUNCTION("""COMPUTED_VALUE"""),0.0)</f>
        <v>0</v>
      </c>
      <c r="H269" s="9"/>
      <c r="I269" s="9">
        <f>IFERROR(__xludf.DUMMYFUNCTION("""COMPUTED_VALUE"""),7.0)</f>
        <v>7</v>
      </c>
      <c r="J269" s="9">
        <f>IFERROR(__xludf.DUMMYFUNCTION("""COMPUTED_VALUE"""),4.0)</f>
        <v>4</v>
      </c>
      <c r="K269" s="9">
        <f>IFERROR(__xludf.DUMMYFUNCTION("""COMPUTED_VALUE"""),0.0)</f>
        <v>0</v>
      </c>
      <c r="L269" s="9">
        <f>IFERROR(__xludf.DUMMYFUNCTION("""COMPUTED_VALUE"""),0.0)</f>
        <v>0</v>
      </c>
      <c r="M269" s="9">
        <f>IFERROR(__xludf.DUMMYFUNCTION("""COMPUTED_VALUE"""),11.0)</f>
        <v>11</v>
      </c>
      <c r="N269" s="9">
        <f>IFERROR(__xludf.DUMMYFUNCTION("""COMPUTED_VALUE"""),9.0)</f>
        <v>9</v>
      </c>
      <c r="O269" s="9">
        <f>IFERROR(__xludf.DUMMYFUNCTION("""COMPUTED_VALUE"""),0.0)</f>
        <v>0</v>
      </c>
      <c r="P269" s="9">
        <f>IFERROR(__xludf.DUMMYFUNCTION("""COMPUTED_VALUE"""),5.0)</f>
        <v>5</v>
      </c>
      <c r="Q269" s="9">
        <f>IFERROR(__xludf.DUMMYFUNCTION("""COMPUTED_VALUE"""),6.0)</f>
        <v>6</v>
      </c>
      <c r="R269" s="9">
        <f>IFERROR(__xludf.DUMMYFUNCTION("""COMPUTED_VALUE"""),4.0)</f>
        <v>4</v>
      </c>
      <c r="S269" s="9">
        <f>IFERROR(__xludf.DUMMYFUNCTION("""COMPUTED_VALUE"""),9.0)</f>
        <v>9</v>
      </c>
      <c r="T269" s="9">
        <f>IFERROR(__xludf.DUMMYFUNCTION("""COMPUTED_VALUE"""),1.0)</f>
        <v>1</v>
      </c>
      <c r="U269" s="9">
        <f>IFERROR(__xludf.DUMMYFUNCTION("""COMPUTED_VALUE"""),0.0)</f>
        <v>0</v>
      </c>
      <c r="V269" s="9">
        <f>IFERROR(__xludf.DUMMYFUNCTION("""COMPUTED_VALUE"""),10.0)</f>
        <v>10</v>
      </c>
      <c r="W269" s="9">
        <f>IFERROR(__xludf.DUMMYFUNCTION("""COMPUTED_VALUE"""),0.0)</f>
        <v>0</v>
      </c>
      <c r="X269" s="9">
        <f>IFERROR(__xludf.DUMMYFUNCTION("""COMPUTED_VALUE"""),7.0)</f>
        <v>7</v>
      </c>
      <c r="Y269" s="9">
        <f>IFERROR(__xludf.DUMMYFUNCTION("""COMPUTED_VALUE"""),11.0)</f>
        <v>11</v>
      </c>
      <c r="Z269" s="9">
        <f>IFERROR(__xludf.DUMMYFUNCTION("""COMPUTED_VALUE"""),1.0)</f>
        <v>1</v>
      </c>
      <c r="AA269" s="9">
        <f>IFERROR(__xludf.DUMMYFUNCTION("""COMPUTED_VALUE"""),0.0)</f>
        <v>0</v>
      </c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  <c r="TB269" s="9"/>
      <c r="TC269" s="9"/>
      <c r="TD269" s="9"/>
      <c r="TE269" s="9"/>
      <c r="TF269" s="9"/>
      <c r="TG269" s="9"/>
      <c r="TH269" s="9"/>
      <c r="TI269" s="9"/>
      <c r="TJ269" s="9"/>
      <c r="TK269" s="9"/>
      <c r="TL269" s="9"/>
      <c r="TM269" s="9"/>
      <c r="TN269" s="9"/>
      <c r="TO269" s="9"/>
      <c r="TP269" s="9"/>
      <c r="TQ269" s="9"/>
      <c r="TR269" s="9"/>
      <c r="TS269" s="9"/>
      <c r="TT269" s="9"/>
      <c r="TU269" s="9"/>
      <c r="TV269" s="9"/>
      <c r="TW269" s="9"/>
      <c r="TX269" s="9"/>
      <c r="TY269" s="9"/>
      <c r="TZ269" s="9"/>
      <c r="UA269" s="9"/>
      <c r="UB269" s="9"/>
      <c r="UC269" s="9"/>
      <c r="UD269" s="9"/>
      <c r="UE269" s="9"/>
      <c r="UF269" s="9"/>
      <c r="UG269" s="9"/>
      <c r="UH269" s="9"/>
      <c r="UI269" s="9"/>
      <c r="UJ269" s="9"/>
    </row>
    <row r="270">
      <c r="A270" s="8">
        <f>IFERROR(__xludf.DUMMYFUNCTION("""COMPUTED_VALUE"""),45388.0)</f>
        <v>45388</v>
      </c>
      <c r="B270" s="9">
        <f>IFERROR(__xludf.DUMMYFUNCTION("""COMPUTED_VALUE"""),0.0)</f>
        <v>0</v>
      </c>
      <c r="C270" s="9">
        <f>IFERROR(__xludf.DUMMYFUNCTION("""COMPUTED_VALUE"""),0.0)</f>
        <v>0</v>
      </c>
      <c r="D270" s="9">
        <f>IFERROR(__xludf.DUMMYFUNCTION("""COMPUTED_VALUE"""),0.0)</f>
        <v>0</v>
      </c>
      <c r="E270" s="9">
        <f>IFERROR(__xludf.DUMMYFUNCTION("""COMPUTED_VALUE"""),0.0)</f>
        <v>0</v>
      </c>
      <c r="F270" s="9">
        <f>IFERROR(__xludf.DUMMYFUNCTION("""COMPUTED_VALUE"""),0.0)</f>
        <v>0</v>
      </c>
      <c r="G270" s="9">
        <f>IFERROR(__xludf.DUMMYFUNCTION("""COMPUTED_VALUE"""),0.0)</f>
        <v>0</v>
      </c>
      <c r="H270" s="9"/>
      <c r="I270" s="9">
        <f>IFERROR(__xludf.DUMMYFUNCTION("""COMPUTED_VALUE"""),0.0)</f>
        <v>0</v>
      </c>
      <c r="J270" s="9">
        <f>IFERROR(__xludf.DUMMYFUNCTION("""COMPUTED_VALUE"""),0.0)</f>
        <v>0</v>
      </c>
      <c r="K270" s="9">
        <f>IFERROR(__xludf.DUMMYFUNCTION("""COMPUTED_VALUE"""),0.0)</f>
        <v>0</v>
      </c>
      <c r="L270" s="9">
        <f>IFERROR(__xludf.DUMMYFUNCTION("""COMPUTED_VALUE"""),0.0)</f>
        <v>0</v>
      </c>
      <c r="M270" s="9">
        <f>IFERROR(__xludf.DUMMYFUNCTION("""COMPUTED_VALUE"""),0.0)</f>
        <v>0</v>
      </c>
      <c r="N270" s="9">
        <f>IFERROR(__xludf.DUMMYFUNCTION("""COMPUTED_VALUE"""),0.0)</f>
        <v>0</v>
      </c>
      <c r="O270" s="9">
        <f>IFERROR(__xludf.DUMMYFUNCTION("""COMPUTED_VALUE"""),0.0)</f>
        <v>0</v>
      </c>
      <c r="P270" s="9">
        <f>IFERROR(__xludf.DUMMYFUNCTION("""COMPUTED_VALUE"""),0.0)</f>
        <v>0</v>
      </c>
      <c r="Q270" s="9">
        <f>IFERROR(__xludf.DUMMYFUNCTION("""COMPUTED_VALUE"""),0.0)</f>
        <v>0</v>
      </c>
      <c r="R270" s="9">
        <f>IFERROR(__xludf.DUMMYFUNCTION("""COMPUTED_VALUE"""),0.0)</f>
        <v>0</v>
      </c>
      <c r="S270" s="9">
        <f>IFERROR(__xludf.DUMMYFUNCTION("""COMPUTED_VALUE"""),0.0)</f>
        <v>0</v>
      </c>
      <c r="T270" s="9">
        <f>IFERROR(__xludf.DUMMYFUNCTION("""COMPUTED_VALUE"""),0.0)</f>
        <v>0</v>
      </c>
      <c r="U270" s="9">
        <f>IFERROR(__xludf.DUMMYFUNCTION("""COMPUTED_VALUE"""),0.0)</f>
        <v>0</v>
      </c>
      <c r="V270" s="9">
        <f>IFERROR(__xludf.DUMMYFUNCTION("""COMPUTED_VALUE"""),0.0)</f>
        <v>0</v>
      </c>
      <c r="W270" s="9">
        <f>IFERROR(__xludf.DUMMYFUNCTION("""COMPUTED_VALUE"""),0.0)</f>
        <v>0</v>
      </c>
      <c r="X270" s="9">
        <f>IFERROR(__xludf.DUMMYFUNCTION("""COMPUTED_VALUE"""),0.0)</f>
        <v>0</v>
      </c>
      <c r="Y270" s="9">
        <f>IFERROR(__xludf.DUMMYFUNCTION("""COMPUTED_VALUE"""),0.0)</f>
        <v>0</v>
      </c>
      <c r="Z270" s="9">
        <f>IFERROR(__xludf.DUMMYFUNCTION("""COMPUTED_VALUE"""),0.0)</f>
        <v>0</v>
      </c>
      <c r="AA270" s="9">
        <f>IFERROR(__xludf.DUMMYFUNCTION("""COMPUTED_VALUE"""),0.0)</f>
        <v>0</v>
      </c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  <c r="IN270" s="9"/>
      <c r="IO270" s="9"/>
      <c r="IP270" s="9"/>
      <c r="IQ270" s="9"/>
      <c r="IR270" s="9"/>
      <c r="IS270" s="9"/>
      <c r="IT270" s="9"/>
      <c r="IU270" s="9"/>
      <c r="IV270" s="9"/>
      <c r="IW270" s="9"/>
      <c r="IX270" s="9"/>
      <c r="IY270" s="9"/>
      <c r="IZ270" s="9"/>
      <c r="JA270" s="9"/>
      <c r="JB270" s="9"/>
      <c r="JC270" s="9"/>
      <c r="JD270" s="9"/>
      <c r="JE270" s="9"/>
      <c r="JF270" s="9"/>
      <c r="JG270" s="9"/>
      <c r="JH270" s="9"/>
      <c r="JI270" s="9"/>
      <c r="JJ270" s="9"/>
      <c r="JK270" s="9"/>
      <c r="JL270" s="9"/>
      <c r="JM270" s="9"/>
      <c r="JN270" s="9"/>
      <c r="JO270" s="9"/>
      <c r="JP270" s="9"/>
      <c r="JQ270" s="9"/>
      <c r="JR270" s="9"/>
      <c r="JS270" s="9"/>
      <c r="JT270" s="9"/>
      <c r="JU270" s="9"/>
      <c r="JV270" s="9"/>
      <c r="JW270" s="9"/>
      <c r="JX270" s="9"/>
      <c r="JY270" s="9"/>
      <c r="JZ270" s="9"/>
      <c r="KA270" s="9"/>
      <c r="KB270" s="9"/>
      <c r="KC270" s="9"/>
      <c r="KD270" s="9"/>
      <c r="KE270" s="9"/>
      <c r="KF270" s="9"/>
      <c r="KG270" s="9"/>
      <c r="KH270" s="9"/>
      <c r="KI270" s="9"/>
      <c r="KJ270" s="9"/>
      <c r="KK270" s="9"/>
      <c r="KL270" s="9"/>
      <c r="KM270" s="9"/>
      <c r="KN270" s="9"/>
      <c r="KO270" s="9"/>
      <c r="KP270" s="9"/>
      <c r="KQ270" s="9"/>
      <c r="KR270" s="9"/>
      <c r="KS270" s="9"/>
      <c r="KT270" s="9"/>
      <c r="KU270" s="9"/>
      <c r="KV270" s="9"/>
      <c r="KW270" s="9"/>
      <c r="KX270" s="9"/>
      <c r="KY270" s="9"/>
      <c r="KZ270" s="9"/>
      <c r="LA270" s="9"/>
      <c r="LB270" s="9"/>
      <c r="LC270" s="9"/>
      <c r="LD270" s="9"/>
      <c r="LE270" s="9"/>
      <c r="LF270" s="9"/>
      <c r="LG270" s="9"/>
      <c r="LH270" s="9"/>
      <c r="LI270" s="9"/>
      <c r="LJ270" s="9"/>
      <c r="LK270" s="9"/>
      <c r="LL270" s="9"/>
      <c r="LM270" s="9"/>
      <c r="LN270" s="9"/>
      <c r="LO270" s="9"/>
      <c r="LP270" s="9"/>
      <c r="LQ270" s="9"/>
      <c r="LR270" s="9"/>
      <c r="LS270" s="9"/>
      <c r="LT270" s="9"/>
      <c r="LU270" s="9"/>
      <c r="LV270" s="9"/>
      <c r="LW270" s="9"/>
      <c r="LX270" s="9"/>
      <c r="LY270" s="9"/>
      <c r="LZ270" s="9"/>
      <c r="MA270" s="9"/>
      <c r="MB270" s="9"/>
      <c r="MC270" s="9"/>
      <c r="MD270" s="9"/>
      <c r="ME270" s="9"/>
      <c r="MF270" s="9"/>
      <c r="MG270" s="9"/>
      <c r="MH270" s="9"/>
      <c r="MI270" s="9"/>
      <c r="MJ270" s="9"/>
      <c r="MK270" s="9"/>
      <c r="ML270" s="9"/>
      <c r="MM270" s="9"/>
      <c r="MN270" s="9"/>
      <c r="MO270" s="9"/>
      <c r="MP270" s="9"/>
      <c r="MQ270" s="9"/>
      <c r="MR270" s="9"/>
      <c r="MS270" s="9"/>
      <c r="MT270" s="9"/>
      <c r="MU270" s="9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  <c r="PG270" s="9"/>
      <c r="PH270" s="9"/>
      <c r="PI270" s="9"/>
      <c r="PJ270" s="9"/>
      <c r="PK270" s="9"/>
      <c r="PL270" s="9"/>
      <c r="PM270" s="9"/>
      <c r="PN270" s="9"/>
      <c r="PO270" s="9"/>
      <c r="PP270" s="9"/>
      <c r="PQ270" s="9"/>
      <c r="PR270" s="9"/>
      <c r="PS270" s="9"/>
      <c r="PT270" s="9"/>
      <c r="PU270" s="9"/>
      <c r="PV270" s="9"/>
      <c r="PW270" s="9"/>
      <c r="PX270" s="9"/>
      <c r="PY270" s="9"/>
      <c r="PZ270" s="9"/>
      <c r="QA270" s="9"/>
      <c r="QB270" s="9"/>
      <c r="QC270" s="9"/>
      <c r="QD270" s="9"/>
      <c r="QE270" s="9"/>
      <c r="QF270" s="9"/>
      <c r="QG270" s="9"/>
      <c r="QH270" s="9"/>
      <c r="QI270" s="9"/>
      <c r="QJ270" s="9"/>
      <c r="QK270" s="9"/>
      <c r="QL270" s="9"/>
      <c r="QM270" s="9"/>
      <c r="QN270" s="9"/>
      <c r="QO270" s="9"/>
      <c r="QP270" s="9"/>
      <c r="QQ270" s="9"/>
      <c r="QR270" s="9"/>
      <c r="QS270" s="9"/>
      <c r="QT270" s="9"/>
      <c r="QU270" s="9"/>
      <c r="QV270" s="9"/>
      <c r="QW270" s="9"/>
      <c r="QX270" s="9"/>
      <c r="QY270" s="9"/>
      <c r="QZ270" s="9"/>
      <c r="RA270" s="9"/>
      <c r="RB270" s="9"/>
      <c r="RC270" s="9"/>
      <c r="RD270" s="9"/>
      <c r="RE270" s="9"/>
      <c r="RF270" s="9"/>
      <c r="RG270" s="9"/>
      <c r="RH270" s="9"/>
      <c r="RI270" s="9"/>
      <c r="RJ270" s="9"/>
      <c r="RK270" s="9"/>
      <c r="RL270" s="9"/>
      <c r="RM270" s="9"/>
      <c r="RN270" s="9"/>
      <c r="RO270" s="9"/>
      <c r="RP270" s="9"/>
      <c r="RQ270" s="9"/>
      <c r="RR270" s="9"/>
      <c r="RS270" s="9"/>
      <c r="RT270" s="9"/>
      <c r="RU270" s="9"/>
      <c r="RV270" s="9"/>
      <c r="RW270" s="9"/>
      <c r="RX270" s="9"/>
      <c r="RY270" s="9"/>
      <c r="RZ270" s="9"/>
      <c r="SA270" s="9"/>
      <c r="SB270" s="9"/>
      <c r="SC270" s="9"/>
      <c r="SD270" s="9"/>
      <c r="SE270" s="9"/>
      <c r="SF270" s="9"/>
      <c r="SG270" s="9"/>
      <c r="SH270" s="9"/>
      <c r="SI270" s="9"/>
      <c r="SJ270" s="9"/>
      <c r="SK270" s="9"/>
      <c r="SL270" s="9"/>
      <c r="SM270" s="9"/>
      <c r="SN270" s="9"/>
      <c r="SO270" s="9"/>
      <c r="SP270" s="9"/>
      <c r="SQ270" s="9"/>
      <c r="SR270" s="9"/>
      <c r="SS270" s="9"/>
      <c r="ST270" s="9"/>
      <c r="SU270" s="9"/>
      <c r="SV270" s="9"/>
      <c r="SW270" s="9"/>
      <c r="SX270" s="9"/>
      <c r="SY270" s="9"/>
      <c r="SZ270" s="9"/>
      <c r="TA270" s="9"/>
      <c r="TB270" s="9"/>
      <c r="TC270" s="9"/>
      <c r="TD270" s="9"/>
      <c r="TE270" s="9"/>
      <c r="TF270" s="9"/>
      <c r="TG270" s="9"/>
      <c r="TH270" s="9"/>
      <c r="TI270" s="9"/>
      <c r="TJ270" s="9"/>
      <c r="TK270" s="9"/>
      <c r="TL270" s="9"/>
      <c r="TM270" s="9"/>
      <c r="TN270" s="9"/>
      <c r="TO270" s="9"/>
      <c r="TP270" s="9"/>
      <c r="TQ270" s="9"/>
      <c r="TR270" s="9"/>
      <c r="TS270" s="9"/>
      <c r="TT270" s="9"/>
      <c r="TU270" s="9"/>
      <c r="TV270" s="9"/>
      <c r="TW270" s="9"/>
      <c r="TX270" s="9"/>
      <c r="TY270" s="9"/>
      <c r="TZ270" s="9"/>
      <c r="UA270" s="9"/>
      <c r="UB270" s="9"/>
      <c r="UC270" s="9"/>
      <c r="UD270" s="9"/>
      <c r="UE270" s="9"/>
      <c r="UF270" s="9"/>
      <c r="UG270" s="9"/>
      <c r="UH270" s="9"/>
      <c r="UI270" s="9"/>
      <c r="UJ270" s="9"/>
    </row>
    <row r="271">
      <c r="A271" s="8">
        <f>IFERROR(__xludf.DUMMYFUNCTION("""COMPUTED_VALUE"""),45389.0)</f>
        <v>45389</v>
      </c>
      <c r="B271" s="9">
        <f>IFERROR(__xludf.DUMMYFUNCTION("""COMPUTED_VALUE"""),0.0)</f>
        <v>0</v>
      </c>
      <c r="C271" s="9">
        <f>IFERROR(__xludf.DUMMYFUNCTION("""COMPUTED_VALUE"""),0.0)</f>
        <v>0</v>
      </c>
      <c r="D271" s="9">
        <f>IFERROR(__xludf.DUMMYFUNCTION("""COMPUTED_VALUE"""),0.0)</f>
        <v>0</v>
      </c>
      <c r="E271" s="9">
        <f>IFERROR(__xludf.DUMMYFUNCTION("""COMPUTED_VALUE"""),0.0)</f>
        <v>0</v>
      </c>
      <c r="F271" s="9">
        <f>IFERROR(__xludf.DUMMYFUNCTION("""COMPUTED_VALUE"""),0.0)</f>
        <v>0</v>
      </c>
      <c r="G271" s="9">
        <f>IFERROR(__xludf.DUMMYFUNCTION("""COMPUTED_VALUE"""),0.0)</f>
        <v>0</v>
      </c>
      <c r="H271" s="9"/>
      <c r="I271" s="9">
        <f>IFERROR(__xludf.DUMMYFUNCTION("""COMPUTED_VALUE"""),0.0)</f>
        <v>0</v>
      </c>
      <c r="J271" s="9">
        <f>IFERROR(__xludf.DUMMYFUNCTION("""COMPUTED_VALUE"""),0.0)</f>
        <v>0</v>
      </c>
      <c r="K271" s="9">
        <f>IFERROR(__xludf.DUMMYFUNCTION("""COMPUTED_VALUE"""),0.0)</f>
        <v>0</v>
      </c>
      <c r="L271" s="9">
        <f>IFERROR(__xludf.DUMMYFUNCTION("""COMPUTED_VALUE"""),0.0)</f>
        <v>0</v>
      </c>
      <c r="M271" s="9">
        <f>IFERROR(__xludf.DUMMYFUNCTION("""COMPUTED_VALUE"""),0.0)</f>
        <v>0</v>
      </c>
      <c r="N271" s="9">
        <f>IFERROR(__xludf.DUMMYFUNCTION("""COMPUTED_VALUE"""),0.0)</f>
        <v>0</v>
      </c>
      <c r="O271" s="9">
        <f>IFERROR(__xludf.DUMMYFUNCTION("""COMPUTED_VALUE"""),0.0)</f>
        <v>0</v>
      </c>
      <c r="P271" s="9">
        <f>IFERROR(__xludf.DUMMYFUNCTION("""COMPUTED_VALUE"""),0.0)</f>
        <v>0</v>
      </c>
      <c r="Q271" s="9">
        <f>IFERROR(__xludf.DUMMYFUNCTION("""COMPUTED_VALUE"""),0.0)</f>
        <v>0</v>
      </c>
      <c r="R271" s="9">
        <f>IFERROR(__xludf.DUMMYFUNCTION("""COMPUTED_VALUE"""),0.0)</f>
        <v>0</v>
      </c>
      <c r="S271" s="9">
        <f>IFERROR(__xludf.DUMMYFUNCTION("""COMPUTED_VALUE"""),0.0)</f>
        <v>0</v>
      </c>
      <c r="T271" s="9">
        <f>IFERROR(__xludf.DUMMYFUNCTION("""COMPUTED_VALUE"""),0.0)</f>
        <v>0</v>
      </c>
      <c r="U271" s="9">
        <f>IFERROR(__xludf.DUMMYFUNCTION("""COMPUTED_VALUE"""),0.0)</f>
        <v>0</v>
      </c>
      <c r="V271" s="9">
        <f>IFERROR(__xludf.DUMMYFUNCTION("""COMPUTED_VALUE"""),0.0)</f>
        <v>0</v>
      </c>
      <c r="W271" s="9">
        <f>IFERROR(__xludf.DUMMYFUNCTION("""COMPUTED_VALUE"""),0.0)</f>
        <v>0</v>
      </c>
      <c r="X271" s="9">
        <f>IFERROR(__xludf.DUMMYFUNCTION("""COMPUTED_VALUE"""),0.0)</f>
        <v>0</v>
      </c>
      <c r="Y271" s="9">
        <f>IFERROR(__xludf.DUMMYFUNCTION("""COMPUTED_VALUE"""),0.0)</f>
        <v>0</v>
      </c>
      <c r="Z271" s="9">
        <f>IFERROR(__xludf.DUMMYFUNCTION("""COMPUTED_VALUE"""),0.0)</f>
        <v>0</v>
      </c>
      <c r="AA271" s="9">
        <f>IFERROR(__xludf.DUMMYFUNCTION("""COMPUTED_VALUE"""),0.0)</f>
        <v>0</v>
      </c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  <c r="TB271" s="9"/>
      <c r="TC271" s="9"/>
      <c r="TD271" s="9"/>
      <c r="TE271" s="9"/>
      <c r="TF271" s="9"/>
      <c r="TG271" s="9"/>
      <c r="TH271" s="9"/>
      <c r="TI271" s="9"/>
      <c r="TJ271" s="9"/>
      <c r="TK271" s="9"/>
      <c r="TL271" s="9"/>
      <c r="TM271" s="9"/>
      <c r="TN271" s="9"/>
      <c r="TO271" s="9"/>
      <c r="TP271" s="9"/>
      <c r="TQ271" s="9"/>
      <c r="TR271" s="9"/>
      <c r="TS271" s="9"/>
      <c r="TT271" s="9"/>
      <c r="TU271" s="9"/>
      <c r="TV271" s="9"/>
      <c r="TW271" s="9"/>
      <c r="TX271" s="9"/>
      <c r="TY271" s="9"/>
      <c r="TZ271" s="9"/>
      <c r="UA271" s="9"/>
      <c r="UB271" s="9"/>
      <c r="UC271" s="9"/>
      <c r="UD271" s="9"/>
      <c r="UE271" s="9"/>
      <c r="UF271" s="9"/>
      <c r="UG271" s="9"/>
      <c r="UH271" s="9"/>
      <c r="UI271" s="9"/>
      <c r="UJ271" s="9"/>
    </row>
    <row r="272">
      <c r="A272" s="8">
        <f>IFERROR(__xludf.DUMMYFUNCTION("""COMPUTED_VALUE"""),45390.0)</f>
        <v>45390</v>
      </c>
      <c r="B272" s="9">
        <f>IFERROR(__xludf.DUMMYFUNCTION("""COMPUTED_VALUE"""),7.0)</f>
        <v>7</v>
      </c>
      <c r="C272" s="9">
        <f>IFERROR(__xludf.DUMMYFUNCTION("""COMPUTED_VALUE"""),64.0)</f>
        <v>64</v>
      </c>
      <c r="D272" s="9">
        <f>IFERROR(__xludf.DUMMYFUNCTION("""COMPUTED_VALUE"""),9.0)</f>
        <v>9</v>
      </c>
      <c r="E272" s="9">
        <f>IFERROR(__xludf.DUMMYFUNCTION("""COMPUTED_VALUE"""),1208.0)</f>
        <v>1208</v>
      </c>
      <c r="F272" s="9">
        <f>IFERROR(__xludf.DUMMYFUNCTION("""COMPUTED_VALUE"""),173.0)</f>
        <v>173</v>
      </c>
      <c r="G272" s="9">
        <f>IFERROR(__xludf.DUMMYFUNCTION("""COMPUTED_VALUE"""),0.0)</f>
        <v>0</v>
      </c>
      <c r="H272" s="9"/>
      <c r="I272" s="9">
        <f>IFERROR(__xludf.DUMMYFUNCTION("""COMPUTED_VALUE"""),5.0)</f>
        <v>5</v>
      </c>
      <c r="J272" s="9">
        <f>IFERROR(__xludf.DUMMYFUNCTION("""COMPUTED_VALUE"""),1.0)</f>
        <v>1</v>
      </c>
      <c r="K272" s="9">
        <f>IFERROR(__xludf.DUMMYFUNCTION("""COMPUTED_VALUE"""),0.0)</f>
        <v>0</v>
      </c>
      <c r="L272" s="9">
        <f>IFERROR(__xludf.DUMMYFUNCTION("""COMPUTED_VALUE"""),0.0)</f>
        <v>0</v>
      </c>
      <c r="M272" s="9">
        <f>IFERROR(__xludf.DUMMYFUNCTION("""COMPUTED_VALUE"""),6.0)</f>
        <v>6</v>
      </c>
      <c r="N272" s="9">
        <f>IFERROR(__xludf.DUMMYFUNCTION("""COMPUTED_VALUE"""),6.0)</f>
        <v>6</v>
      </c>
      <c r="O272" s="9">
        <f>IFERROR(__xludf.DUMMYFUNCTION("""COMPUTED_VALUE"""),0.0)</f>
        <v>0</v>
      </c>
      <c r="P272" s="9">
        <f>IFERROR(__xludf.DUMMYFUNCTION("""COMPUTED_VALUE"""),1.0)</f>
        <v>1</v>
      </c>
      <c r="Q272" s="9">
        <f>IFERROR(__xludf.DUMMYFUNCTION("""COMPUTED_VALUE"""),3.0)</f>
        <v>3</v>
      </c>
      <c r="R272" s="9">
        <f>IFERROR(__xludf.DUMMYFUNCTION("""COMPUTED_VALUE"""),0.0)</f>
        <v>0</v>
      </c>
      <c r="S272" s="9">
        <f>IFERROR(__xludf.DUMMYFUNCTION("""COMPUTED_VALUE"""),7.0)</f>
        <v>7</v>
      </c>
      <c r="T272" s="9">
        <f>IFERROR(__xludf.DUMMYFUNCTION("""COMPUTED_VALUE"""),2.0)</f>
        <v>2</v>
      </c>
      <c r="U272" s="9">
        <f>IFERROR(__xludf.DUMMYFUNCTION("""COMPUTED_VALUE"""),0.0)</f>
        <v>0</v>
      </c>
      <c r="V272" s="9">
        <f>IFERROR(__xludf.DUMMYFUNCTION("""COMPUTED_VALUE"""),3.0)</f>
        <v>3</v>
      </c>
      <c r="W272" s="9">
        <f>IFERROR(__xludf.DUMMYFUNCTION("""COMPUTED_VALUE"""),0.0)</f>
        <v>0</v>
      </c>
      <c r="X272" s="9">
        <f>IFERROR(__xludf.DUMMYFUNCTION("""COMPUTED_VALUE"""),5.0)</f>
        <v>5</v>
      </c>
      <c r="Y272" s="9">
        <f>IFERROR(__xludf.DUMMYFUNCTION("""COMPUTED_VALUE"""),4.0)</f>
        <v>4</v>
      </c>
      <c r="Z272" s="9">
        <f>IFERROR(__xludf.DUMMYFUNCTION("""COMPUTED_VALUE"""),2.0)</f>
        <v>2</v>
      </c>
      <c r="AA272" s="9">
        <f>IFERROR(__xludf.DUMMYFUNCTION("""COMPUTED_VALUE"""),0.0)</f>
        <v>0</v>
      </c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</row>
    <row r="273">
      <c r="A273" s="8">
        <f>IFERROR(__xludf.DUMMYFUNCTION("""COMPUTED_VALUE"""),45391.0)</f>
        <v>45391</v>
      </c>
      <c r="B273" s="9">
        <f>IFERROR(__xludf.DUMMYFUNCTION("""COMPUTED_VALUE"""),11.0)</f>
        <v>11</v>
      </c>
      <c r="C273" s="9">
        <f>IFERROR(__xludf.DUMMYFUNCTION("""COMPUTED_VALUE"""),102.0)</f>
        <v>102</v>
      </c>
      <c r="D273" s="9">
        <f>IFERROR(__xludf.DUMMYFUNCTION("""COMPUTED_VALUE"""),9.0)</f>
        <v>9</v>
      </c>
      <c r="E273" s="9">
        <f>IFERROR(__xludf.DUMMYFUNCTION("""COMPUTED_VALUE"""),1409.0)</f>
        <v>1409</v>
      </c>
      <c r="F273" s="9">
        <f>IFERROR(__xludf.DUMMYFUNCTION("""COMPUTED_VALUE"""),128.0)</f>
        <v>128</v>
      </c>
      <c r="G273" s="9">
        <f>IFERROR(__xludf.DUMMYFUNCTION("""COMPUTED_VALUE"""),0.0)</f>
        <v>0</v>
      </c>
      <c r="H273" s="9"/>
      <c r="I273" s="9">
        <f>IFERROR(__xludf.DUMMYFUNCTION("""COMPUTED_VALUE"""),8.0)</f>
        <v>8</v>
      </c>
      <c r="J273" s="9">
        <f>IFERROR(__xludf.DUMMYFUNCTION("""COMPUTED_VALUE"""),0.0)</f>
        <v>0</v>
      </c>
      <c r="K273" s="9">
        <f>IFERROR(__xludf.DUMMYFUNCTION("""COMPUTED_VALUE"""),1.0)</f>
        <v>1</v>
      </c>
      <c r="L273" s="9">
        <f>IFERROR(__xludf.DUMMYFUNCTION("""COMPUTED_VALUE"""),0.0)</f>
        <v>0</v>
      </c>
      <c r="M273" s="9">
        <f>IFERROR(__xludf.DUMMYFUNCTION("""COMPUTED_VALUE"""),9.0)</f>
        <v>9</v>
      </c>
      <c r="N273" s="9">
        <f>IFERROR(__xludf.DUMMYFUNCTION("""COMPUTED_VALUE"""),8.0)</f>
        <v>8</v>
      </c>
      <c r="O273" s="9">
        <f>IFERROR(__xludf.DUMMYFUNCTION("""COMPUTED_VALUE"""),0.0)</f>
        <v>0</v>
      </c>
      <c r="P273" s="9">
        <f>IFERROR(__xludf.DUMMYFUNCTION("""COMPUTED_VALUE"""),3.0)</f>
        <v>3</v>
      </c>
      <c r="Q273" s="9">
        <f>IFERROR(__xludf.DUMMYFUNCTION("""COMPUTED_VALUE"""),5.0)</f>
        <v>5</v>
      </c>
      <c r="R273" s="9">
        <f>IFERROR(__xludf.DUMMYFUNCTION("""COMPUTED_VALUE"""),2.0)</f>
        <v>2</v>
      </c>
      <c r="S273" s="9">
        <f>IFERROR(__xludf.DUMMYFUNCTION("""COMPUTED_VALUE"""),3.0)</f>
        <v>3</v>
      </c>
      <c r="T273" s="9">
        <f>IFERROR(__xludf.DUMMYFUNCTION("""COMPUTED_VALUE"""),0.0)</f>
        <v>0</v>
      </c>
      <c r="U273" s="9">
        <f>IFERROR(__xludf.DUMMYFUNCTION("""COMPUTED_VALUE"""),0.0)</f>
        <v>0</v>
      </c>
      <c r="V273" s="9">
        <f>IFERROR(__xludf.DUMMYFUNCTION("""COMPUTED_VALUE"""),7.0)</f>
        <v>7</v>
      </c>
      <c r="W273" s="9">
        <f>IFERROR(__xludf.DUMMYFUNCTION("""COMPUTED_VALUE"""),1.0)</f>
        <v>1</v>
      </c>
      <c r="X273" s="9">
        <f>IFERROR(__xludf.DUMMYFUNCTION("""COMPUTED_VALUE"""),4.0)</f>
        <v>4</v>
      </c>
      <c r="Y273" s="9">
        <f>IFERROR(__xludf.DUMMYFUNCTION("""COMPUTED_VALUE"""),9.0)</f>
        <v>9</v>
      </c>
      <c r="Z273" s="9">
        <f>IFERROR(__xludf.DUMMYFUNCTION("""COMPUTED_VALUE"""),1.0)</f>
        <v>1</v>
      </c>
      <c r="AA273" s="9">
        <f>IFERROR(__xludf.DUMMYFUNCTION("""COMPUTED_VALUE"""),0.0)</f>
        <v>0</v>
      </c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</row>
    <row r="274">
      <c r="A274" s="8">
        <f>IFERROR(__xludf.DUMMYFUNCTION("""COMPUTED_VALUE"""),45392.0)</f>
        <v>45392</v>
      </c>
      <c r="B274" s="9">
        <f>IFERROR(__xludf.DUMMYFUNCTION("""COMPUTED_VALUE"""),15.0)</f>
        <v>15</v>
      </c>
      <c r="C274" s="9">
        <f>IFERROR(__xludf.DUMMYFUNCTION("""COMPUTED_VALUE"""),126.0)</f>
        <v>126</v>
      </c>
      <c r="D274" s="9">
        <f>IFERROR(__xludf.DUMMYFUNCTION("""COMPUTED_VALUE"""),8.0)</f>
        <v>8</v>
      </c>
      <c r="E274" s="9">
        <f>IFERROR(__xludf.DUMMYFUNCTION("""COMPUTED_VALUE"""),1912.0)</f>
        <v>1912</v>
      </c>
      <c r="F274" s="9">
        <f>IFERROR(__xludf.DUMMYFUNCTION("""COMPUTED_VALUE"""),127.0)</f>
        <v>127</v>
      </c>
      <c r="G274" s="9">
        <f>IFERROR(__xludf.DUMMYFUNCTION("""COMPUTED_VALUE"""),0.0)</f>
        <v>0</v>
      </c>
      <c r="H274" s="9"/>
      <c r="I274" s="9">
        <f>IFERROR(__xludf.DUMMYFUNCTION("""COMPUTED_VALUE"""),7.0)</f>
        <v>7</v>
      </c>
      <c r="J274" s="9">
        <f>IFERROR(__xludf.DUMMYFUNCTION("""COMPUTED_VALUE"""),4.0)</f>
        <v>4</v>
      </c>
      <c r="K274" s="9">
        <f>IFERROR(__xludf.DUMMYFUNCTION("""COMPUTED_VALUE"""),0.0)</f>
        <v>0</v>
      </c>
      <c r="L274" s="9">
        <f>IFERROR(__xludf.DUMMYFUNCTION("""COMPUTED_VALUE"""),0.0)</f>
        <v>0</v>
      </c>
      <c r="M274" s="9">
        <f>IFERROR(__xludf.DUMMYFUNCTION("""COMPUTED_VALUE"""),11.0)</f>
        <v>11</v>
      </c>
      <c r="N274" s="9">
        <f>IFERROR(__xludf.DUMMYFUNCTION("""COMPUTED_VALUE"""),11.0)</f>
        <v>11</v>
      </c>
      <c r="O274" s="9">
        <f>IFERROR(__xludf.DUMMYFUNCTION("""COMPUTED_VALUE"""),0.0)</f>
        <v>0</v>
      </c>
      <c r="P274" s="9">
        <f>IFERROR(__xludf.DUMMYFUNCTION("""COMPUTED_VALUE"""),4.0)</f>
        <v>4</v>
      </c>
      <c r="Q274" s="9">
        <f>IFERROR(__xludf.DUMMYFUNCTION("""COMPUTED_VALUE"""),5.0)</f>
        <v>5</v>
      </c>
      <c r="R274" s="9">
        <f>IFERROR(__xludf.DUMMYFUNCTION("""COMPUTED_VALUE"""),4.0)</f>
        <v>4</v>
      </c>
      <c r="S274" s="9">
        <f>IFERROR(__xludf.DUMMYFUNCTION("""COMPUTED_VALUE"""),4.0)</f>
        <v>4</v>
      </c>
      <c r="T274" s="9">
        <f>IFERROR(__xludf.DUMMYFUNCTION("""COMPUTED_VALUE"""),2.0)</f>
        <v>2</v>
      </c>
      <c r="U274" s="9">
        <f>IFERROR(__xludf.DUMMYFUNCTION("""COMPUTED_VALUE"""),0.0)</f>
        <v>0</v>
      </c>
      <c r="V274" s="9">
        <f>IFERROR(__xludf.DUMMYFUNCTION("""COMPUTED_VALUE"""),9.0)</f>
        <v>9</v>
      </c>
      <c r="W274" s="9">
        <f>IFERROR(__xludf.DUMMYFUNCTION("""COMPUTED_VALUE"""),1.0)</f>
        <v>1</v>
      </c>
      <c r="X274" s="9">
        <f>IFERROR(__xludf.DUMMYFUNCTION("""COMPUTED_VALUE"""),7.0)</f>
        <v>7</v>
      </c>
      <c r="Y274" s="9">
        <f>IFERROR(__xludf.DUMMYFUNCTION("""COMPUTED_VALUE"""),12.0)</f>
        <v>12</v>
      </c>
      <c r="Z274" s="9">
        <f>IFERROR(__xludf.DUMMYFUNCTION("""COMPUTED_VALUE"""),3.0)</f>
        <v>3</v>
      </c>
      <c r="AA274" s="9">
        <f>IFERROR(__xludf.DUMMYFUNCTION("""COMPUTED_VALUE"""),0.0)</f>
        <v>0</v>
      </c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  <c r="TB274" s="9"/>
      <c r="TC274" s="9"/>
      <c r="TD274" s="9"/>
      <c r="TE274" s="9"/>
      <c r="TF274" s="9"/>
      <c r="TG274" s="9"/>
      <c r="TH274" s="9"/>
      <c r="TI274" s="9"/>
      <c r="TJ274" s="9"/>
      <c r="TK274" s="9"/>
      <c r="TL274" s="9"/>
      <c r="TM274" s="9"/>
      <c r="TN274" s="9"/>
      <c r="TO274" s="9"/>
      <c r="TP274" s="9"/>
      <c r="TQ274" s="9"/>
      <c r="TR274" s="9"/>
      <c r="TS274" s="9"/>
      <c r="TT274" s="9"/>
      <c r="TU274" s="9"/>
      <c r="TV274" s="9"/>
      <c r="TW274" s="9"/>
      <c r="TX274" s="9"/>
      <c r="TY274" s="9"/>
      <c r="TZ274" s="9"/>
      <c r="UA274" s="9"/>
      <c r="UB274" s="9"/>
      <c r="UC274" s="9"/>
      <c r="UD274" s="9"/>
      <c r="UE274" s="9"/>
      <c r="UF274" s="9"/>
      <c r="UG274" s="9"/>
      <c r="UH274" s="9"/>
      <c r="UI274" s="9"/>
      <c r="UJ274" s="9"/>
    </row>
    <row r="275">
      <c r="A275" s="8">
        <f>IFERROR(__xludf.DUMMYFUNCTION("""COMPUTED_VALUE"""),45393.0)</f>
        <v>45393</v>
      </c>
      <c r="B275" s="9">
        <f>IFERROR(__xludf.DUMMYFUNCTION("""COMPUTED_VALUE"""),10.0)</f>
        <v>10</v>
      </c>
      <c r="C275" s="9">
        <f>IFERROR(__xludf.DUMMYFUNCTION("""COMPUTED_VALUE"""),90.0)</f>
        <v>90</v>
      </c>
      <c r="D275" s="9">
        <f>IFERROR(__xludf.DUMMYFUNCTION("""COMPUTED_VALUE"""),9.0)</f>
        <v>9</v>
      </c>
      <c r="E275" s="9">
        <f>IFERROR(__xludf.DUMMYFUNCTION("""COMPUTED_VALUE"""),1037.0)</f>
        <v>1037</v>
      </c>
      <c r="F275" s="9">
        <f>IFERROR(__xludf.DUMMYFUNCTION("""COMPUTED_VALUE"""),104.0)</f>
        <v>104</v>
      </c>
      <c r="G275" s="9">
        <f>IFERROR(__xludf.DUMMYFUNCTION("""COMPUTED_VALUE"""),0.0)</f>
        <v>0</v>
      </c>
      <c r="H275" s="9"/>
      <c r="I275" s="9">
        <f>IFERROR(__xludf.DUMMYFUNCTION("""COMPUTED_VALUE"""),10.0)</f>
        <v>10</v>
      </c>
      <c r="J275" s="9">
        <f>IFERROR(__xludf.DUMMYFUNCTION("""COMPUTED_VALUE"""),0.0)</f>
        <v>0</v>
      </c>
      <c r="K275" s="9">
        <f>IFERROR(__xludf.DUMMYFUNCTION("""COMPUTED_VALUE"""),0.0)</f>
        <v>0</v>
      </c>
      <c r="L275" s="9">
        <f>IFERROR(__xludf.DUMMYFUNCTION("""COMPUTED_VALUE"""),0.0)</f>
        <v>0</v>
      </c>
      <c r="M275" s="9">
        <f>IFERROR(__xludf.DUMMYFUNCTION("""COMPUTED_VALUE"""),10.0)</f>
        <v>10</v>
      </c>
      <c r="N275" s="9">
        <f>IFERROR(__xludf.DUMMYFUNCTION("""COMPUTED_VALUE"""),5.0)</f>
        <v>5</v>
      </c>
      <c r="O275" s="9">
        <f>IFERROR(__xludf.DUMMYFUNCTION("""COMPUTED_VALUE"""),0.0)</f>
        <v>0</v>
      </c>
      <c r="P275" s="9">
        <f>IFERROR(__xludf.DUMMYFUNCTION("""COMPUTED_VALUE"""),4.0)</f>
        <v>4</v>
      </c>
      <c r="Q275" s="9">
        <f>IFERROR(__xludf.DUMMYFUNCTION("""COMPUTED_VALUE"""),3.0)</f>
        <v>3</v>
      </c>
      <c r="R275" s="9">
        <f>IFERROR(__xludf.DUMMYFUNCTION("""COMPUTED_VALUE"""),4.0)</f>
        <v>4</v>
      </c>
      <c r="S275" s="9">
        <f>IFERROR(__xludf.DUMMYFUNCTION("""COMPUTED_VALUE"""),0.0)</f>
        <v>0</v>
      </c>
      <c r="T275" s="9">
        <f>IFERROR(__xludf.DUMMYFUNCTION("""COMPUTED_VALUE"""),1.0)</f>
        <v>1</v>
      </c>
      <c r="U275" s="9">
        <f>IFERROR(__xludf.DUMMYFUNCTION("""COMPUTED_VALUE"""),0.0)</f>
        <v>0</v>
      </c>
      <c r="V275" s="9">
        <f>IFERROR(__xludf.DUMMYFUNCTION("""COMPUTED_VALUE"""),7.0)</f>
        <v>7</v>
      </c>
      <c r="W275" s="9">
        <f>IFERROR(__xludf.DUMMYFUNCTION("""COMPUTED_VALUE"""),0.0)</f>
        <v>0</v>
      </c>
      <c r="X275" s="9">
        <f>IFERROR(__xludf.DUMMYFUNCTION("""COMPUTED_VALUE"""),4.0)</f>
        <v>4</v>
      </c>
      <c r="Y275" s="9">
        <f>IFERROR(__xludf.DUMMYFUNCTION("""COMPUTED_VALUE"""),7.0)</f>
        <v>7</v>
      </c>
      <c r="Z275" s="9">
        <f>IFERROR(__xludf.DUMMYFUNCTION("""COMPUTED_VALUE"""),1.0)</f>
        <v>1</v>
      </c>
      <c r="AA275" s="9">
        <f>IFERROR(__xludf.DUMMYFUNCTION("""COMPUTED_VALUE"""),0.0)</f>
        <v>0</v>
      </c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  <c r="TB275" s="9"/>
      <c r="TC275" s="9"/>
      <c r="TD275" s="9"/>
      <c r="TE275" s="9"/>
      <c r="TF275" s="9"/>
      <c r="TG275" s="9"/>
      <c r="TH275" s="9"/>
      <c r="TI275" s="9"/>
      <c r="TJ275" s="9"/>
      <c r="TK275" s="9"/>
      <c r="TL275" s="9"/>
      <c r="TM275" s="9"/>
      <c r="TN275" s="9"/>
      <c r="TO275" s="9"/>
      <c r="TP275" s="9"/>
      <c r="TQ275" s="9"/>
      <c r="TR275" s="9"/>
      <c r="TS275" s="9"/>
      <c r="TT275" s="9"/>
      <c r="TU275" s="9"/>
      <c r="TV275" s="9"/>
      <c r="TW275" s="9"/>
      <c r="TX275" s="9"/>
      <c r="TY275" s="9"/>
      <c r="TZ275" s="9"/>
      <c r="UA275" s="9"/>
      <c r="UB275" s="9"/>
      <c r="UC275" s="9"/>
      <c r="UD275" s="9"/>
      <c r="UE275" s="9"/>
      <c r="UF275" s="9"/>
      <c r="UG275" s="9"/>
      <c r="UH275" s="9"/>
      <c r="UI275" s="9"/>
      <c r="UJ275" s="9"/>
    </row>
    <row r="276">
      <c r="A276" s="8">
        <f>IFERROR(__xludf.DUMMYFUNCTION("""COMPUTED_VALUE"""),45394.0)</f>
        <v>45394</v>
      </c>
      <c r="B276" s="9">
        <f>IFERROR(__xludf.DUMMYFUNCTION("""COMPUTED_VALUE"""),17.0)</f>
        <v>17</v>
      </c>
      <c r="C276" s="9">
        <f>IFERROR(__xludf.DUMMYFUNCTION("""COMPUTED_VALUE"""),164.0)</f>
        <v>164</v>
      </c>
      <c r="D276" s="9">
        <f>IFERROR(__xludf.DUMMYFUNCTION("""COMPUTED_VALUE"""),10.0)</f>
        <v>10</v>
      </c>
      <c r="E276" s="9">
        <f>IFERROR(__xludf.DUMMYFUNCTION("""COMPUTED_VALUE"""),2415.0)</f>
        <v>2415</v>
      </c>
      <c r="F276" s="9">
        <f>IFERROR(__xludf.DUMMYFUNCTION("""COMPUTED_VALUE"""),142.0)</f>
        <v>142</v>
      </c>
      <c r="G276" s="9">
        <f>IFERROR(__xludf.DUMMYFUNCTION("""COMPUTED_VALUE"""),0.0)</f>
        <v>0</v>
      </c>
      <c r="H276" s="9"/>
      <c r="I276" s="9">
        <f>IFERROR(__xludf.DUMMYFUNCTION("""COMPUTED_VALUE"""),13.0)</f>
        <v>13</v>
      </c>
      <c r="J276" s="9">
        <f>IFERROR(__xludf.DUMMYFUNCTION("""COMPUTED_VALUE"""),2.0)</f>
        <v>2</v>
      </c>
      <c r="K276" s="9">
        <f>IFERROR(__xludf.DUMMYFUNCTION("""COMPUTED_VALUE"""),0.0)</f>
        <v>0</v>
      </c>
      <c r="L276" s="9">
        <f>IFERROR(__xludf.DUMMYFUNCTION("""COMPUTED_VALUE"""),0.0)</f>
        <v>0</v>
      </c>
      <c r="M276" s="9">
        <f>IFERROR(__xludf.DUMMYFUNCTION("""COMPUTED_VALUE"""),15.0)</f>
        <v>15</v>
      </c>
      <c r="N276" s="9">
        <f>IFERROR(__xludf.DUMMYFUNCTION("""COMPUTED_VALUE"""),11.0)</f>
        <v>11</v>
      </c>
      <c r="O276" s="9">
        <f>IFERROR(__xludf.DUMMYFUNCTION("""COMPUTED_VALUE"""),0.0)</f>
        <v>0</v>
      </c>
      <c r="P276" s="9">
        <f>IFERROR(__xludf.DUMMYFUNCTION("""COMPUTED_VALUE"""),6.0)</f>
        <v>6</v>
      </c>
      <c r="Q276" s="9">
        <f>IFERROR(__xludf.DUMMYFUNCTION("""COMPUTED_VALUE"""),6.0)</f>
        <v>6</v>
      </c>
      <c r="R276" s="9">
        <f>IFERROR(__xludf.DUMMYFUNCTION("""COMPUTED_VALUE"""),6.0)</f>
        <v>6</v>
      </c>
      <c r="S276" s="9">
        <f>IFERROR(__xludf.DUMMYFUNCTION("""COMPUTED_VALUE"""),8.0)</f>
        <v>8</v>
      </c>
      <c r="T276" s="9">
        <f>IFERROR(__xludf.DUMMYFUNCTION("""COMPUTED_VALUE"""),1.0)</f>
        <v>1</v>
      </c>
      <c r="U276" s="9">
        <f>IFERROR(__xludf.DUMMYFUNCTION("""COMPUTED_VALUE"""),0.0)</f>
        <v>0</v>
      </c>
      <c r="V276" s="9">
        <f>IFERROR(__xludf.DUMMYFUNCTION("""COMPUTED_VALUE"""),12.0)</f>
        <v>12</v>
      </c>
      <c r="W276" s="9">
        <f>IFERROR(__xludf.DUMMYFUNCTION("""COMPUTED_VALUE"""),1.0)</f>
        <v>1</v>
      </c>
      <c r="X276" s="9">
        <f>IFERROR(__xludf.DUMMYFUNCTION("""COMPUTED_VALUE"""),7.0)</f>
        <v>7</v>
      </c>
      <c r="Y276" s="9">
        <f>IFERROR(__xludf.DUMMYFUNCTION("""COMPUTED_VALUE"""),15.0)</f>
        <v>15</v>
      </c>
      <c r="Z276" s="9">
        <f>IFERROR(__xludf.DUMMYFUNCTION("""COMPUTED_VALUE"""),2.0)</f>
        <v>2</v>
      </c>
      <c r="AA276" s="9">
        <f>IFERROR(__xludf.DUMMYFUNCTION("""COMPUTED_VALUE"""),0.0)</f>
        <v>0</v>
      </c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  <c r="TB276" s="9"/>
      <c r="TC276" s="9"/>
      <c r="TD276" s="9"/>
      <c r="TE276" s="9"/>
      <c r="TF276" s="9"/>
      <c r="TG276" s="9"/>
      <c r="TH276" s="9"/>
      <c r="TI276" s="9"/>
      <c r="TJ276" s="9"/>
      <c r="TK276" s="9"/>
      <c r="TL276" s="9"/>
      <c r="TM276" s="9"/>
      <c r="TN276" s="9"/>
      <c r="TO276" s="9"/>
      <c r="TP276" s="9"/>
      <c r="TQ276" s="9"/>
      <c r="TR276" s="9"/>
      <c r="TS276" s="9"/>
      <c r="TT276" s="9"/>
      <c r="TU276" s="9"/>
      <c r="TV276" s="9"/>
      <c r="TW276" s="9"/>
      <c r="TX276" s="9"/>
      <c r="TY276" s="9"/>
      <c r="TZ276" s="9"/>
      <c r="UA276" s="9"/>
      <c r="UB276" s="9"/>
      <c r="UC276" s="9"/>
      <c r="UD276" s="9"/>
      <c r="UE276" s="9"/>
      <c r="UF276" s="9"/>
      <c r="UG276" s="9"/>
      <c r="UH276" s="9"/>
      <c r="UI276" s="9"/>
      <c r="UJ276" s="9"/>
    </row>
    <row r="277">
      <c r="A277" s="8">
        <f>IFERROR(__xludf.DUMMYFUNCTION("""COMPUTED_VALUE"""),45395.0)</f>
        <v>45395</v>
      </c>
      <c r="B277" s="9">
        <f>IFERROR(__xludf.DUMMYFUNCTION("""COMPUTED_VALUE"""),3.0)</f>
        <v>3</v>
      </c>
      <c r="C277" s="9">
        <f>IFERROR(__xludf.DUMMYFUNCTION("""COMPUTED_VALUE"""),44.0)</f>
        <v>44</v>
      </c>
      <c r="D277" s="9">
        <f>IFERROR(__xludf.DUMMYFUNCTION("""COMPUTED_VALUE"""),15.0)</f>
        <v>15</v>
      </c>
      <c r="E277" s="9">
        <f>IFERROR(__xludf.DUMMYFUNCTION("""COMPUTED_VALUE"""),537.0)</f>
        <v>537</v>
      </c>
      <c r="F277" s="9">
        <f>IFERROR(__xludf.DUMMYFUNCTION("""COMPUTED_VALUE"""),179.0)</f>
        <v>179</v>
      </c>
      <c r="G277" s="9">
        <f>IFERROR(__xludf.DUMMYFUNCTION("""COMPUTED_VALUE"""),0.0)</f>
        <v>0</v>
      </c>
      <c r="H277" s="9"/>
      <c r="I277" s="9">
        <f>IFERROR(__xludf.DUMMYFUNCTION("""COMPUTED_VALUE"""),3.0)</f>
        <v>3</v>
      </c>
      <c r="J277" s="9">
        <f>IFERROR(__xludf.DUMMYFUNCTION("""COMPUTED_VALUE"""),0.0)</f>
        <v>0</v>
      </c>
      <c r="K277" s="9">
        <f>IFERROR(__xludf.DUMMYFUNCTION("""COMPUTED_VALUE"""),0.0)</f>
        <v>0</v>
      </c>
      <c r="L277" s="9">
        <f>IFERROR(__xludf.DUMMYFUNCTION("""COMPUTED_VALUE"""),0.0)</f>
        <v>0</v>
      </c>
      <c r="M277" s="9">
        <f>IFERROR(__xludf.DUMMYFUNCTION("""COMPUTED_VALUE"""),3.0)</f>
        <v>3</v>
      </c>
      <c r="N277" s="9">
        <f>IFERROR(__xludf.DUMMYFUNCTION("""COMPUTED_VALUE"""),2.0)</f>
        <v>2</v>
      </c>
      <c r="O277" s="9">
        <f>IFERROR(__xludf.DUMMYFUNCTION("""COMPUTED_VALUE"""),0.0)</f>
        <v>0</v>
      </c>
      <c r="P277" s="9">
        <f>IFERROR(__xludf.DUMMYFUNCTION("""COMPUTED_VALUE"""),1.0)</f>
        <v>1</v>
      </c>
      <c r="Q277" s="9">
        <f>IFERROR(__xludf.DUMMYFUNCTION("""COMPUTED_VALUE"""),2.0)</f>
        <v>2</v>
      </c>
      <c r="R277" s="9">
        <f>IFERROR(__xludf.DUMMYFUNCTION("""COMPUTED_VALUE"""),0.0)</f>
        <v>0</v>
      </c>
      <c r="S277" s="9">
        <f>IFERROR(__xludf.DUMMYFUNCTION("""COMPUTED_VALUE"""),2.0)</f>
        <v>2</v>
      </c>
      <c r="T277" s="9">
        <f>IFERROR(__xludf.DUMMYFUNCTION("""COMPUTED_VALUE"""),0.0)</f>
        <v>0</v>
      </c>
      <c r="U277" s="9">
        <f>IFERROR(__xludf.DUMMYFUNCTION("""COMPUTED_VALUE"""),0.0)</f>
        <v>0</v>
      </c>
      <c r="V277" s="9">
        <f>IFERROR(__xludf.DUMMYFUNCTION("""COMPUTED_VALUE"""),2.0)</f>
        <v>2</v>
      </c>
      <c r="W277" s="9">
        <f>IFERROR(__xludf.DUMMYFUNCTION("""COMPUTED_VALUE"""),0.0)</f>
        <v>0</v>
      </c>
      <c r="X277" s="9">
        <f>IFERROR(__xludf.DUMMYFUNCTION("""COMPUTED_VALUE"""),1.0)</f>
        <v>1</v>
      </c>
      <c r="Y277" s="9">
        <f>IFERROR(__xludf.DUMMYFUNCTION("""COMPUTED_VALUE"""),2.0)</f>
        <v>2</v>
      </c>
      <c r="Z277" s="9">
        <f>IFERROR(__xludf.DUMMYFUNCTION("""COMPUTED_VALUE"""),0.0)</f>
        <v>0</v>
      </c>
      <c r="AA277" s="9">
        <f>IFERROR(__xludf.DUMMYFUNCTION("""COMPUTED_VALUE"""),0.0)</f>
        <v>0</v>
      </c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  <c r="TB277" s="9"/>
      <c r="TC277" s="9"/>
      <c r="TD277" s="9"/>
      <c r="TE277" s="9"/>
      <c r="TF277" s="9"/>
      <c r="TG277" s="9"/>
      <c r="TH277" s="9"/>
      <c r="TI277" s="9"/>
      <c r="TJ277" s="9"/>
      <c r="TK277" s="9"/>
      <c r="TL277" s="9"/>
      <c r="TM277" s="9"/>
      <c r="TN277" s="9"/>
      <c r="TO277" s="9"/>
      <c r="TP277" s="9"/>
      <c r="TQ277" s="9"/>
      <c r="TR277" s="9"/>
      <c r="TS277" s="9"/>
      <c r="TT277" s="9"/>
      <c r="TU277" s="9"/>
      <c r="TV277" s="9"/>
      <c r="TW277" s="9"/>
      <c r="TX277" s="9"/>
      <c r="TY277" s="9"/>
      <c r="TZ277" s="9"/>
      <c r="UA277" s="9"/>
      <c r="UB277" s="9"/>
      <c r="UC277" s="9"/>
      <c r="UD277" s="9"/>
      <c r="UE277" s="9"/>
      <c r="UF277" s="9"/>
      <c r="UG277" s="9"/>
      <c r="UH277" s="9"/>
      <c r="UI277" s="9"/>
      <c r="UJ277" s="9"/>
    </row>
    <row r="278">
      <c r="A278" s="8">
        <f>IFERROR(__xludf.DUMMYFUNCTION("""COMPUTED_VALUE"""),45396.0)</f>
        <v>45396</v>
      </c>
      <c r="B278" s="9">
        <f>IFERROR(__xludf.DUMMYFUNCTION("""COMPUTED_VALUE"""),0.0)</f>
        <v>0</v>
      </c>
      <c r="C278" s="9">
        <f>IFERROR(__xludf.DUMMYFUNCTION("""COMPUTED_VALUE"""),0.0)</f>
        <v>0</v>
      </c>
      <c r="D278" s="9">
        <f>IFERROR(__xludf.DUMMYFUNCTION("""COMPUTED_VALUE"""),0.0)</f>
        <v>0</v>
      </c>
      <c r="E278" s="9">
        <f>IFERROR(__xludf.DUMMYFUNCTION("""COMPUTED_VALUE"""),0.0)</f>
        <v>0</v>
      </c>
      <c r="F278" s="9">
        <f>IFERROR(__xludf.DUMMYFUNCTION("""COMPUTED_VALUE"""),0.0)</f>
        <v>0</v>
      </c>
      <c r="G278" s="9">
        <f>IFERROR(__xludf.DUMMYFUNCTION("""COMPUTED_VALUE"""),0.0)</f>
        <v>0</v>
      </c>
      <c r="H278" s="9"/>
      <c r="I278" s="9">
        <f>IFERROR(__xludf.DUMMYFUNCTION("""COMPUTED_VALUE"""),0.0)</f>
        <v>0</v>
      </c>
      <c r="J278" s="9">
        <f>IFERROR(__xludf.DUMMYFUNCTION("""COMPUTED_VALUE"""),0.0)</f>
        <v>0</v>
      </c>
      <c r="K278" s="9">
        <f>IFERROR(__xludf.DUMMYFUNCTION("""COMPUTED_VALUE"""),0.0)</f>
        <v>0</v>
      </c>
      <c r="L278" s="9">
        <f>IFERROR(__xludf.DUMMYFUNCTION("""COMPUTED_VALUE"""),0.0)</f>
        <v>0</v>
      </c>
      <c r="M278" s="9">
        <f>IFERROR(__xludf.DUMMYFUNCTION("""COMPUTED_VALUE"""),0.0)</f>
        <v>0</v>
      </c>
      <c r="N278" s="9">
        <f>IFERROR(__xludf.DUMMYFUNCTION("""COMPUTED_VALUE"""),0.0)</f>
        <v>0</v>
      </c>
      <c r="O278" s="9">
        <f>IFERROR(__xludf.DUMMYFUNCTION("""COMPUTED_VALUE"""),0.0)</f>
        <v>0</v>
      </c>
      <c r="P278" s="9">
        <f>IFERROR(__xludf.DUMMYFUNCTION("""COMPUTED_VALUE"""),0.0)</f>
        <v>0</v>
      </c>
      <c r="Q278" s="9">
        <f>IFERROR(__xludf.DUMMYFUNCTION("""COMPUTED_VALUE"""),0.0)</f>
        <v>0</v>
      </c>
      <c r="R278" s="9">
        <f>IFERROR(__xludf.DUMMYFUNCTION("""COMPUTED_VALUE"""),0.0)</f>
        <v>0</v>
      </c>
      <c r="S278" s="9">
        <f>IFERROR(__xludf.DUMMYFUNCTION("""COMPUTED_VALUE"""),0.0)</f>
        <v>0</v>
      </c>
      <c r="T278" s="9">
        <f>IFERROR(__xludf.DUMMYFUNCTION("""COMPUTED_VALUE"""),0.0)</f>
        <v>0</v>
      </c>
      <c r="U278" s="9">
        <f>IFERROR(__xludf.DUMMYFUNCTION("""COMPUTED_VALUE"""),0.0)</f>
        <v>0</v>
      </c>
      <c r="V278" s="9">
        <f>IFERROR(__xludf.DUMMYFUNCTION("""COMPUTED_VALUE"""),0.0)</f>
        <v>0</v>
      </c>
      <c r="W278" s="9">
        <f>IFERROR(__xludf.DUMMYFUNCTION("""COMPUTED_VALUE"""),0.0)</f>
        <v>0</v>
      </c>
      <c r="X278" s="9">
        <f>IFERROR(__xludf.DUMMYFUNCTION("""COMPUTED_VALUE"""),0.0)</f>
        <v>0</v>
      </c>
      <c r="Y278" s="9">
        <f>IFERROR(__xludf.DUMMYFUNCTION("""COMPUTED_VALUE"""),0.0)</f>
        <v>0</v>
      </c>
      <c r="Z278" s="9">
        <f>IFERROR(__xludf.DUMMYFUNCTION("""COMPUTED_VALUE"""),0.0)</f>
        <v>0</v>
      </c>
      <c r="AA278" s="9">
        <f>IFERROR(__xludf.DUMMYFUNCTION("""COMPUTED_VALUE"""),0.0)</f>
        <v>0</v>
      </c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</row>
    <row r="279">
      <c r="A279" s="8">
        <f>IFERROR(__xludf.DUMMYFUNCTION("""COMPUTED_VALUE"""),45397.0)</f>
        <v>45397</v>
      </c>
      <c r="B279" s="9">
        <f>IFERROR(__xludf.DUMMYFUNCTION("""COMPUTED_VALUE"""),10.0)</f>
        <v>10</v>
      </c>
      <c r="C279" s="9">
        <f>IFERROR(__xludf.DUMMYFUNCTION("""COMPUTED_VALUE"""),92.0)</f>
        <v>92</v>
      </c>
      <c r="D279" s="9">
        <f>IFERROR(__xludf.DUMMYFUNCTION("""COMPUTED_VALUE"""),9.0)</f>
        <v>9</v>
      </c>
      <c r="E279" s="9">
        <f>IFERROR(__xludf.DUMMYFUNCTION("""COMPUTED_VALUE"""),1252.0)</f>
        <v>1252</v>
      </c>
      <c r="F279" s="9">
        <f>IFERROR(__xludf.DUMMYFUNCTION("""COMPUTED_VALUE"""),125.0)</f>
        <v>125</v>
      </c>
      <c r="G279" s="9">
        <f>IFERROR(__xludf.DUMMYFUNCTION("""COMPUTED_VALUE"""),0.0)</f>
        <v>0</v>
      </c>
      <c r="H279" s="9"/>
      <c r="I279" s="9">
        <f>IFERROR(__xludf.DUMMYFUNCTION("""COMPUTED_VALUE"""),7.0)</f>
        <v>7</v>
      </c>
      <c r="J279" s="9">
        <f>IFERROR(__xludf.DUMMYFUNCTION("""COMPUTED_VALUE"""),0.0)</f>
        <v>0</v>
      </c>
      <c r="K279" s="9">
        <f>IFERROR(__xludf.DUMMYFUNCTION("""COMPUTED_VALUE"""),1.0)</f>
        <v>1</v>
      </c>
      <c r="L279" s="9">
        <f>IFERROR(__xludf.DUMMYFUNCTION("""COMPUTED_VALUE"""),0.0)</f>
        <v>0</v>
      </c>
      <c r="M279" s="9">
        <f>IFERROR(__xludf.DUMMYFUNCTION("""COMPUTED_VALUE"""),8.0)</f>
        <v>8</v>
      </c>
      <c r="N279" s="9">
        <f>IFERROR(__xludf.DUMMYFUNCTION("""COMPUTED_VALUE"""),8.0)</f>
        <v>8</v>
      </c>
      <c r="O279" s="9">
        <f>IFERROR(__xludf.DUMMYFUNCTION("""COMPUTED_VALUE"""),0.0)</f>
        <v>0</v>
      </c>
      <c r="P279" s="9">
        <f>IFERROR(__xludf.DUMMYFUNCTION("""COMPUTED_VALUE"""),2.0)</f>
        <v>2</v>
      </c>
      <c r="Q279" s="9">
        <f>IFERROR(__xludf.DUMMYFUNCTION("""COMPUTED_VALUE"""),3.0)</f>
        <v>3</v>
      </c>
      <c r="R279" s="9">
        <f>IFERROR(__xludf.DUMMYFUNCTION("""COMPUTED_VALUE"""),2.0)</f>
        <v>2</v>
      </c>
      <c r="S279" s="9">
        <f>IFERROR(__xludf.DUMMYFUNCTION("""COMPUTED_VALUE"""),8.0)</f>
        <v>8</v>
      </c>
      <c r="T279" s="9">
        <f>IFERROR(__xludf.DUMMYFUNCTION("""COMPUTED_VALUE"""),1.0)</f>
        <v>1</v>
      </c>
      <c r="U279" s="9">
        <f>IFERROR(__xludf.DUMMYFUNCTION("""COMPUTED_VALUE"""),0.0)</f>
        <v>0</v>
      </c>
      <c r="V279" s="9">
        <f>IFERROR(__xludf.DUMMYFUNCTION("""COMPUTED_VALUE"""),5.0)</f>
        <v>5</v>
      </c>
      <c r="W279" s="9">
        <f>IFERROR(__xludf.DUMMYFUNCTION("""COMPUTED_VALUE"""),1.0)</f>
        <v>1</v>
      </c>
      <c r="X279" s="9">
        <f>IFERROR(__xludf.DUMMYFUNCTION("""COMPUTED_VALUE"""),8.0)</f>
        <v>8</v>
      </c>
      <c r="Y279" s="9">
        <f>IFERROR(__xludf.DUMMYFUNCTION("""COMPUTED_VALUE"""),8.0)</f>
        <v>8</v>
      </c>
      <c r="Z279" s="9">
        <f>IFERROR(__xludf.DUMMYFUNCTION("""COMPUTED_VALUE"""),2.0)</f>
        <v>2</v>
      </c>
      <c r="AA279" s="9">
        <f>IFERROR(__xludf.DUMMYFUNCTION("""COMPUTED_VALUE"""),0.0)</f>
        <v>0</v>
      </c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</row>
    <row r="280">
      <c r="A280" s="8">
        <f>IFERROR(__xludf.DUMMYFUNCTION("""COMPUTED_VALUE"""),45398.0)</f>
        <v>45398</v>
      </c>
      <c r="B280" s="9">
        <f>IFERROR(__xludf.DUMMYFUNCTION("""COMPUTED_VALUE"""),7.0)</f>
        <v>7</v>
      </c>
      <c r="C280" s="9">
        <f>IFERROR(__xludf.DUMMYFUNCTION("""COMPUTED_VALUE"""),42.0)</f>
        <v>42</v>
      </c>
      <c r="D280" s="9">
        <f>IFERROR(__xludf.DUMMYFUNCTION("""COMPUTED_VALUE"""),6.0)</f>
        <v>6</v>
      </c>
      <c r="E280" s="9">
        <f>IFERROR(__xludf.DUMMYFUNCTION("""COMPUTED_VALUE"""),690.0)</f>
        <v>690</v>
      </c>
      <c r="F280" s="9">
        <f>IFERROR(__xludf.DUMMYFUNCTION("""COMPUTED_VALUE"""),99.0)</f>
        <v>99</v>
      </c>
      <c r="G280" s="9">
        <f>IFERROR(__xludf.DUMMYFUNCTION("""COMPUTED_VALUE"""),0.0)</f>
        <v>0</v>
      </c>
      <c r="H280" s="9"/>
      <c r="I280" s="9">
        <f>IFERROR(__xludf.DUMMYFUNCTION("""COMPUTED_VALUE"""),7.0)</f>
        <v>7</v>
      </c>
      <c r="J280" s="9">
        <f>IFERROR(__xludf.DUMMYFUNCTION("""COMPUTED_VALUE"""),0.0)</f>
        <v>0</v>
      </c>
      <c r="K280" s="9">
        <f>IFERROR(__xludf.DUMMYFUNCTION("""COMPUTED_VALUE"""),0.0)</f>
        <v>0</v>
      </c>
      <c r="L280" s="9">
        <f>IFERROR(__xludf.DUMMYFUNCTION("""COMPUTED_VALUE"""),0.0)</f>
        <v>0</v>
      </c>
      <c r="M280" s="9">
        <f>IFERROR(__xludf.DUMMYFUNCTION("""COMPUTED_VALUE"""),7.0)</f>
        <v>7</v>
      </c>
      <c r="N280" s="9">
        <f>IFERROR(__xludf.DUMMYFUNCTION("""COMPUTED_VALUE"""),5.0)</f>
        <v>5</v>
      </c>
      <c r="O280" s="9">
        <f>IFERROR(__xludf.DUMMYFUNCTION("""COMPUTED_VALUE"""),0.0)</f>
        <v>0</v>
      </c>
      <c r="P280" s="9">
        <f>IFERROR(__xludf.DUMMYFUNCTION("""COMPUTED_VALUE"""),2.0)</f>
        <v>2</v>
      </c>
      <c r="Q280" s="9">
        <f>IFERROR(__xludf.DUMMYFUNCTION("""COMPUTED_VALUE"""),1.0)</f>
        <v>1</v>
      </c>
      <c r="R280" s="9">
        <f>IFERROR(__xludf.DUMMYFUNCTION("""COMPUTED_VALUE"""),2.0)</f>
        <v>2</v>
      </c>
      <c r="S280" s="9">
        <f>IFERROR(__xludf.DUMMYFUNCTION("""COMPUTED_VALUE"""),0.0)</f>
        <v>0</v>
      </c>
      <c r="T280" s="9">
        <f>IFERROR(__xludf.DUMMYFUNCTION("""COMPUTED_VALUE"""),2.0)</f>
        <v>2</v>
      </c>
      <c r="U280" s="9">
        <f>IFERROR(__xludf.DUMMYFUNCTION("""COMPUTED_VALUE"""),0.0)</f>
        <v>0</v>
      </c>
      <c r="V280" s="9">
        <f>IFERROR(__xludf.DUMMYFUNCTION("""COMPUTED_VALUE"""),3.0)</f>
        <v>3</v>
      </c>
      <c r="W280" s="9">
        <f>IFERROR(__xludf.DUMMYFUNCTION("""COMPUTED_VALUE"""),0.0)</f>
        <v>0</v>
      </c>
      <c r="X280" s="9">
        <f>IFERROR(__xludf.DUMMYFUNCTION("""COMPUTED_VALUE"""),1.0)</f>
        <v>1</v>
      </c>
      <c r="Y280" s="9">
        <f>IFERROR(__xludf.DUMMYFUNCTION("""COMPUTED_VALUE"""),6.0)</f>
        <v>6</v>
      </c>
      <c r="Z280" s="9">
        <f>IFERROR(__xludf.DUMMYFUNCTION("""COMPUTED_VALUE"""),2.0)</f>
        <v>2</v>
      </c>
      <c r="AA280" s="9">
        <f>IFERROR(__xludf.DUMMYFUNCTION("""COMPUTED_VALUE"""),0.0)</f>
        <v>0</v>
      </c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</row>
    <row r="281">
      <c r="A281" s="8">
        <f>IFERROR(__xludf.DUMMYFUNCTION("""COMPUTED_VALUE"""),45399.0)</f>
        <v>45399</v>
      </c>
      <c r="B281" s="9">
        <f>IFERROR(__xludf.DUMMYFUNCTION("""COMPUTED_VALUE"""),9.0)</f>
        <v>9</v>
      </c>
      <c r="C281" s="9">
        <f>IFERROR(__xludf.DUMMYFUNCTION("""COMPUTED_VALUE"""),90.0)</f>
        <v>90</v>
      </c>
      <c r="D281" s="9">
        <f>IFERROR(__xludf.DUMMYFUNCTION("""COMPUTED_VALUE"""),10.0)</f>
        <v>10</v>
      </c>
      <c r="E281" s="9">
        <f>IFERROR(__xludf.DUMMYFUNCTION("""COMPUTED_VALUE"""),1625.0)</f>
        <v>1625</v>
      </c>
      <c r="F281" s="9">
        <f>IFERROR(__xludf.DUMMYFUNCTION("""COMPUTED_VALUE"""),181.0)</f>
        <v>181</v>
      </c>
      <c r="G281" s="9">
        <f>IFERROR(__xludf.DUMMYFUNCTION("""COMPUTED_VALUE"""),0.0)</f>
        <v>0</v>
      </c>
      <c r="H281" s="9"/>
      <c r="I281" s="9">
        <f>IFERROR(__xludf.DUMMYFUNCTION("""COMPUTED_VALUE"""),7.0)</f>
        <v>7</v>
      </c>
      <c r="J281" s="9">
        <f>IFERROR(__xludf.DUMMYFUNCTION("""COMPUTED_VALUE"""),1.0)</f>
        <v>1</v>
      </c>
      <c r="K281" s="9">
        <f>IFERROR(__xludf.DUMMYFUNCTION("""COMPUTED_VALUE"""),0.0)</f>
        <v>0</v>
      </c>
      <c r="L281" s="9">
        <f>IFERROR(__xludf.DUMMYFUNCTION("""COMPUTED_VALUE"""),0.0)</f>
        <v>0</v>
      </c>
      <c r="M281" s="9">
        <f>IFERROR(__xludf.DUMMYFUNCTION("""COMPUTED_VALUE"""),8.0)</f>
        <v>8</v>
      </c>
      <c r="N281" s="9">
        <f>IFERROR(__xludf.DUMMYFUNCTION("""COMPUTED_VALUE"""),4.0)</f>
        <v>4</v>
      </c>
      <c r="O281" s="9">
        <f>IFERROR(__xludf.DUMMYFUNCTION("""COMPUTED_VALUE"""),0.0)</f>
        <v>0</v>
      </c>
      <c r="P281" s="9">
        <f>IFERROR(__xludf.DUMMYFUNCTION("""COMPUTED_VALUE"""),5.0)</f>
        <v>5</v>
      </c>
      <c r="Q281" s="9">
        <f>IFERROR(__xludf.DUMMYFUNCTION("""COMPUTED_VALUE"""),1.0)</f>
        <v>1</v>
      </c>
      <c r="R281" s="9">
        <f>IFERROR(__xludf.DUMMYFUNCTION("""COMPUTED_VALUE"""),5.0)</f>
        <v>5</v>
      </c>
      <c r="S281" s="9">
        <f>IFERROR(__xludf.DUMMYFUNCTION("""COMPUTED_VALUE"""),6.0)</f>
        <v>6</v>
      </c>
      <c r="T281" s="9">
        <f>IFERROR(__xludf.DUMMYFUNCTION("""COMPUTED_VALUE"""),1.0)</f>
        <v>1</v>
      </c>
      <c r="U281" s="9">
        <f>IFERROR(__xludf.DUMMYFUNCTION("""COMPUTED_VALUE"""),0.0)</f>
        <v>0</v>
      </c>
      <c r="V281" s="9">
        <f>IFERROR(__xludf.DUMMYFUNCTION("""COMPUTED_VALUE"""),6.0)</f>
        <v>6</v>
      </c>
      <c r="W281" s="9">
        <f>IFERROR(__xludf.DUMMYFUNCTION("""COMPUTED_VALUE"""),0.0)</f>
        <v>0</v>
      </c>
      <c r="X281" s="9">
        <f>IFERROR(__xludf.DUMMYFUNCTION("""COMPUTED_VALUE"""),8.0)</f>
        <v>8</v>
      </c>
      <c r="Y281" s="9">
        <f>IFERROR(__xludf.DUMMYFUNCTION("""COMPUTED_VALUE"""),8.0)</f>
        <v>8</v>
      </c>
      <c r="Z281" s="9">
        <f>IFERROR(__xludf.DUMMYFUNCTION("""COMPUTED_VALUE"""),1.0)</f>
        <v>1</v>
      </c>
      <c r="AA281" s="9">
        <f>IFERROR(__xludf.DUMMYFUNCTION("""COMPUTED_VALUE"""),0.0)</f>
        <v>0</v>
      </c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</row>
    <row r="282">
      <c r="A282" s="8">
        <f>IFERROR(__xludf.DUMMYFUNCTION("""COMPUTED_VALUE"""),45400.0)</f>
        <v>45400</v>
      </c>
      <c r="B282" s="9">
        <f>IFERROR(__xludf.DUMMYFUNCTION("""COMPUTED_VALUE"""),8.0)</f>
        <v>8</v>
      </c>
      <c r="C282" s="9">
        <f>IFERROR(__xludf.DUMMYFUNCTION("""COMPUTED_VALUE"""),48.0)</f>
        <v>48</v>
      </c>
      <c r="D282" s="9">
        <f>IFERROR(__xludf.DUMMYFUNCTION("""COMPUTED_VALUE"""),6.0)</f>
        <v>6</v>
      </c>
      <c r="E282" s="9">
        <f>IFERROR(__xludf.DUMMYFUNCTION("""COMPUTED_VALUE"""),689.0)</f>
        <v>689</v>
      </c>
      <c r="F282" s="9">
        <f>IFERROR(__xludf.DUMMYFUNCTION("""COMPUTED_VALUE"""),86.0)</f>
        <v>86</v>
      </c>
      <c r="G282" s="9">
        <f>IFERROR(__xludf.DUMMYFUNCTION("""COMPUTED_VALUE"""),0.0)</f>
        <v>0</v>
      </c>
      <c r="H282" s="9"/>
      <c r="I282" s="9">
        <f>IFERROR(__xludf.DUMMYFUNCTION("""COMPUTED_VALUE"""),6.0)</f>
        <v>6</v>
      </c>
      <c r="J282" s="9">
        <f>IFERROR(__xludf.DUMMYFUNCTION("""COMPUTED_VALUE"""),1.0)</f>
        <v>1</v>
      </c>
      <c r="K282" s="9">
        <f>IFERROR(__xludf.DUMMYFUNCTION("""COMPUTED_VALUE"""),0.0)</f>
        <v>0</v>
      </c>
      <c r="L282" s="9">
        <f>IFERROR(__xludf.DUMMYFUNCTION("""COMPUTED_VALUE"""),0.0)</f>
        <v>0</v>
      </c>
      <c r="M282" s="9">
        <f>IFERROR(__xludf.DUMMYFUNCTION("""COMPUTED_VALUE"""),7.0)</f>
        <v>7</v>
      </c>
      <c r="N282" s="9">
        <f>IFERROR(__xludf.DUMMYFUNCTION("""COMPUTED_VALUE"""),5.0)</f>
        <v>5</v>
      </c>
      <c r="O282" s="9">
        <f>IFERROR(__xludf.DUMMYFUNCTION("""COMPUTED_VALUE"""),0.0)</f>
        <v>0</v>
      </c>
      <c r="P282" s="9">
        <f>IFERROR(__xludf.DUMMYFUNCTION("""COMPUTED_VALUE"""),3.0)</f>
        <v>3</v>
      </c>
      <c r="Q282" s="9">
        <f>IFERROR(__xludf.DUMMYFUNCTION("""COMPUTED_VALUE"""),3.0)</f>
        <v>3</v>
      </c>
      <c r="R282" s="9">
        <f>IFERROR(__xludf.DUMMYFUNCTION("""COMPUTED_VALUE"""),2.0)</f>
        <v>2</v>
      </c>
      <c r="S282" s="9">
        <f>IFERROR(__xludf.DUMMYFUNCTION("""COMPUTED_VALUE"""),1.0)</f>
        <v>1</v>
      </c>
      <c r="T282" s="9">
        <f>IFERROR(__xludf.DUMMYFUNCTION("""COMPUTED_VALUE"""),1.0)</f>
        <v>1</v>
      </c>
      <c r="U282" s="9">
        <f>IFERROR(__xludf.DUMMYFUNCTION("""COMPUTED_VALUE"""),0.0)</f>
        <v>0</v>
      </c>
      <c r="V282" s="9">
        <f>IFERROR(__xludf.DUMMYFUNCTION("""COMPUTED_VALUE"""),5.0)</f>
        <v>5</v>
      </c>
      <c r="W282" s="9">
        <f>IFERROR(__xludf.DUMMYFUNCTION("""COMPUTED_VALUE"""),1.0)</f>
        <v>1</v>
      </c>
      <c r="X282" s="9">
        <f>IFERROR(__xludf.DUMMYFUNCTION("""COMPUTED_VALUE"""),2.0)</f>
        <v>2</v>
      </c>
      <c r="Y282" s="9">
        <f>IFERROR(__xludf.DUMMYFUNCTION("""COMPUTED_VALUE"""),6.0)</f>
        <v>6</v>
      </c>
      <c r="Z282" s="9">
        <f>IFERROR(__xludf.DUMMYFUNCTION("""COMPUTED_VALUE"""),2.0)</f>
        <v>2</v>
      </c>
      <c r="AA282" s="9">
        <f>IFERROR(__xludf.DUMMYFUNCTION("""COMPUTED_VALUE"""),0.0)</f>
        <v>0</v>
      </c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</row>
    <row r="283">
      <c r="A283" s="8">
        <f>IFERROR(__xludf.DUMMYFUNCTION("""COMPUTED_VALUE"""),45401.0)</f>
        <v>45401</v>
      </c>
      <c r="B283" s="9">
        <f>IFERROR(__xludf.DUMMYFUNCTION("""COMPUTED_VALUE"""),8.0)</f>
        <v>8</v>
      </c>
      <c r="C283" s="9">
        <f>IFERROR(__xludf.DUMMYFUNCTION("""COMPUTED_VALUE"""),94.0)</f>
        <v>94</v>
      </c>
      <c r="D283" s="9">
        <f>IFERROR(__xludf.DUMMYFUNCTION("""COMPUTED_VALUE"""),12.0)</f>
        <v>12</v>
      </c>
      <c r="E283" s="9">
        <f>IFERROR(__xludf.DUMMYFUNCTION("""COMPUTED_VALUE"""),1581.0)</f>
        <v>1581</v>
      </c>
      <c r="F283" s="9">
        <f>IFERROR(__xludf.DUMMYFUNCTION("""COMPUTED_VALUE"""),198.0)</f>
        <v>198</v>
      </c>
      <c r="G283" s="9">
        <f>IFERROR(__xludf.DUMMYFUNCTION("""COMPUTED_VALUE"""),0.0)</f>
        <v>0</v>
      </c>
      <c r="H283" s="9"/>
      <c r="I283" s="9">
        <f>IFERROR(__xludf.DUMMYFUNCTION("""COMPUTED_VALUE"""),4.0)</f>
        <v>4</v>
      </c>
      <c r="J283" s="9">
        <f>IFERROR(__xludf.DUMMYFUNCTION("""COMPUTED_VALUE"""),2.0)</f>
        <v>2</v>
      </c>
      <c r="K283" s="9">
        <f>IFERROR(__xludf.DUMMYFUNCTION("""COMPUTED_VALUE"""),0.0)</f>
        <v>0</v>
      </c>
      <c r="L283" s="9">
        <f>IFERROR(__xludf.DUMMYFUNCTION("""COMPUTED_VALUE"""),0.0)</f>
        <v>0</v>
      </c>
      <c r="M283" s="9">
        <f>IFERROR(__xludf.DUMMYFUNCTION("""COMPUTED_VALUE"""),6.0)</f>
        <v>6</v>
      </c>
      <c r="N283" s="9">
        <f>IFERROR(__xludf.DUMMYFUNCTION("""COMPUTED_VALUE"""),4.0)</f>
        <v>4</v>
      </c>
      <c r="O283" s="9">
        <f>IFERROR(__xludf.DUMMYFUNCTION("""COMPUTED_VALUE"""),0.0)</f>
        <v>0</v>
      </c>
      <c r="P283" s="9">
        <f>IFERROR(__xludf.DUMMYFUNCTION("""COMPUTED_VALUE"""),4.0)</f>
        <v>4</v>
      </c>
      <c r="Q283" s="9">
        <f>IFERROR(__xludf.DUMMYFUNCTION("""COMPUTED_VALUE"""),3.0)</f>
        <v>3</v>
      </c>
      <c r="R283" s="9">
        <f>IFERROR(__xludf.DUMMYFUNCTION("""COMPUTED_VALUE"""),4.0)</f>
        <v>4</v>
      </c>
      <c r="S283" s="9">
        <f>IFERROR(__xludf.DUMMYFUNCTION("""COMPUTED_VALUE"""),0.0)</f>
        <v>0</v>
      </c>
      <c r="T283" s="9">
        <f>IFERROR(__xludf.DUMMYFUNCTION("""COMPUTED_VALUE"""),0.0)</f>
        <v>0</v>
      </c>
      <c r="U283" s="9">
        <f>IFERROR(__xludf.DUMMYFUNCTION("""COMPUTED_VALUE"""),0.0)</f>
        <v>0</v>
      </c>
      <c r="V283" s="9">
        <f>IFERROR(__xludf.DUMMYFUNCTION("""COMPUTED_VALUE"""),7.0)</f>
        <v>7</v>
      </c>
      <c r="W283" s="9">
        <f>IFERROR(__xludf.DUMMYFUNCTION("""COMPUTED_VALUE"""),0.0)</f>
        <v>0</v>
      </c>
      <c r="X283" s="9">
        <f>IFERROR(__xludf.DUMMYFUNCTION("""COMPUTED_VALUE"""),1.0)</f>
        <v>1</v>
      </c>
      <c r="Y283" s="9">
        <f>IFERROR(__xludf.DUMMYFUNCTION("""COMPUTED_VALUE"""),8.0)</f>
        <v>8</v>
      </c>
      <c r="Z283" s="9">
        <f>IFERROR(__xludf.DUMMYFUNCTION("""COMPUTED_VALUE"""),0.0)</f>
        <v>0</v>
      </c>
      <c r="AA283" s="9">
        <f>IFERROR(__xludf.DUMMYFUNCTION("""COMPUTED_VALUE"""),0.0)</f>
        <v>0</v>
      </c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</row>
    <row r="284">
      <c r="A284" s="8">
        <f>IFERROR(__xludf.DUMMYFUNCTION("""COMPUTED_VALUE"""),45402.0)</f>
        <v>45402</v>
      </c>
      <c r="B284" s="9">
        <f>IFERROR(__xludf.DUMMYFUNCTION("""COMPUTED_VALUE"""),2.0)</f>
        <v>2</v>
      </c>
      <c r="C284" s="9">
        <f>IFERROR(__xludf.DUMMYFUNCTION("""COMPUTED_VALUE"""),19.0)</f>
        <v>19</v>
      </c>
      <c r="D284" s="9">
        <f>IFERROR(__xludf.DUMMYFUNCTION("""COMPUTED_VALUE"""),10.0)</f>
        <v>10</v>
      </c>
      <c r="E284" s="9">
        <f>IFERROR(__xludf.DUMMYFUNCTION("""COMPUTED_VALUE"""),264.0)</f>
        <v>264</v>
      </c>
      <c r="F284" s="9">
        <f>IFERROR(__xludf.DUMMYFUNCTION("""COMPUTED_VALUE"""),132.0)</f>
        <v>132</v>
      </c>
      <c r="G284" s="9">
        <f>IFERROR(__xludf.DUMMYFUNCTION("""COMPUTED_VALUE"""),0.0)</f>
        <v>0</v>
      </c>
      <c r="H284" s="9"/>
      <c r="I284" s="9">
        <f>IFERROR(__xludf.DUMMYFUNCTION("""COMPUTED_VALUE"""),2.0)</f>
        <v>2</v>
      </c>
      <c r="J284" s="9">
        <f>IFERROR(__xludf.DUMMYFUNCTION("""COMPUTED_VALUE"""),0.0)</f>
        <v>0</v>
      </c>
      <c r="K284" s="9">
        <f>IFERROR(__xludf.DUMMYFUNCTION("""COMPUTED_VALUE"""),0.0)</f>
        <v>0</v>
      </c>
      <c r="L284" s="9">
        <f>IFERROR(__xludf.DUMMYFUNCTION("""COMPUTED_VALUE"""),0.0)</f>
        <v>0</v>
      </c>
      <c r="M284" s="9">
        <f>IFERROR(__xludf.DUMMYFUNCTION("""COMPUTED_VALUE"""),2.0)</f>
        <v>2</v>
      </c>
      <c r="N284" s="9">
        <f>IFERROR(__xludf.DUMMYFUNCTION("""COMPUTED_VALUE"""),1.0)</f>
        <v>1</v>
      </c>
      <c r="O284" s="9">
        <f>IFERROR(__xludf.DUMMYFUNCTION("""COMPUTED_VALUE"""),0.0)</f>
        <v>0</v>
      </c>
      <c r="P284" s="9">
        <f>IFERROR(__xludf.DUMMYFUNCTION("""COMPUTED_VALUE"""),1.0)</f>
        <v>1</v>
      </c>
      <c r="Q284" s="9">
        <f>IFERROR(__xludf.DUMMYFUNCTION("""COMPUTED_VALUE"""),0.0)</f>
        <v>0</v>
      </c>
      <c r="R284" s="9">
        <f>IFERROR(__xludf.DUMMYFUNCTION("""COMPUTED_VALUE"""),1.0)</f>
        <v>1</v>
      </c>
      <c r="S284" s="9">
        <f>IFERROR(__xludf.DUMMYFUNCTION("""COMPUTED_VALUE"""),0.0)</f>
        <v>0</v>
      </c>
      <c r="T284" s="9">
        <f>IFERROR(__xludf.DUMMYFUNCTION("""COMPUTED_VALUE"""),0.0)</f>
        <v>0</v>
      </c>
      <c r="U284" s="9">
        <f>IFERROR(__xludf.DUMMYFUNCTION("""COMPUTED_VALUE"""),0.0)</f>
        <v>0</v>
      </c>
      <c r="V284" s="9">
        <f>IFERROR(__xludf.DUMMYFUNCTION("""COMPUTED_VALUE"""),1.0)</f>
        <v>1</v>
      </c>
      <c r="W284" s="9">
        <f>IFERROR(__xludf.DUMMYFUNCTION("""COMPUTED_VALUE"""),0.0)</f>
        <v>0</v>
      </c>
      <c r="X284" s="9">
        <f>IFERROR(__xludf.DUMMYFUNCTION("""COMPUTED_VALUE"""),3.0)</f>
        <v>3</v>
      </c>
      <c r="Y284" s="9">
        <f>IFERROR(__xludf.DUMMYFUNCTION("""COMPUTED_VALUE"""),1.0)</f>
        <v>1</v>
      </c>
      <c r="Z284" s="9">
        <f>IFERROR(__xludf.DUMMYFUNCTION("""COMPUTED_VALUE"""),0.0)</f>
        <v>0</v>
      </c>
      <c r="AA284" s="9">
        <f>IFERROR(__xludf.DUMMYFUNCTION("""COMPUTED_VALUE"""),0.0)</f>
        <v>0</v>
      </c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</row>
    <row r="285">
      <c r="A285" s="8">
        <f>IFERROR(__xludf.DUMMYFUNCTION("""COMPUTED_VALUE"""),45403.0)</f>
        <v>45403</v>
      </c>
      <c r="B285" s="9">
        <f>IFERROR(__xludf.DUMMYFUNCTION("""COMPUTED_VALUE"""),0.0)</f>
        <v>0</v>
      </c>
      <c r="C285" s="9">
        <f>IFERROR(__xludf.DUMMYFUNCTION("""COMPUTED_VALUE"""),0.0)</f>
        <v>0</v>
      </c>
      <c r="D285" s="9">
        <f>IFERROR(__xludf.DUMMYFUNCTION("""COMPUTED_VALUE"""),0.0)</f>
        <v>0</v>
      </c>
      <c r="E285" s="9">
        <f>IFERROR(__xludf.DUMMYFUNCTION("""COMPUTED_VALUE"""),0.0)</f>
        <v>0</v>
      </c>
      <c r="F285" s="9">
        <f>IFERROR(__xludf.DUMMYFUNCTION("""COMPUTED_VALUE"""),0.0)</f>
        <v>0</v>
      </c>
      <c r="G285" s="9">
        <f>IFERROR(__xludf.DUMMYFUNCTION("""COMPUTED_VALUE"""),0.0)</f>
        <v>0</v>
      </c>
      <c r="H285" s="9"/>
      <c r="I285" s="9">
        <f>IFERROR(__xludf.DUMMYFUNCTION("""COMPUTED_VALUE"""),0.0)</f>
        <v>0</v>
      </c>
      <c r="J285" s="9">
        <f>IFERROR(__xludf.DUMMYFUNCTION("""COMPUTED_VALUE"""),0.0)</f>
        <v>0</v>
      </c>
      <c r="K285" s="9">
        <f>IFERROR(__xludf.DUMMYFUNCTION("""COMPUTED_VALUE"""),0.0)</f>
        <v>0</v>
      </c>
      <c r="L285" s="9">
        <f>IFERROR(__xludf.DUMMYFUNCTION("""COMPUTED_VALUE"""),0.0)</f>
        <v>0</v>
      </c>
      <c r="M285" s="9">
        <f>IFERROR(__xludf.DUMMYFUNCTION("""COMPUTED_VALUE"""),0.0)</f>
        <v>0</v>
      </c>
      <c r="N285" s="9">
        <f>IFERROR(__xludf.DUMMYFUNCTION("""COMPUTED_VALUE"""),0.0)</f>
        <v>0</v>
      </c>
      <c r="O285" s="9">
        <f>IFERROR(__xludf.DUMMYFUNCTION("""COMPUTED_VALUE"""),0.0)</f>
        <v>0</v>
      </c>
      <c r="P285" s="9">
        <f>IFERROR(__xludf.DUMMYFUNCTION("""COMPUTED_VALUE"""),0.0)</f>
        <v>0</v>
      </c>
      <c r="Q285" s="9">
        <f>IFERROR(__xludf.DUMMYFUNCTION("""COMPUTED_VALUE"""),0.0)</f>
        <v>0</v>
      </c>
      <c r="R285" s="9">
        <f>IFERROR(__xludf.DUMMYFUNCTION("""COMPUTED_VALUE"""),0.0)</f>
        <v>0</v>
      </c>
      <c r="S285" s="9">
        <f>IFERROR(__xludf.DUMMYFUNCTION("""COMPUTED_VALUE"""),0.0)</f>
        <v>0</v>
      </c>
      <c r="T285" s="9">
        <f>IFERROR(__xludf.DUMMYFUNCTION("""COMPUTED_VALUE"""),0.0)</f>
        <v>0</v>
      </c>
      <c r="U285" s="9">
        <f>IFERROR(__xludf.DUMMYFUNCTION("""COMPUTED_VALUE"""),0.0)</f>
        <v>0</v>
      </c>
      <c r="V285" s="9">
        <f>IFERROR(__xludf.DUMMYFUNCTION("""COMPUTED_VALUE"""),0.0)</f>
        <v>0</v>
      </c>
      <c r="W285" s="9">
        <f>IFERROR(__xludf.DUMMYFUNCTION("""COMPUTED_VALUE"""),0.0)</f>
        <v>0</v>
      </c>
      <c r="X285" s="9">
        <f>IFERROR(__xludf.DUMMYFUNCTION("""COMPUTED_VALUE"""),0.0)</f>
        <v>0</v>
      </c>
      <c r="Y285" s="9">
        <f>IFERROR(__xludf.DUMMYFUNCTION("""COMPUTED_VALUE"""),0.0)</f>
        <v>0</v>
      </c>
      <c r="Z285" s="9">
        <f>IFERROR(__xludf.DUMMYFUNCTION("""COMPUTED_VALUE"""),0.0)</f>
        <v>0</v>
      </c>
      <c r="AA285" s="9">
        <f>IFERROR(__xludf.DUMMYFUNCTION("""COMPUTED_VALUE"""),0.0)</f>
        <v>0</v>
      </c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</row>
    <row r="286">
      <c r="A286" s="8">
        <f>IFERROR(__xludf.DUMMYFUNCTION("""COMPUTED_VALUE"""),45404.0)</f>
        <v>45404</v>
      </c>
      <c r="B286" s="9">
        <f>IFERROR(__xludf.DUMMYFUNCTION("""COMPUTED_VALUE"""),2.0)</f>
        <v>2</v>
      </c>
      <c r="C286" s="9">
        <f>IFERROR(__xludf.DUMMYFUNCTION("""COMPUTED_VALUE"""),10.0)</f>
        <v>10</v>
      </c>
      <c r="D286" s="9">
        <f>IFERROR(__xludf.DUMMYFUNCTION("""COMPUTED_VALUE"""),5.0)</f>
        <v>5</v>
      </c>
      <c r="E286" s="9">
        <f>IFERROR(__xludf.DUMMYFUNCTION("""COMPUTED_VALUE"""),229.0)</f>
        <v>229</v>
      </c>
      <c r="F286" s="9">
        <f>IFERROR(__xludf.DUMMYFUNCTION("""COMPUTED_VALUE"""),114.0)</f>
        <v>114</v>
      </c>
      <c r="G286" s="9">
        <f>IFERROR(__xludf.DUMMYFUNCTION("""COMPUTED_VALUE"""),0.0)</f>
        <v>0</v>
      </c>
      <c r="H286" s="9"/>
      <c r="I286" s="9">
        <f>IFERROR(__xludf.DUMMYFUNCTION("""COMPUTED_VALUE"""),2.0)</f>
        <v>2</v>
      </c>
      <c r="J286" s="9">
        <f>IFERROR(__xludf.DUMMYFUNCTION("""COMPUTED_VALUE"""),0.0)</f>
        <v>0</v>
      </c>
      <c r="K286" s="9">
        <f>IFERROR(__xludf.DUMMYFUNCTION("""COMPUTED_VALUE"""),0.0)</f>
        <v>0</v>
      </c>
      <c r="L286" s="9">
        <f>IFERROR(__xludf.DUMMYFUNCTION("""COMPUTED_VALUE"""),0.0)</f>
        <v>0</v>
      </c>
      <c r="M286" s="9">
        <f>IFERROR(__xludf.DUMMYFUNCTION("""COMPUTED_VALUE"""),2.0)</f>
        <v>2</v>
      </c>
      <c r="N286" s="9">
        <f>IFERROR(__xludf.DUMMYFUNCTION("""COMPUTED_VALUE"""),1.0)</f>
        <v>1</v>
      </c>
      <c r="O286" s="9">
        <f>IFERROR(__xludf.DUMMYFUNCTION("""COMPUTED_VALUE"""),0.0)</f>
        <v>0</v>
      </c>
      <c r="P286" s="9">
        <f>IFERROR(__xludf.DUMMYFUNCTION("""COMPUTED_VALUE"""),1.0)</f>
        <v>1</v>
      </c>
      <c r="Q286" s="9">
        <f>IFERROR(__xludf.DUMMYFUNCTION("""COMPUTED_VALUE"""),0.0)</f>
        <v>0</v>
      </c>
      <c r="R286" s="9">
        <f>IFERROR(__xludf.DUMMYFUNCTION("""COMPUTED_VALUE"""),0.0)</f>
        <v>0</v>
      </c>
      <c r="S286" s="9">
        <f>IFERROR(__xludf.DUMMYFUNCTION("""COMPUTED_VALUE"""),0.0)</f>
        <v>0</v>
      </c>
      <c r="T286" s="9">
        <f>IFERROR(__xludf.DUMMYFUNCTION("""COMPUTED_VALUE"""),0.0)</f>
        <v>0</v>
      </c>
      <c r="U286" s="9">
        <f>IFERROR(__xludf.DUMMYFUNCTION("""COMPUTED_VALUE"""),0.0)</f>
        <v>0</v>
      </c>
      <c r="V286" s="9">
        <f>IFERROR(__xludf.DUMMYFUNCTION("""COMPUTED_VALUE"""),0.0)</f>
        <v>0</v>
      </c>
      <c r="W286" s="9">
        <f>IFERROR(__xludf.DUMMYFUNCTION("""COMPUTED_VALUE"""),1.0)</f>
        <v>1</v>
      </c>
      <c r="X286" s="9">
        <f>IFERROR(__xludf.DUMMYFUNCTION("""COMPUTED_VALUE"""),4.0)</f>
        <v>4</v>
      </c>
      <c r="Y286" s="9">
        <f>IFERROR(__xludf.DUMMYFUNCTION("""COMPUTED_VALUE"""),2.0)</f>
        <v>2</v>
      </c>
      <c r="Z286" s="9">
        <f>IFERROR(__xludf.DUMMYFUNCTION("""COMPUTED_VALUE"""),1.0)</f>
        <v>1</v>
      </c>
      <c r="AA286" s="9">
        <f>IFERROR(__xludf.DUMMYFUNCTION("""COMPUTED_VALUE"""),0.0)</f>
        <v>0</v>
      </c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</row>
    <row r="287">
      <c r="A287" s="8">
        <f>IFERROR(__xludf.DUMMYFUNCTION("""COMPUTED_VALUE"""),45405.0)</f>
        <v>45405</v>
      </c>
      <c r="B287" s="9">
        <f>IFERROR(__xludf.DUMMYFUNCTION("""COMPUTED_VALUE"""),5.0)</f>
        <v>5</v>
      </c>
      <c r="C287" s="9">
        <f>IFERROR(__xludf.DUMMYFUNCTION("""COMPUTED_VALUE"""),75.0)</f>
        <v>75</v>
      </c>
      <c r="D287" s="9">
        <f>IFERROR(__xludf.DUMMYFUNCTION("""COMPUTED_VALUE"""),15.0)</f>
        <v>15</v>
      </c>
      <c r="E287" s="9">
        <f>IFERROR(__xludf.DUMMYFUNCTION("""COMPUTED_VALUE"""),1139.0)</f>
        <v>1139</v>
      </c>
      <c r="F287" s="9">
        <f>IFERROR(__xludf.DUMMYFUNCTION("""COMPUTED_VALUE"""),228.0)</f>
        <v>228</v>
      </c>
      <c r="G287" s="9">
        <f>IFERROR(__xludf.DUMMYFUNCTION("""COMPUTED_VALUE"""),0.0)</f>
        <v>0</v>
      </c>
      <c r="H287" s="9"/>
      <c r="I287" s="9">
        <f>IFERROR(__xludf.DUMMYFUNCTION("""COMPUTED_VALUE"""),5.0)</f>
        <v>5</v>
      </c>
      <c r="J287" s="9">
        <f>IFERROR(__xludf.DUMMYFUNCTION("""COMPUTED_VALUE"""),0.0)</f>
        <v>0</v>
      </c>
      <c r="K287" s="9">
        <f>IFERROR(__xludf.DUMMYFUNCTION("""COMPUTED_VALUE"""),0.0)</f>
        <v>0</v>
      </c>
      <c r="L287" s="9">
        <f>IFERROR(__xludf.DUMMYFUNCTION("""COMPUTED_VALUE"""),0.0)</f>
        <v>0</v>
      </c>
      <c r="M287" s="9">
        <f>IFERROR(__xludf.DUMMYFUNCTION("""COMPUTED_VALUE"""),5.0)</f>
        <v>5</v>
      </c>
      <c r="N287" s="9">
        <f>IFERROR(__xludf.DUMMYFUNCTION("""COMPUTED_VALUE"""),2.0)</f>
        <v>2</v>
      </c>
      <c r="O287" s="9">
        <f>IFERROR(__xludf.DUMMYFUNCTION("""COMPUTED_VALUE"""),0.0)</f>
        <v>0</v>
      </c>
      <c r="P287" s="9">
        <f>IFERROR(__xludf.DUMMYFUNCTION("""COMPUTED_VALUE"""),3.0)</f>
        <v>3</v>
      </c>
      <c r="Q287" s="9">
        <f>IFERROR(__xludf.DUMMYFUNCTION("""COMPUTED_VALUE"""),1.0)</f>
        <v>1</v>
      </c>
      <c r="R287" s="9">
        <f>IFERROR(__xludf.DUMMYFUNCTION("""COMPUTED_VALUE"""),3.0)</f>
        <v>3</v>
      </c>
      <c r="S287" s="9">
        <f>IFERROR(__xludf.DUMMYFUNCTION("""COMPUTED_VALUE"""),3.0)</f>
        <v>3</v>
      </c>
      <c r="T287" s="9">
        <f>IFERROR(__xludf.DUMMYFUNCTION("""COMPUTED_VALUE"""),0.0)</f>
        <v>0</v>
      </c>
      <c r="U287" s="9">
        <f>IFERROR(__xludf.DUMMYFUNCTION("""COMPUTED_VALUE"""),0.0)</f>
        <v>0</v>
      </c>
      <c r="V287" s="9">
        <f>IFERROR(__xludf.DUMMYFUNCTION("""COMPUTED_VALUE"""),4.0)</f>
        <v>4</v>
      </c>
      <c r="W287" s="9">
        <f>IFERROR(__xludf.DUMMYFUNCTION("""COMPUTED_VALUE"""),1.0)</f>
        <v>1</v>
      </c>
      <c r="X287" s="9">
        <f>IFERROR(__xludf.DUMMYFUNCTION("""COMPUTED_VALUE"""),9.0)</f>
        <v>9</v>
      </c>
      <c r="Y287" s="9">
        <f>IFERROR(__xludf.DUMMYFUNCTION("""COMPUTED_VALUE"""),4.0)</f>
        <v>4</v>
      </c>
      <c r="Z287" s="9">
        <f>IFERROR(__xludf.DUMMYFUNCTION("""COMPUTED_VALUE"""),1.0)</f>
        <v>1</v>
      </c>
      <c r="AA287" s="9">
        <f>IFERROR(__xludf.DUMMYFUNCTION("""COMPUTED_VALUE"""),0.0)</f>
        <v>0</v>
      </c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</row>
    <row r="288">
      <c r="A288" s="8">
        <f>IFERROR(__xludf.DUMMYFUNCTION("""COMPUTED_VALUE"""),45406.0)</f>
        <v>45406</v>
      </c>
      <c r="B288" s="9">
        <f>IFERROR(__xludf.DUMMYFUNCTION("""COMPUTED_VALUE"""),11.0)</f>
        <v>11</v>
      </c>
      <c r="C288" s="9">
        <f>IFERROR(__xludf.DUMMYFUNCTION("""COMPUTED_VALUE"""),87.0)</f>
        <v>87</v>
      </c>
      <c r="D288" s="9">
        <f>IFERROR(__xludf.DUMMYFUNCTION("""COMPUTED_VALUE"""),8.0)</f>
        <v>8</v>
      </c>
      <c r="E288" s="9">
        <f>IFERROR(__xludf.DUMMYFUNCTION("""COMPUTED_VALUE"""),1275.0)</f>
        <v>1275</v>
      </c>
      <c r="F288" s="9">
        <f>IFERROR(__xludf.DUMMYFUNCTION("""COMPUTED_VALUE"""),116.0)</f>
        <v>116</v>
      </c>
      <c r="G288" s="9">
        <f>IFERROR(__xludf.DUMMYFUNCTION("""COMPUTED_VALUE"""),0.0)</f>
        <v>0</v>
      </c>
      <c r="H288" s="9"/>
      <c r="I288" s="9">
        <f>IFERROR(__xludf.DUMMYFUNCTION("""COMPUTED_VALUE"""),7.0)</f>
        <v>7</v>
      </c>
      <c r="J288" s="9">
        <f>IFERROR(__xludf.DUMMYFUNCTION("""COMPUTED_VALUE"""),2.0)</f>
        <v>2</v>
      </c>
      <c r="K288" s="9">
        <f>IFERROR(__xludf.DUMMYFUNCTION("""COMPUTED_VALUE"""),0.0)</f>
        <v>0</v>
      </c>
      <c r="L288" s="9">
        <f>IFERROR(__xludf.DUMMYFUNCTION("""COMPUTED_VALUE"""),0.0)</f>
        <v>0</v>
      </c>
      <c r="M288" s="9">
        <f>IFERROR(__xludf.DUMMYFUNCTION("""COMPUTED_VALUE"""),9.0)</f>
        <v>9</v>
      </c>
      <c r="N288" s="9">
        <f>IFERROR(__xludf.DUMMYFUNCTION("""COMPUTED_VALUE"""),9.0)</f>
        <v>9</v>
      </c>
      <c r="O288" s="9">
        <f>IFERROR(__xludf.DUMMYFUNCTION("""COMPUTED_VALUE"""),0.0)</f>
        <v>0</v>
      </c>
      <c r="P288" s="9">
        <f>IFERROR(__xludf.DUMMYFUNCTION("""COMPUTED_VALUE"""),2.0)</f>
        <v>2</v>
      </c>
      <c r="Q288" s="9">
        <f>IFERROR(__xludf.DUMMYFUNCTION("""COMPUTED_VALUE"""),6.0)</f>
        <v>6</v>
      </c>
      <c r="R288" s="9">
        <f>IFERROR(__xludf.DUMMYFUNCTION("""COMPUTED_VALUE"""),1.0)</f>
        <v>1</v>
      </c>
      <c r="S288" s="9">
        <f>IFERROR(__xludf.DUMMYFUNCTION("""COMPUTED_VALUE"""),3.0)</f>
        <v>3</v>
      </c>
      <c r="T288" s="9">
        <f>IFERROR(__xludf.DUMMYFUNCTION("""COMPUTED_VALUE"""),2.0)</f>
        <v>2</v>
      </c>
      <c r="U288" s="9">
        <f>IFERROR(__xludf.DUMMYFUNCTION("""COMPUTED_VALUE"""),0.0)</f>
        <v>0</v>
      </c>
      <c r="V288" s="9">
        <f>IFERROR(__xludf.DUMMYFUNCTION("""COMPUTED_VALUE"""),7.0)</f>
        <v>7</v>
      </c>
      <c r="W288" s="9">
        <f>IFERROR(__xludf.DUMMYFUNCTION("""COMPUTED_VALUE"""),0.0)</f>
        <v>0</v>
      </c>
      <c r="X288" s="9">
        <f>IFERROR(__xludf.DUMMYFUNCTION("""COMPUTED_VALUE"""),3.0)</f>
        <v>3</v>
      </c>
      <c r="Y288" s="9">
        <f>IFERROR(__xludf.DUMMYFUNCTION("""COMPUTED_VALUE"""),10.0)</f>
        <v>10</v>
      </c>
      <c r="Z288" s="9">
        <f>IFERROR(__xludf.DUMMYFUNCTION("""COMPUTED_VALUE"""),2.0)</f>
        <v>2</v>
      </c>
      <c r="AA288" s="9">
        <f>IFERROR(__xludf.DUMMYFUNCTION("""COMPUTED_VALUE"""),0.0)</f>
        <v>0</v>
      </c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</row>
    <row r="289">
      <c r="A289" s="8">
        <f>IFERROR(__xludf.DUMMYFUNCTION("""COMPUTED_VALUE"""),45407.0)</f>
        <v>45407</v>
      </c>
      <c r="B289" s="9">
        <f>IFERROR(__xludf.DUMMYFUNCTION("""COMPUTED_VALUE"""),5.0)</f>
        <v>5</v>
      </c>
      <c r="C289" s="9">
        <f>IFERROR(__xludf.DUMMYFUNCTION("""COMPUTED_VALUE"""),29.0)</f>
        <v>29</v>
      </c>
      <c r="D289" s="9">
        <f>IFERROR(__xludf.DUMMYFUNCTION("""COMPUTED_VALUE"""),6.0)</f>
        <v>6</v>
      </c>
      <c r="E289" s="9">
        <f>IFERROR(__xludf.DUMMYFUNCTION("""COMPUTED_VALUE"""),365.0)</f>
        <v>365</v>
      </c>
      <c r="F289" s="9">
        <f>IFERROR(__xludf.DUMMYFUNCTION("""COMPUTED_VALUE"""),73.0)</f>
        <v>73</v>
      </c>
      <c r="G289" s="9">
        <f>IFERROR(__xludf.DUMMYFUNCTION("""COMPUTED_VALUE"""),0.0)</f>
        <v>0</v>
      </c>
      <c r="H289" s="9"/>
      <c r="I289" s="9">
        <f>IFERROR(__xludf.DUMMYFUNCTION("""COMPUTED_VALUE"""),5.0)</f>
        <v>5</v>
      </c>
      <c r="J289" s="9">
        <f>IFERROR(__xludf.DUMMYFUNCTION("""COMPUTED_VALUE"""),0.0)</f>
        <v>0</v>
      </c>
      <c r="K289" s="9">
        <f>IFERROR(__xludf.DUMMYFUNCTION("""COMPUTED_VALUE"""),0.0)</f>
        <v>0</v>
      </c>
      <c r="L289" s="9">
        <f>IFERROR(__xludf.DUMMYFUNCTION("""COMPUTED_VALUE"""),0.0)</f>
        <v>0</v>
      </c>
      <c r="M289" s="9">
        <f>IFERROR(__xludf.DUMMYFUNCTION("""COMPUTED_VALUE"""),5.0)</f>
        <v>5</v>
      </c>
      <c r="N289" s="9">
        <f>IFERROR(__xludf.DUMMYFUNCTION("""COMPUTED_VALUE"""),2.0)</f>
        <v>2</v>
      </c>
      <c r="O289" s="9">
        <f>IFERROR(__xludf.DUMMYFUNCTION("""COMPUTED_VALUE"""),0.0)</f>
        <v>0</v>
      </c>
      <c r="P289" s="9">
        <f>IFERROR(__xludf.DUMMYFUNCTION("""COMPUTED_VALUE"""),3.0)</f>
        <v>3</v>
      </c>
      <c r="Q289" s="9">
        <f>IFERROR(__xludf.DUMMYFUNCTION("""COMPUTED_VALUE"""),0.0)</f>
        <v>0</v>
      </c>
      <c r="R289" s="9">
        <f>IFERROR(__xludf.DUMMYFUNCTION("""COMPUTED_VALUE"""),3.0)</f>
        <v>3</v>
      </c>
      <c r="S289" s="9">
        <f>IFERROR(__xludf.DUMMYFUNCTION("""COMPUTED_VALUE"""),0.0)</f>
        <v>0</v>
      </c>
      <c r="T289" s="9">
        <f>IFERROR(__xludf.DUMMYFUNCTION("""COMPUTED_VALUE"""),0.0)</f>
        <v>0</v>
      </c>
      <c r="U289" s="9">
        <f>IFERROR(__xludf.DUMMYFUNCTION("""COMPUTED_VALUE"""),0.0)</f>
        <v>0</v>
      </c>
      <c r="V289" s="9">
        <f>IFERROR(__xludf.DUMMYFUNCTION("""COMPUTED_VALUE"""),3.0)</f>
        <v>3</v>
      </c>
      <c r="W289" s="9">
        <f>IFERROR(__xludf.DUMMYFUNCTION("""COMPUTED_VALUE"""),1.0)</f>
        <v>1</v>
      </c>
      <c r="X289" s="9">
        <f>IFERROR(__xludf.DUMMYFUNCTION("""COMPUTED_VALUE"""),0.0)</f>
        <v>0</v>
      </c>
      <c r="Y289" s="9">
        <f>IFERROR(__xludf.DUMMYFUNCTION("""COMPUTED_VALUE"""),4.0)</f>
        <v>4</v>
      </c>
      <c r="Z289" s="9">
        <f>IFERROR(__xludf.DUMMYFUNCTION("""COMPUTED_VALUE"""),1.0)</f>
        <v>1</v>
      </c>
      <c r="AA289" s="9">
        <f>IFERROR(__xludf.DUMMYFUNCTION("""COMPUTED_VALUE"""),0.0)</f>
        <v>0</v>
      </c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</row>
    <row r="290">
      <c r="A290" s="8">
        <f>IFERROR(__xludf.DUMMYFUNCTION("""COMPUTED_VALUE"""),45408.0)</f>
        <v>45408</v>
      </c>
      <c r="B290" s="9">
        <f>IFERROR(__xludf.DUMMYFUNCTION("""COMPUTED_VALUE"""),16.0)</f>
        <v>16</v>
      </c>
      <c r="C290" s="9">
        <f>IFERROR(__xludf.DUMMYFUNCTION("""COMPUTED_VALUE"""),166.0)</f>
        <v>166</v>
      </c>
      <c r="D290" s="9">
        <f>IFERROR(__xludf.DUMMYFUNCTION("""COMPUTED_VALUE"""),10.0)</f>
        <v>10</v>
      </c>
      <c r="E290" s="9">
        <f>IFERROR(__xludf.DUMMYFUNCTION("""COMPUTED_VALUE"""),2313.0)</f>
        <v>2313</v>
      </c>
      <c r="F290" s="9">
        <f>IFERROR(__xludf.DUMMYFUNCTION("""COMPUTED_VALUE"""),145.0)</f>
        <v>145</v>
      </c>
      <c r="G290" s="9">
        <f>IFERROR(__xludf.DUMMYFUNCTION("""COMPUTED_VALUE"""),0.0)</f>
        <v>0</v>
      </c>
      <c r="H290" s="9"/>
      <c r="I290" s="9">
        <f>IFERROR(__xludf.DUMMYFUNCTION("""COMPUTED_VALUE"""),10.0)</f>
        <v>10</v>
      </c>
      <c r="J290" s="9">
        <f>IFERROR(__xludf.DUMMYFUNCTION("""COMPUTED_VALUE"""),3.0)</f>
        <v>3</v>
      </c>
      <c r="K290" s="9">
        <f>IFERROR(__xludf.DUMMYFUNCTION("""COMPUTED_VALUE"""),0.0)</f>
        <v>0</v>
      </c>
      <c r="L290" s="9">
        <f>IFERROR(__xludf.DUMMYFUNCTION("""COMPUTED_VALUE"""),0.0)</f>
        <v>0</v>
      </c>
      <c r="M290" s="9">
        <f>IFERROR(__xludf.DUMMYFUNCTION("""COMPUTED_VALUE"""),13.0)</f>
        <v>13</v>
      </c>
      <c r="N290" s="9">
        <f>IFERROR(__xludf.DUMMYFUNCTION("""COMPUTED_VALUE"""),10.0)</f>
        <v>10</v>
      </c>
      <c r="O290" s="9">
        <f>IFERROR(__xludf.DUMMYFUNCTION("""COMPUTED_VALUE"""),0.0)</f>
        <v>0</v>
      </c>
      <c r="P290" s="9">
        <f>IFERROR(__xludf.DUMMYFUNCTION("""COMPUTED_VALUE"""),6.0)</f>
        <v>6</v>
      </c>
      <c r="Q290" s="9">
        <f>IFERROR(__xludf.DUMMYFUNCTION("""COMPUTED_VALUE"""),6.0)</f>
        <v>6</v>
      </c>
      <c r="R290" s="9">
        <f>IFERROR(__xludf.DUMMYFUNCTION("""COMPUTED_VALUE"""),4.0)</f>
        <v>4</v>
      </c>
      <c r="S290" s="9">
        <f>IFERROR(__xludf.DUMMYFUNCTION("""COMPUTED_VALUE"""),5.0)</f>
        <v>5</v>
      </c>
      <c r="T290" s="9">
        <f>IFERROR(__xludf.DUMMYFUNCTION("""COMPUTED_VALUE"""),1.0)</f>
        <v>1</v>
      </c>
      <c r="U290" s="9">
        <f>IFERROR(__xludf.DUMMYFUNCTION("""COMPUTED_VALUE"""),0.0)</f>
        <v>0</v>
      </c>
      <c r="V290" s="9">
        <f>IFERROR(__xludf.DUMMYFUNCTION("""COMPUTED_VALUE"""),10.0)</f>
        <v>10</v>
      </c>
      <c r="W290" s="9">
        <f>IFERROR(__xludf.DUMMYFUNCTION("""COMPUTED_VALUE"""),0.0)</f>
        <v>0</v>
      </c>
      <c r="X290" s="9">
        <f>IFERROR(__xludf.DUMMYFUNCTION("""COMPUTED_VALUE"""),13.0)</f>
        <v>13</v>
      </c>
      <c r="Y290" s="9">
        <f>IFERROR(__xludf.DUMMYFUNCTION("""COMPUTED_VALUE"""),11.0)</f>
        <v>11</v>
      </c>
      <c r="Z290" s="9">
        <f>IFERROR(__xludf.DUMMYFUNCTION("""COMPUTED_VALUE"""),1.0)</f>
        <v>1</v>
      </c>
      <c r="AA290" s="9">
        <f>IFERROR(__xludf.DUMMYFUNCTION("""COMPUTED_VALUE"""),0.0)</f>
        <v>0</v>
      </c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  <c r="TB290" s="9"/>
      <c r="TC290" s="9"/>
      <c r="TD290" s="9"/>
      <c r="TE290" s="9"/>
      <c r="TF290" s="9"/>
      <c r="TG290" s="9"/>
      <c r="TH290" s="9"/>
      <c r="TI290" s="9"/>
      <c r="TJ290" s="9"/>
      <c r="TK290" s="9"/>
      <c r="TL290" s="9"/>
      <c r="TM290" s="9"/>
      <c r="TN290" s="9"/>
      <c r="TO290" s="9"/>
      <c r="TP290" s="9"/>
      <c r="TQ290" s="9"/>
      <c r="TR290" s="9"/>
      <c r="TS290" s="9"/>
      <c r="TT290" s="9"/>
      <c r="TU290" s="9"/>
      <c r="TV290" s="9"/>
      <c r="TW290" s="9"/>
      <c r="TX290" s="9"/>
      <c r="TY290" s="9"/>
      <c r="TZ290" s="9"/>
      <c r="UA290" s="9"/>
      <c r="UB290" s="9"/>
      <c r="UC290" s="9"/>
      <c r="UD290" s="9"/>
      <c r="UE290" s="9"/>
      <c r="UF290" s="9"/>
      <c r="UG290" s="9"/>
      <c r="UH290" s="9"/>
      <c r="UI290" s="9"/>
      <c r="UJ290" s="9"/>
    </row>
    <row r="291">
      <c r="A291" s="8">
        <f>IFERROR(__xludf.DUMMYFUNCTION("""COMPUTED_VALUE"""),45409.0)</f>
        <v>45409</v>
      </c>
      <c r="B291" s="9">
        <f>IFERROR(__xludf.DUMMYFUNCTION("""COMPUTED_VALUE"""),4.0)</f>
        <v>4</v>
      </c>
      <c r="C291" s="9">
        <f>IFERROR(__xludf.DUMMYFUNCTION("""COMPUTED_VALUE"""),38.0)</f>
        <v>38</v>
      </c>
      <c r="D291" s="9">
        <f>IFERROR(__xludf.DUMMYFUNCTION("""COMPUTED_VALUE"""),10.0)</f>
        <v>10</v>
      </c>
      <c r="E291" s="9">
        <f>IFERROR(__xludf.DUMMYFUNCTION("""COMPUTED_VALUE"""),808.0)</f>
        <v>808</v>
      </c>
      <c r="F291" s="9">
        <f>IFERROR(__xludf.DUMMYFUNCTION("""COMPUTED_VALUE"""),202.0)</f>
        <v>202</v>
      </c>
      <c r="G291" s="9">
        <f>IFERROR(__xludf.DUMMYFUNCTION("""COMPUTED_VALUE"""),0.0)</f>
        <v>0</v>
      </c>
      <c r="H291" s="9"/>
      <c r="I291" s="9">
        <f>IFERROR(__xludf.DUMMYFUNCTION("""COMPUTED_VALUE"""),4.0)</f>
        <v>4</v>
      </c>
      <c r="J291" s="9">
        <f>IFERROR(__xludf.DUMMYFUNCTION("""COMPUTED_VALUE"""),0.0)</f>
        <v>0</v>
      </c>
      <c r="K291" s="9">
        <f>IFERROR(__xludf.DUMMYFUNCTION("""COMPUTED_VALUE"""),0.0)</f>
        <v>0</v>
      </c>
      <c r="L291" s="9">
        <f>IFERROR(__xludf.DUMMYFUNCTION("""COMPUTED_VALUE"""),0.0)</f>
        <v>0</v>
      </c>
      <c r="M291" s="9">
        <f>IFERROR(__xludf.DUMMYFUNCTION("""COMPUTED_VALUE"""),4.0)</f>
        <v>4</v>
      </c>
      <c r="N291" s="9">
        <f>IFERROR(__xludf.DUMMYFUNCTION("""COMPUTED_VALUE"""),3.0)</f>
        <v>3</v>
      </c>
      <c r="O291" s="9">
        <f>IFERROR(__xludf.DUMMYFUNCTION("""COMPUTED_VALUE"""),0.0)</f>
        <v>0</v>
      </c>
      <c r="P291" s="9">
        <f>IFERROR(__xludf.DUMMYFUNCTION("""COMPUTED_VALUE"""),1.0)</f>
        <v>1</v>
      </c>
      <c r="Q291" s="9">
        <f>IFERROR(__xludf.DUMMYFUNCTION("""COMPUTED_VALUE"""),1.0)</f>
        <v>1</v>
      </c>
      <c r="R291" s="9">
        <f>IFERROR(__xludf.DUMMYFUNCTION("""COMPUTED_VALUE"""),1.0)</f>
        <v>1</v>
      </c>
      <c r="S291" s="9">
        <f>IFERROR(__xludf.DUMMYFUNCTION("""COMPUTED_VALUE"""),3.0)</f>
        <v>3</v>
      </c>
      <c r="T291" s="9">
        <f>IFERROR(__xludf.DUMMYFUNCTION("""COMPUTED_VALUE"""),0.0)</f>
        <v>0</v>
      </c>
      <c r="U291" s="9">
        <f>IFERROR(__xludf.DUMMYFUNCTION("""COMPUTED_VALUE"""),0.0)</f>
        <v>0</v>
      </c>
      <c r="V291" s="9">
        <f>IFERROR(__xludf.DUMMYFUNCTION("""COMPUTED_VALUE"""),2.0)</f>
        <v>2</v>
      </c>
      <c r="W291" s="9">
        <f>IFERROR(__xludf.DUMMYFUNCTION("""COMPUTED_VALUE"""),0.0)</f>
        <v>0</v>
      </c>
      <c r="X291" s="9">
        <f>IFERROR(__xludf.DUMMYFUNCTION("""COMPUTED_VALUE"""),15.0)</f>
        <v>15</v>
      </c>
      <c r="Y291" s="9">
        <f>IFERROR(__xludf.DUMMYFUNCTION("""COMPUTED_VALUE"""),2.0)</f>
        <v>2</v>
      </c>
      <c r="Z291" s="9">
        <f>IFERROR(__xludf.DUMMYFUNCTION("""COMPUTED_VALUE"""),0.0)</f>
        <v>0</v>
      </c>
      <c r="AA291" s="9">
        <f>IFERROR(__xludf.DUMMYFUNCTION("""COMPUTED_VALUE"""),0.0)</f>
        <v>0</v>
      </c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</row>
    <row r="292">
      <c r="A292" s="8">
        <f>IFERROR(__xludf.DUMMYFUNCTION("""COMPUTED_VALUE"""),45410.0)</f>
        <v>45410</v>
      </c>
      <c r="B292" s="9">
        <f>IFERROR(__xludf.DUMMYFUNCTION("""COMPUTED_VALUE"""),0.0)</f>
        <v>0</v>
      </c>
      <c r="C292" s="9">
        <f>IFERROR(__xludf.DUMMYFUNCTION("""COMPUTED_VALUE"""),0.0)</f>
        <v>0</v>
      </c>
      <c r="D292" s="9">
        <f>IFERROR(__xludf.DUMMYFUNCTION("""COMPUTED_VALUE"""),0.0)</f>
        <v>0</v>
      </c>
      <c r="E292" s="9">
        <f>IFERROR(__xludf.DUMMYFUNCTION("""COMPUTED_VALUE"""),0.0)</f>
        <v>0</v>
      </c>
      <c r="F292" s="9">
        <f>IFERROR(__xludf.DUMMYFUNCTION("""COMPUTED_VALUE"""),0.0)</f>
        <v>0</v>
      </c>
      <c r="G292" s="9">
        <f>IFERROR(__xludf.DUMMYFUNCTION("""COMPUTED_VALUE"""),0.0)</f>
        <v>0</v>
      </c>
      <c r="H292" s="9"/>
      <c r="I292" s="9">
        <f>IFERROR(__xludf.DUMMYFUNCTION("""COMPUTED_VALUE"""),0.0)</f>
        <v>0</v>
      </c>
      <c r="J292" s="9">
        <f>IFERROR(__xludf.DUMMYFUNCTION("""COMPUTED_VALUE"""),0.0)</f>
        <v>0</v>
      </c>
      <c r="K292" s="9">
        <f>IFERROR(__xludf.DUMMYFUNCTION("""COMPUTED_VALUE"""),0.0)</f>
        <v>0</v>
      </c>
      <c r="L292" s="9">
        <f>IFERROR(__xludf.DUMMYFUNCTION("""COMPUTED_VALUE"""),0.0)</f>
        <v>0</v>
      </c>
      <c r="M292" s="9">
        <f>IFERROR(__xludf.DUMMYFUNCTION("""COMPUTED_VALUE"""),0.0)</f>
        <v>0</v>
      </c>
      <c r="N292" s="9">
        <f>IFERROR(__xludf.DUMMYFUNCTION("""COMPUTED_VALUE"""),0.0)</f>
        <v>0</v>
      </c>
      <c r="O292" s="9">
        <f>IFERROR(__xludf.DUMMYFUNCTION("""COMPUTED_VALUE"""),0.0)</f>
        <v>0</v>
      </c>
      <c r="P292" s="9">
        <f>IFERROR(__xludf.DUMMYFUNCTION("""COMPUTED_VALUE"""),0.0)</f>
        <v>0</v>
      </c>
      <c r="Q292" s="9">
        <f>IFERROR(__xludf.DUMMYFUNCTION("""COMPUTED_VALUE"""),0.0)</f>
        <v>0</v>
      </c>
      <c r="R292" s="9">
        <f>IFERROR(__xludf.DUMMYFUNCTION("""COMPUTED_VALUE"""),0.0)</f>
        <v>0</v>
      </c>
      <c r="S292" s="9">
        <f>IFERROR(__xludf.DUMMYFUNCTION("""COMPUTED_VALUE"""),0.0)</f>
        <v>0</v>
      </c>
      <c r="T292" s="9">
        <f>IFERROR(__xludf.DUMMYFUNCTION("""COMPUTED_VALUE"""),0.0)</f>
        <v>0</v>
      </c>
      <c r="U292" s="9">
        <f>IFERROR(__xludf.DUMMYFUNCTION("""COMPUTED_VALUE"""),0.0)</f>
        <v>0</v>
      </c>
      <c r="V292" s="9">
        <f>IFERROR(__xludf.DUMMYFUNCTION("""COMPUTED_VALUE"""),0.0)</f>
        <v>0</v>
      </c>
      <c r="W292" s="9">
        <f>IFERROR(__xludf.DUMMYFUNCTION("""COMPUTED_VALUE"""),0.0)</f>
        <v>0</v>
      </c>
      <c r="X292" s="9">
        <f>IFERROR(__xludf.DUMMYFUNCTION("""COMPUTED_VALUE"""),0.0)</f>
        <v>0</v>
      </c>
      <c r="Y292" s="9">
        <f>IFERROR(__xludf.DUMMYFUNCTION("""COMPUTED_VALUE"""),0.0)</f>
        <v>0</v>
      </c>
      <c r="Z292" s="9">
        <f>IFERROR(__xludf.DUMMYFUNCTION("""COMPUTED_VALUE"""),0.0)</f>
        <v>0</v>
      </c>
      <c r="AA292" s="9">
        <f>IFERROR(__xludf.DUMMYFUNCTION("""COMPUTED_VALUE"""),0.0)</f>
        <v>0</v>
      </c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</row>
    <row r="293">
      <c r="A293" s="8">
        <f>IFERROR(__xludf.DUMMYFUNCTION("""COMPUTED_VALUE"""),45411.0)</f>
        <v>45411</v>
      </c>
      <c r="B293" s="9">
        <f>IFERROR(__xludf.DUMMYFUNCTION("""COMPUTED_VALUE"""),10.0)</f>
        <v>10</v>
      </c>
      <c r="C293" s="9">
        <f>IFERROR(__xludf.DUMMYFUNCTION("""COMPUTED_VALUE"""),102.0)</f>
        <v>102</v>
      </c>
      <c r="D293" s="9">
        <f>IFERROR(__xludf.DUMMYFUNCTION("""COMPUTED_VALUE"""),10.0)</f>
        <v>10</v>
      </c>
      <c r="E293" s="9">
        <f>IFERROR(__xludf.DUMMYFUNCTION("""COMPUTED_VALUE"""),1798.0)</f>
        <v>1798</v>
      </c>
      <c r="F293" s="9">
        <f>IFERROR(__xludf.DUMMYFUNCTION("""COMPUTED_VALUE"""),180.0)</f>
        <v>180</v>
      </c>
      <c r="G293" s="9">
        <f>IFERROR(__xludf.DUMMYFUNCTION("""COMPUTED_VALUE"""),0.0)</f>
        <v>0</v>
      </c>
      <c r="H293" s="9"/>
      <c r="I293" s="9">
        <f>IFERROR(__xludf.DUMMYFUNCTION("""COMPUTED_VALUE"""),7.0)</f>
        <v>7</v>
      </c>
      <c r="J293" s="9">
        <f>IFERROR(__xludf.DUMMYFUNCTION("""COMPUTED_VALUE"""),0.0)</f>
        <v>0</v>
      </c>
      <c r="K293" s="9">
        <f>IFERROR(__xludf.DUMMYFUNCTION("""COMPUTED_VALUE"""),1.0)</f>
        <v>1</v>
      </c>
      <c r="L293" s="9">
        <f>IFERROR(__xludf.DUMMYFUNCTION("""COMPUTED_VALUE"""),0.0)</f>
        <v>0</v>
      </c>
      <c r="M293" s="9">
        <f>IFERROR(__xludf.DUMMYFUNCTION("""COMPUTED_VALUE"""),8.0)</f>
        <v>8</v>
      </c>
      <c r="N293" s="9">
        <f>IFERROR(__xludf.DUMMYFUNCTION("""COMPUTED_VALUE"""),8.0)</f>
        <v>8</v>
      </c>
      <c r="O293" s="9">
        <f>IFERROR(__xludf.DUMMYFUNCTION("""COMPUTED_VALUE"""),0.0)</f>
        <v>0</v>
      </c>
      <c r="P293" s="9">
        <f>IFERROR(__xludf.DUMMYFUNCTION("""COMPUTED_VALUE"""),2.0)</f>
        <v>2</v>
      </c>
      <c r="Q293" s="9">
        <f>IFERROR(__xludf.DUMMYFUNCTION("""COMPUTED_VALUE"""),4.0)</f>
        <v>4</v>
      </c>
      <c r="R293" s="9">
        <f>IFERROR(__xludf.DUMMYFUNCTION("""COMPUTED_VALUE"""),1.0)</f>
        <v>1</v>
      </c>
      <c r="S293" s="9">
        <f>IFERROR(__xludf.DUMMYFUNCTION("""COMPUTED_VALUE"""),4.0)</f>
        <v>4</v>
      </c>
      <c r="T293" s="9">
        <f>IFERROR(__xludf.DUMMYFUNCTION("""COMPUTED_VALUE"""),0.0)</f>
        <v>0</v>
      </c>
      <c r="U293" s="9">
        <f>IFERROR(__xludf.DUMMYFUNCTION("""COMPUTED_VALUE"""),0.0)</f>
        <v>0</v>
      </c>
      <c r="V293" s="9">
        <f>IFERROR(__xludf.DUMMYFUNCTION("""COMPUTED_VALUE"""),5.0)</f>
        <v>5</v>
      </c>
      <c r="W293" s="9">
        <f>IFERROR(__xludf.DUMMYFUNCTION("""COMPUTED_VALUE"""),1.0)</f>
        <v>1</v>
      </c>
      <c r="X293" s="9">
        <f>IFERROR(__xludf.DUMMYFUNCTION("""COMPUTED_VALUE"""),9.0)</f>
        <v>9</v>
      </c>
      <c r="Y293" s="9">
        <f>IFERROR(__xludf.DUMMYFUNCTION("""COMPUTED_VALUE"""),7.0)</f>
        <v>7</v>
      </c>
      <c r="Z293" s="9">
        <f>IFERROR(__xludf.DUMMYFUNCTION("""COMPUTED_VALUE"""),1.0)</f>
        <v>1</v>
      </c>
      <c r="AA293" s="9">
        <f>IFERROR(__xludf.DUMMYFUNCTION("""COMPUTED_VALUE"""),0.0)</f>
        <v>0</v>
      </c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</row>
    <row r="294">
      <c r="A294" s="8">
        <f>IFERROR(__xludf.DUMMYFUNCTION("""COMPUTED_VALUE"""),45412.0)</f>
        <v>45412</v>
      </c>
      <c r="B294" s="9">
        <f>IFERROR(__xludf.DUMMYFUNCTION("""COMPUTED_VALUE"""),16.0)</f>
        <v>16</v>
      </c>
      <c r="C294" s="9">
        <f>IFERROR(__xludf.DUMMYFUNCTION("""COMPUTED_VALUE"""),156.0)</f>
        <v>156</v>
      </c>
      <c r="D294" s="9">
        <f>IFERROR(__xludf.DUMMYFUNCTION("""COMPUTED_VALUE"""),10.0)</f>
        <v>10</v>
      </c>
      <c r="E294" s="9">
        <f>IFERROR(__xludf.DUMMYFUNCTION("""COMPUTED_VALUE"""),2435.0)</f>
        <v>2435</v>
      </c>
      <c r="F294" s="9">
        <f>IFERROR(__xludf.DUMMYFUNCTION("""COMPUTED_VALUE"""),152.0)</f>
        <v>152</v>
      </c>
      <c r="G294" s="9">
        <f>IFERROR(__xludf.DUMMYFUNCTION("""COMPUTED_VALUE"""),0.0)</f>
        <v>0</v>
      </c>
      <c r="H294" s="9"/>
      <c r="I294" s="9">
        <f>IFERROR(__xludf.DUMMYFUNCTION("""COMPUTED_VALUE"""),6.0)</f>
        <v>6</v>
      </c>
      <c r="J294" s="9">
        <f>IFERROR(__xludf.DUMMYFUNCTION("""COMPUTED_VALUE"""),0.0)</f>
        <v>0</v>
      </c>
      <c r="K294" s="9">
        <f>IFERROR(__xludf.DUMMYFUNCTION("""COMPUTED_VALUE"""),2.0)</f>
        <v>2</v>
      </c>
      <c r="L294" s="9">
        <f>IFERROR(__xludf.DUMMYFUNCTION("""COMPUTED_VALUE"""),1.0)</f>
        <v>1</v>
      </c>
      <c r="M294" s="9">
        <f>IFERROR(__xludf.DUMMYFUNCTION("""COMPUTED_VALUE"""),9.0)</f>
        <v>9</v>
      </c>
      <c r="N294" s="9">
        <f>IFERROR(__xludf.DUMMYFUNCTION("""COMPUTED_VALUE"""),10.0)</f>
        <v>10</v>
      </c>
      <c r="O294" s="9">
        <f>IFERROR(__xludf.DUMMYFUNCTION("""COMPUTED_VALUE"""),0.0)</f>
        <v>0</v>
      </c>
      <c r="P294" s="9">
        <f>IFERROR(__xludf.DUMMYFUNCTION("""COMPUTED_VALUE"""),5.0)</f>
        <v>5</v>
      </c>
      <c r="Q294" s="9">
        <f>IFERROR(__xludf.DUMMYFUNCTION("""COMPUTED_VALUE"""),6.0)</f>
        <v>6</v>
      </c>
      <c r="R294" s="9">
        <f>IFERROR(__xludf.DUMMYFUNCTION("""COMPUTED_VALUE"""),4.0)</f>
        <v>4</v>
      </c>
      <c r="S294" s="9">
        <f>IFERROR(__xludf.DUMMYFUNCTION("""COMPUTED_VALUE"""),1.0)</f>
        <v>1</v>
      </c>
      <c r="T294" s="9">
        <f>IFERROR(__xludf.DUMMYFUNCTION("""COMPUTED_VALUE"""),2.0)</f>
        <v>2</v>
      </c>
      <c r="U294" s="9">
        <f>IFERROR(__xludf.DUMMYFUNCTION("""COMPUTED_VALUE"""),0.0)</f>
        <v>0</v>
      </c>
      <c r="V294" s="9">
        <f>IFERROR(__xludf.DUMMYFUNCTION("""COMPUTED_VALUE"""),10.0)</f>
        <v>10</v>
      </c>
      <c r="W294" s="9">
        <f>IFERROR(__xludf.DUMMYFUNCTION("""COMPUTED_VALUE"""),0.0)</f>
        <v>0</v>
      </c>
      <c r="X294" s="9">
        <f>IFERROR(__xludf.DUMMYFUNCTION("""COMPUTED_VALUE"""),5.0)</f>
        <v>5</v>
      </c>
      <c r="Y294" s="9">
        <f>IFERROR(__xludf.DUMMYFUNCTION("""COMPUTED_VALUE"""),12.0)</f>
        <v>12</v>
      </c>
      <c r="Z294" s="9">
        <f>IFERROR(__xludf.DUMMYFUNCTION("""COMPUTED_VALUE"""),2.0)</f>
        <v>2</v>
      </c>
      <c r="AA294" s="9">
        <f>IFERROR(__xludf.DUMMYFUNCTION("""COMPUTED_VALUE"""),0.0)</f>
        <v>0</v>
      </c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  <c r="TB294" s="9"/>
      <c r="TC294" s="9"/>
      <c r="TD294" s="9"/>
      <c r="TE294" s="9"/>
      <c r="TF294" s="9"/>
      <c r="TG294" s="9"/>
      <c r="TH294" s="9"/>
      <c r="TI294" s="9"/>
      <c r="TJ294" s="9"/>
      <c r="TK294" s="9"/>
      <c r="TL294" s="9"/>
      <c r="TM294" s="9"/>
      <c r="TN294" s="9"/>
      <c r="TO294" s="9"/>
      <c r="TP294" s="9"/>
      <c r="TQ294" s="9"/>
      <c r="TR294" s="9"/>
      <c r="TS294" s="9"/>
      <c r="TT294" s="9"/>
      <c r="TU294" s="9"/>
      <c r="TV294" s="9"/>
      <c r="TW294" s="9"/>
      <c r="TX294" s="9"/>
      <c r="TY294" s="9"/>
      <c r="TZ294" s="9"/>
      <c r="UA294" s="9"/>
      <c r="UB294" s="9"/>
      <c r="UC294" s="9"/>
      <c r="UD294" s="9"/>
      <c r="UE294" s="9"/>
      <c r="UF294" s="9"/>
      <c r="UG294" s="9"/>
      <c r="UH294" s="9"/>
      <c r="UI294" s="9"/>
      <c r="UJ294" s="9"/>
    </row>
    <row r="295">
      <c r="A295" s="8">
        <f>IFERROR(__xludf.DUMMYFUNCTION("""COMPUTED_VALUE"""),45413.0)</f>
        <v>45413</v>
      </c>
      <c r="B295" s="9">
        <f>IFERROR(__xludf.DUMMYFUNCTION("""COMPUTED_VALUE"""),0.0)</f>
        <v>0</v>
      </c>
      <c r="C295" s="9">
        <f>IFERROR(__xludf.DUMMYFUNCTION("""COMPUTED_VALUE"""),0.0)</f>
        <v>0</v>
      </c>
      <c r="D295" s="9">
        <f>IFERROR(__xludf.DUMMYFUNCTION("""COMPUTED_VALUE"""),0.0)</f>
        <v>0</v>
      </c>
      <c r="E295" s="9">
        <f>IFERROR(__xludf.DUMMYFUNCTION("""COMPUTED_VALUE"""),0.0)</f>
        <v>0</v>
      </c>
      <c r="F295" s="9">
        <f>IFERROR(__xludf.DUMMYFUNCTION("""COMPUTED_VALUE"""),0.0)</f>
        <v>0</v>
      </c>
      <c r="G295" s="9">
        <f>IFERROR(__xludf.DUMMYFUNCTION("""COMPUTED_VALUE"""),0.0)</f>
        <v>0</v>
      </c>
      <c r="H295" s="9"/>
      <c r="I295" s="9">
        <f>IFERROR(__xludf.DUMMYFUNCTION("""COMPUTED_VALUE"""),0.0)</f>
        <v>0</v>
      </c>
      <c r="J295" s="9">
        <f>IFERROR(__xludf.DUMMYFUNCTION("""COMPUTED_VALUE"""),0.0)</f>
        <v>0</v>
      </c>
      <c r="K295" s="9">
        <f>IFERROR(__xludf.DUMMYFUNCTION("""COMPUTED_VALUE"""),0.0)</f>
        <v>0</v>
      </c>
      <c r="L295" s="9">
        <f>IFERROR(__xludf.DUMMYFUNCTION("""COMPUTED_VALUE"""),0.0)</f>
        <v>0</v>
      </c>
      <c r="M295" s="9">
        <f>IFERROR(__xludf.DUMMYFUNCTION("""COMPUTED_VALUE"""),0.0)</f>
        <v>0</v>
      </c>
      <c r="N295" s="9">
        <f>IFERROR(__xludf.DUMMYFUNCTION("""COMPUTED_VALUE"""),0.0)</f>
        <v>0</v>
      </c>
      <c r="O295" s="9">
        <f>IFERROR(__xludf.DUMMYFUNCTION("""COMPUTED_VALUE"""),0.0)</f>
        <v>0</v>
      </c>
      <c r="P295" s="9">
        <f>IFERROR(__xludf.DUMMYFUNCTION("""COMPUTED_VALUE"""),0.0)</f>
        <v>0</v>
      </c>
      <c r="Q295" s="9">
        <f>IFERROR(__xludf.DUMMYFUNCTION("""COMPUTED_VALUE"""),0.0)</f>
        <v>0</v>
      </c>
      <c r="R295" s="9">
        <f>IFERROR(__xludf.DUMMYFUNCTION("""COMPUTED_VALUE"""),0.0)</f>
        <v>0</v>
      </c>
      <c r="S295" s="9">
        <f>IFERROR(__xludf.DUMMYFUNCTION("""COMPUTED_VALUE"""),0.0)</f>
        <v>0</v>
      </c>
      <c r="T295" s="9">
        <f>IFERROR(__xludf.DUMMYFUNCTION("""COMPUTED_VALUE"""),0.0)</f>
        <v>0</v>
      </c>
      <c r="U295" s="9">
        <f>IFERROR(__xludf.DUMMYFUNCTION("""COMPUTED_VALUE"""),0.0)</f>
        <v>0</v>
      </c>
      <c r="V295" s="9">
        <f>IFERROR(__xludf.DUMMYFUNCTION("""COMPUTED_VALUE"""),0.0)</f>
        <v>0</v>
      </c>
      <c r="W295" s="9">
        <f>IFERROR(__xludf.DUMMYFUNCTION("""COMPUTED_VALUE"""),0.0)</f>
        <v>0</v>
      </c>
      <c r="X295" s="9">
        <f>IFERROR(__xludf.DUMMYFUNCTION("""COMPUTED_VALUE"""),0.0)</f>
        <v>0</v>
      </c>
      <c r="Y295" s="9">
        <f>IFERROR(__xludf.DUMMYFUNCTION("""COMPUTED_VALUE"""),0.0)</f>
        <v>0</v>
      </c>
      <c r="Z295" s="9">
        <f>IFERROR(__xludf.DUMMYFUNCTION("""COMPUTED_VALUE"""),0.0)</f>
        <v>0</v>
      </c>
      <c r="AA295" s="9">
        <f>IFERROR(__xludf.DUMMYFUNCTION("""COMPUTED_VALUE"""),0.0)</f>
        <v>0</v>
      </c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  <c r="TB295" s="9"/>
      <c r="TC295" s="9"/>
      <c r="TD295" s="9"/>
      <c r="TE295" s="9"/>
      <c r="TF295" s="9"/>
      <c r="TG295" s="9"/>
      <c r="TH295" s="9"/>
      <c r="TI295" s="9"/>
      <c r="TJ295" s="9"/>
      <c r="TK295" s="9"/>
      <c r="TL295" s="9"/>
      <c r="TM295" s="9"/>
      <c r="TN295" s="9"/>
      <c r="TO295" s="9"/>
      <c r="TP295" s="9"/>
      <c r="TQ295" s="9"/>
      <c r="TR295" s="9"/>
      <c r="TS295" s="9"/>
      <c r="TT295" s="9"/>
      <c r="TU295" s="9"/>
      <c r="TV295" s="9"/>
      <c r="TW295" s="9"/>
      <c r="TX295" s="9"/>
      <c r="TY295" s="9"/>
      <c r="TZ295" s="9"/>
      <c r="UA295" s="9"/>
      <c r="UB295" s="9"/>
      <c r="UC295" s="9"/>
      <c r="UD295" s="9"/>
      <c r="UE295" s="9"/>
      <c r="UF295" s="9"/>
      <c r="UG295" s="9"/>
      <c r="UH295" s="9"/>
      <c r="UI295" s="9"/>
      <c r="UJ295" s="9"/>
    </row>
    <row r="296">
      <c r="A296" s="8">
        <f>IFERROR(__xludf.DUMMYFUNCTION("""COMPUTED_VALUE"""),45414.0)</f>
        <v>45414</v>
      </c>
      <c r="B296" s="9">
        <f>IFERROR(__xludf.DUMMYFUNCTION("""COMPUTED_VALUE"""),17.0)</f>
        <v>17</v>
      </c>
      <c r="C296" s="9">
        <f>IFERROR(__xludf.DUMMYFUNCTION("""COMPUTED_VALUE"""),101.0)</f>
        <v>101</v>
      </c>
      <c r="D296" s="9">
        <f>IFERROR(__xludf.DUMMYFUNCTION("""COMPUTED_VALUE"""),6.0)</f>
        <v>6</v>
      </c>
      <c r="E296" s="9">
        <f>IFERROR(__xludf.DUMMYFUNCTION("""COMPUTED_VALUE"""),1312.0)</f>
        <v>1312</v>
      </c>
      <c r="F296" s="9">
        <f>IFERROR(__xludf.DUMMYFUNCTION("""COMPUTED_VALUE"""),77.0)</f>
        <v>77</v>
      </c>
      <c r="G296" s="9">
        <f>IFERROR(__xludf.DUMMYFUNCTION("""COMPUTED_VALUE"""),0.0)</f>
        <v>0</v>
      </c>
      <c r="H296" s="9"/>
      <c r="I296" s="9">
        <f>IFERROR(__xludf.DUMMYFUNCTION("""COMPUTED_VALUE"""),8.0)</f>
        <v>8</v>
      </c>
      <c r="J296" s="9">
        <f>IFERROR(__xludf.DUMMYFUNCTION("""COMPUTED_VALUE"""),3.0)</f>
        <v>3</v>
      </c>
      <c r="K296" s="9">
        <f>IFERROR(__xludf.DUMMYFUNCTION("""COMPUTED_VALUE"""),1.0)</f>
        <v>1</v>
      </c>
      <c r="L296" s="9">
        <f>IFERROR(__xludf.DUMMYFUNCTION("""COMPUTED_VALUE"""),0.0)</f>
        <v>0</v>
      </c>
      <c r="M296" s="9">
        <f>IFERROR(__xludf.DUMMYFUNCTION("""COMPUTED_VALUE"""),12.0)</f>
        <v>12</v>
      </c>
      <c r="N296" s="9">
        <f>IFERROR(__xludf.DUMMYFUNCTION("""COMPUTED_VALUE"""),15.0)</f>
        <v>15</v>
      </c>
      <c r="O296" s="9">
        <f>IFERROR(__xludf.DUMMYFUNCTION("""COMPUTED_VALUE"""),0.0)</f>
        <v>0</v>
      </c>
      <c r="P296" s="9">
        <f>IFERROR(__xludf.DUMMYFUNCTION("""COMPUTED_VALUE"""),2.0)</f>
        <v>2</v>
      </c>
      <c r="Q296" s="9">
        <f>IFERROR(__xludf.DUMMYFUNCTION("""COMPUTED_VALUE"""),7.0)</f>
        <v>7</v>
      </c>
      <c r="R296" s="9">
        <f>IFERROR(__xludf.DUMMYFUNCTION("""COMPUTED_VALUE"""),2.0)</f>
        <v>2</v>
      </c>
      <c r="S296" s="9">
        <f>IFERROR(__xludf.DUMMYFUNCTION("""COMPUTED_VALUE"""),7.0)</f>
        <v>7</v>
      </c>
      <c r="T296" s="9">
        <f>IFERROR(__xludf.DUMMYFUNCTION("""COMPUTED_VALUE"""),1.0)</f>
        <v>1</v>
      </c>
      <c r="U296" s="9">
        <f>IFERROR(__xludf.DUMMYFUNCTION("""COMPUTED_VALUE"""),0.0)</f>
        <v>0</v>
      </c>
      <c r="V296" s="9">
        <f>IFERROR(__xludf.DUMMYFUNCTION("""COMPUTED_VALUE"""),9.0)</f>
        <v>9</v>
      </c>
      <c r="W296" s="9">
        <f>IFERROR(__xludf.DUMMYFUNCTION("""COMPUTED_VALUE"""),0.0)</f>
        <v>0</v>
      </c>
      <c r="X296" s="9">
        <f>IFERROR(__xludf.DUMMYFUNCTION("""COMPUTED_VALUE"""),11.0)</f>
        <v>11</v>
      </c>
      <c r="Y296" s="9">
        <f>IFERROR(__xludf.DUMMYFUNCTION("""COMPUTED_VALUE"""),10.0)</f>
        <v>10</v>
      </c>
      <c r="Z296" s="9">
        <f>IFERROR(__xludf.DUMMYFUNCTION("""COMPUTED_VALUE"""),1.0)</f>
        <v>1</v>
      </c>
      <c r="AA296" s="9">
        <f>IFERROR(__xludf.DUMMYFUNCTION("""COMPUTED_VALUE"""),0.0)</f>
        <v>0</v>
      </c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/>
      <c r="JF296" s="9"/>
      <c r="JG296" s="9"/>
      <c r="JH296" s="9"/>
      <c r="JI296" s="9"/>
      <c r="JJ296" s="9"/>
      <c r="JK296" s="9"/>
      <c r="JL296" s="9"/>
      <c r="JM296" s="9"/>
      <c r="JN296" s="9"/>
      <c r="JO296" s="9"/>
      <c r="JP296" s="9"/>
      <c r="JQ296" s="9"/>
      <c r="JR296" s="9"/>
      <c r="JS296" s="9"/>
      <c r="JT296" s="9"/>
      <c r="JU296" s="9"/>
      <c r="JV296" s="9"/>
      <c r="JW296" s="9"/>
      <c r="JX296" s="9"/>
      <c r="JY296" s="9"/>
      <c r="JZ296" s="9"/>
      <c r="KA296" s="9"/>
      <c r="KB296" s="9"/>
      <c r="KC296" s="9"/>
      <c r="KD296" s="9"/>
      <c r="KE296" s="9"/>
      <c r="KF296" s="9"/>
      <c r="KG296" s="9"/>
      <c r="KH296" s="9"/>
      <c r="KI296" s="9"/>
      <c r="KJ296" s="9"/>
      <c r="KK296" s="9"/>
      <c r="KL296" s="9"/>
      <c r="KM296" s="9"/>
      <c r="KN296" s="9"/>
      <c r="KO296" s="9"/>
      <c r="KP296" s="9"/>
      <c r="KQ296" s="9"/>
      <c r="KR296" s="9"/>
      <c r="KS296" s="9"/>
      <c r="KT296" s="9"/>
      <c r="KU296" s="9"/>
      <c r="KV296" s="9"/>
      <c r="KW296" s="9"/>
      <c r="KX296" s="9"/>
      <c r="KY296" s="9"/>
      <c r="KZ296" s="9"/>
      <c r="LA296" s="9"/>
      <c r="LB296" s="9"/>
      <c r="LC296" s="9"/>
      <c r="LD296" s="9"/>
      <c r="LE296" s="9"/>
      <c r="LF296" s="9"/>
      <c r="LG296" s="9"/>
      <c r="LH296" s="9"/>
      <c r="LI296" s="9"/>
      <c r="LJ296" s="9"/>
      <c r="LK296" s="9"/>
      <c r="LL296" s="9"/>
      <c r="LM296" s="9"/>
      <c r="LN296" s="9"/>
      <c r="LO296" s="9"/>
      <c r="LP296" s="9"/>
      <c r="LQ296" s="9"/>
      <c r="LR296" s="9"/>
      <c r="LS296" s="9"/>
      <c r="LT296" s="9"/>
      <c r="LU296" s="9"/>
      <c r="LV296" s="9"/>
      <c r="LW296" s="9"/>
      <c r="LX296" s="9"/>
      <c r="LY296" s="9"/>
      <c r="LZ296" s="9"/>
      <c r="MA296" s="9"/>
      <c r="MB296" s="9"/>
      <c r="MC296" s="9"/>
      <c r="MD296" s="9"/>
      <c r="ME296" s="9"/>
      <c r="MF296" s="9"/>
      <c r="MG296" s="9"/>
      <c r="MH296" s="9"/>
      <c r="MI296" s="9"/>
      <c r="MJ296" s="9"/>
      <c r="MK296" s="9"/>
      <c r="ML296" s="9"/>
      <c r="MM296" s="9"/>
      <c r="MN296" s="9"/>
      <c r="MO296" s="9"/>
      <c r="MP296" s="9"/>
      <c r="MQ296" s="9"/>
      <c r="MR296" s="9"/>
      <c r="MS296" s="9"/>
      <c r="MT296" s="9"/>
      <c r="MU296" s="9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  <c r="PG296" s="9"/>
      <c r="PH296" s="9"/>
      <c r="PI296" s="9"/>
      <c r="PJ296" s="9"/>
      <c r="PK296" s="9"/>
      <c r="PL296" s="9"/>
      <c r="PM296" s="9"/>
      <c r="PN296" s="9"/>
      <c r="PO296" s="9"/>
      <c r="PP296" s="9"/>
      <c r="PQ296" s="9"/>
      <c r="PR296" s="9"/>
      <c r="PS296" s="9"/>
      <c r="PT296" s="9"/>
      <c r="PU296" s="9"/>
      <c r="PV296" s="9"/>
      <c r="PW296" s="9"/>
      <c r="PX296" s="9"/>
      <c r="PY296" s="9"/>
      <c r="PZ296" s="9"/>
      <c r="QA296" s="9"/>
      <c r="QB296" s="9"/>
      <c r="QC296" s="9"/>
      <c r="QD296" s="9"/>
      <c r="QE296" s="9"/>
      <c r="QF296" s="9"/>
      <c r="QG296" s="9"/>
      <c r="QH296" s="9"/>
      <c r="QI296" s="9"/>
      <c r="QJ296" s="9"/>
      <c r="QK296" s="9"/>
      <c r="QL296" s="9"/>
      <c r="QM296" s="9"/>
      <c r="QN296" s="9"/>
      <c r="QO296" s="9"/>
      <c r="QP296" s="9"/>
      <c r="QQ296" s="9"/>
      <c r="QR296" s="9"/>
      <c r="QS296" s="9"/>
      <c r="QT296" s="9"/>
      <c r="QU296" s="9"/>
      <c r="QV296" s="9"/>
      <c r="QW296" s="9"/>
      <c r="QX296" s="9"/>
      <c r="QY296" s="9"/>
      <c r="QZ296" s="9"/>
      <c r="RA296" s="9"/>
      <c r="RB296" s="9"/>
      <c r="RC296" s="9"/>
      <c r="RD296" s="9"/>
      <c r="RE296" s="9"/>
      <c r="RF296" s="9"/>
      <c r="RG296" s="9"/>
      <c r="RH296" s="9"/>
      <c r="RI296" s="9"/>
      <c r="RJ296" s="9"/>
      <c r="RK296" s="9"/>
      <c r="RL296" s="9"/>
      <c r="RM296" s="9"/>
      <c r="RN296" s="9"/>
      <c r="RO296" s="9"/>
      <c r="RP296" s="9"/>
      <c r="RQ296" s="9"/>
      <c r="RR296" s="9"/>
      <c r="RS296" s="9"/>
      <c r="RT296" s="9"/>
      <c r="RU296" s="9"/>
      <c r="RV296" s="9"/>
      <c r="RW296" s="9"/>
      <c r="RX296" s="9"/>
      <c r="RY296" s="9"/>
      <c r="RZ296" s="9"/>
      <c r="SA296" s="9"/>
      <c r="SB296" s="9"/>
      <c r="SC296" s="9"/>
      <c r="SD296" s="9"/>
      <c r="SE296" s="9"/>
      <c r="SF296" s="9"/>
      <c r="SG296" s="9"/>
      <c r="SH296" s="9"/>
      <c r="SI296" s="9"/>
      <c r="SJ296" s="9"/>
      <c r="SK296" s="9"/>
      <c r="SL296" s="9"/>
      <c r="SM296" s="9"/>
      <c r="SN296" s="9"/>
      <c r="SO296" s="9"/>
      <c r="SP296" s="9"/>
      <c r="SQ296" s="9"/>
      <c r="SR296" s="9"/>
      <c r="SS296" s="9"/>
      <c r="ST296" s="9"/>
      <c r="SU296" s="9"/>
      <c r="SV296" s="9"/>
      <c r="SW296" s="9"/>
      <c r="SX296" s="9"/>
      <c r="SY296" s="9"/>
      <c r="SZ296" s="9"/>
      <c r="TA296" s="9"/>
      <c r="TB296" s="9"/>
      <c r="TC296" s="9"/>
      <c r="TD296" s="9"/>
      <c r="TE296" s="9"/>
      <c r="TF296" s="9"/>
      <c r="TG296" s="9"/>
      <c r="TH296" s="9"/>
      <c r="TI296" s="9"/>
      <c r="TJ296" s="9"/>
      <c r="TK296" s="9"/>
      <c r="TL296" s="9"/>
      <c r="TM296" s="9"/>
      <c r="TN296" s="9"/>
      <c r="TO296" s="9"/>
      <c r="TP296" s="9"/>
      <c r="TQ296" s="9"/>
      <c r="TR296" s="9"/>
      <c r="TS296" s="9"/>
      <c r="TT296" s="9"/>
      <c r="TU296" s="9"/>
      <c r="TV296" s="9"/>
      <c r="TW296" s="9"/>
      <c r="TX296" s="9"/>
      <c r="TY296" s="9"/>
      <c r="TZ296" s="9"/>
      <c r="UA296" s="9"/>
      <c r="UB296" s="9"/>
      <c r="UC296" s="9"/>
      <c r="UD296" s="9"/>
      <c r="UE296" s="9"/>
      <c r="UF296" s="9"/>
      <c r="UG296" s="9"/>
      <c r="UH296" s="9"/>
      <c r="UI296" s="9"/>
      <c r="UJ296" s="9"/>
    </row>
    <row r="297">
      <c r="A297" s="8">
        <f>IFERROR(__xludf.DUMMYFUNCTION("""COMPUTED_VALUE"""),45415.0)</f>
        <v>45415</v>
      </c>
      <c r="B297" s="9">
        <f>IFERROR(__xludf.DUMMYFUNCTION("""COMPUTED_VALUE"""),8.0)</f>
        <v>8</v>
      </c>
      <c r="C297" s="9">
        <f>IFERROR(__xludf.DUMMYFUNCTION("""COMPUTED_VALUE"""),74.0)</f>
        <v>74</v>
      </c>
      <c r="D297" s="9">
        <f>IFERROR(__xludf.DUMMYFUNCTION("""COMPUTED_VALUE"""),9.0)</f>
        <v>9</v>
      </c>
      <c r="E297" s="9">
        <f>IFERROR(__xludf.DUMMYFUNCTION("""COMPUTED_VALUE"""),923.0)</f>
        <v>923</v>
      </c>
      <c r="F297" s="9">
        <f>IFERROR(__xludf.DUMMYFUNCTION("""COMPUTED_VALUE"""),115.0)</f>
        <v>115</v>
      </c>
      <c r="G297" s="9">
        <f>IFERROR(__xludf.DUMMYFUNCTION("""COMPUTED_VALUE"""),0.0)</f>
        <v>0</v>
      </c>
      <c r="H297" s="9"/>
      <c r="I297" s="9">
        <f>IFERROR(__xludf.DUMMYFUNCTION("""COMPUTED_VALUE"""),6.0)</f>
        <v>6</v>
      </c>
      <c r="J297" s="9">
        <f>IFERROR(__xludf.DUMMYFUNCTION("""COMPUTED_VALUE"""),1.0)</f>
        <v>1</v>
      </c>
      <c r="K297" s="9">
        <f>IFERROR(__xludf.DUMMYFUNCTION("""COMPUTED_VALUE"""),0.0)</f>
        <v>0</v>
      </c>
      <c r="L297" s="9">
        <f>IFERROR(__xludf.DUMMYFUNCTION("""COMPUTED_VALUE"""),0.0)</f>
        <v>0</v>
      </c>
      <c r="M297" s="9">
        <f>IFERROR(__xludf.DUMMYFUNCTION("""COMPUTED_VALUE"""),7.0)</f>
        <v>7</v>
      </c>
      <c r="N297" s="9">
        <f>IFERROR(__xludf.DUMMYFUNCTION("""COMPUTED_VALUE"""),6.0)</f>
        <v>6</v>
      </c>
      <c r="O297" s="9">
        <f>IFERROR(__xludf.DUMMYFUNCTION("""COMPUTED_VALUE"""),0.0)</f>
        <v>0</v>
      </c>
      <c r="P297" s="9">
        <f>IFERROR(__xludf.DUMMYFUNCTION("""COMPUTED_VALUE"""),2.0)</f>
        <v>2</v>
      </c>
      <c r="Q297" s="9">
        <f>IFERROR(__xludf.DUMMYFUNCTION("""COMPUTED_VALUE"""),5.0)</f>
        <v>5</v>
      </c>
      <c r="R297" s="9">
        <f>IFERROR(__xludf.DUMMYFUNCTION("""COMPUTED_VALUE"""),2.0)</f>
        <v>2</v>
      </c>
      <c r="S297" s="9">
        <f>IFERROR(__xludf.DUMMYFUNCTION("""COMPUTED_VALUE"""),1.0)</f>
        <v>1</v>
      </c>
      <c r="T297" s="9">
        <f>IFERROR(__xludf.DUMMYFUNCTION("""COMPUTED_VALUE"""),0.0)</f>
        <v>0</v>
      </c>
      <c r="U297" s="9">
        <f>IFERROR(__xludf.DUMMYFUNCTION("""COMPUTED_VALUE"""),0.0)</f>
        <v>0</v>
      </c>
      <c r="V297" s="9">
        <f>IFERROR(__xludf.DUMMYFUNCTION("""COMPUTED_VALUE"""),7.0)</f>
        <v>7</v>
      </c>
      <c r="W297" s="9">
        <f>IFERROR(__xludf.DUMMYFUNCTION("""COMPUTED_VALUE"""),1.0)</f>
        <v>1</v>
      </c>
      <c r="X297" s="9">
        <f>IFERROR(__xludf.DUMMYFUNCTION("""COMPUTED_VALUE"""),3.0)</f>
        <v>3</v>
      </c>
      <c r="Y297" s="9">
        <f>IFERROR(__xludf.DUMMYFUNCTION("""COMPUTED_VALUE"""),7.0)</f>
        <v>7</v>
      </c>
      <c r="Z297" s="9">
        <f>IFERROR(__xludf.DUMMYFUNCTION("""COMPUTED_VALUE"""),1.0)</f>
        <v>1</v>
      </c>
      <c r="AA297" s="9">
        <f>IFERROR(__xludf.DUMMYFUNCTION("""COMPUTED_VALUE"""),0.0)</f>
        <v>0</v>
      </c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  <c r="TB297" s="9"/>
      <c r="TC297" s="9"/>
      <c r="TD297" s="9"/>
      <c r="TE297" s="9"/>
      <c r="TF297" s="9"/>
      <c r="TG297" s="9"/>
      <c r="TH297" s="9"/>
      <c r="TI297" s="9"/>
      <c r="TJ297" s="9"/>
      <c r="TK297" s="9"/>
      <c r="TL297" s="9"/>
      <c r="TM297" s="9"/>
      <c r="TN297" s="9"/>
      <c r="TO297" s="9"/>
      <c r="TP297" s="9"/>
      <c r="TQ297" s="9"/>
      <c r="TR297" s="9"/>
      <c r="TS297" s="9"/>
      <c r="TT297" s="9"/>
      <c r="TU297" s="9"/>
      <c r="TV297" s="9"/>
      <c r="TW297" s="9"/>
      <c r="TX297" s="9"/>
      <c r="TY297" s="9"/>
      <c r="TZ297" s="9"/>
      <c r="UA297" s="9"/>
      <c r="UB297" s="9"/>
      <c r="UC297" s="9"/>
      <c r="UD297" s="9"/>
      <c r="UE297" s="9"/>
      <c r="UF297" s="9"/>
      <c r="UG297" s="9"/>
      <c r="UH297" s="9"/>
      <c r="UI297" s="9"/>
      <c r="UJ297" s="9"/>
    </row>
    <row r="298">
      <c r="A298" s="8">
        <f>IFERROR(__xludf.DUMMYFUNCTION("""COMPUTED_VALUE"""),45416.0)</f>
        <v>45416</v>
      </c>
      <c r="B298" s="9">
        <f>IFERROR(__xludf.DUMMYFUNCTION("""COMPUTED_VALUE"""),1.0)</f>
        <v>1</v>
      </c>
      <c r="C298" s="9">
        <f>IFERROR(__xludf.DUMMYFUNCTION("""COMPUTED_VALUE"""),4.0)</f>
        <v>4</v>
      </c>
      <c r="D298" s="9">
        <f>IFERROR(__xludf.DUMMYFUNCTION("""COMPUTED_VALUE"""),4.0)</f>
        <v>4</v>
      </c>
      <c r="E298" s="9">
        <f>IFERROR(__xludf.DUMMYFUNCTION("""COMPUTED_VALUE"""),67.0)</f>
        <v>67</v>
      </c>
      <c r="F298" s="9">
        <f>IFERROR(__xludf.DUMMYFUNCTION("""COMPUTED_VALUE"""),67.0)</f>
        <v>67</v>
      </c>
      <c r="G298" s="9">
        <f>IFERROR(__xludf.DUMMYFUNCTION("""COMPUTED_VALUE"""),0.0)</f>
        <v>0</v>
      </c>
      <c r="H298" s="9"/>
      <c r="I298" s="9">
        <f>IFERROR(__xludf.DUMMYFUNCTION("""COMPUTED_VALUE"""),1.0)</f>
        <v>1</v>
      </c>
      <c r="J298" s="9">
        <f>IFERROR(__xludf.DUMMYFUNCTION("""COMPUTED_VALUE"""),0.0)</f>
        <v>0</v>
      </c>
      <c r="K298" s="9">
        <f>IFERROR(__xludf.DUMMYFUNCTION("""COMPUTED_VALUE"""),0.0)</f>
        <v>0</v>
      </c>
      <c r="L298" s="9">
        <f>IFERROR(__xludf.DUMMYFUNCTION("""COMPUTED_VALUE"""),0.0)</f>
        <v>0</v>
      </c>
      <c r="M298" s="9">
        <f>IFERROR(__xludf.DUMMYFUNCTION("""COMPUTED_VALUE"""),1.0)</f>
        <v>1</v>
      </c>
      <c r="N298" s="9">
        <f>IFERROR(__xludf.DUMMYFUNCTION("""COMPUTED_VALUE"""),0.0)</f>
        <v>0</v>
      </c>
      <c r="O298" s="9">
        <f>IFERROR(__xludf.DUMMYFUNCTION("""COMPUTED_VALUE"""),0.0)</f>
        <v>0</v>
      </c>
      <c r="P298" s="9">
        <f>IFERROR(__xludf.DUMMYFUNCTION("""COMPUTED_VALUE"""),1.0)</f>
        <v>1</v>
      </c>
      <c r="Q298" s="9">
        <f>IFERROR(__xludf.DUMMYFUNCTION("""COMPUTED_VALUE"""),0.0)</f>
        <v>0</v>
      </c>
      <c r="R298" s="9">
        <f>IFERROR(__xludf.DUMMYFUNCTION("""COMPUTED_VALUE"""),0.0)</f>
        <v>0</v>
      </c>
      <c r="S298" s="9">
        <f>IFERROR(__xludf.DUMMYFUNCTION("""COMPUTED_VALUE"""),0.0)</f>
        <v>0</v>
      </c>
      <c r="T298" s="9">
        <f>IFERROR(__xludf.DUMMYFUNCTION("""COMPUTED_VALUE"""),0.0)</f>
        <v>0</v>
      </c>
      <c r="U298" s="9">
        <f>IFERROR(__xludf.DUMMYFUNCTION("""COMPUTED_VALUE"""),0.0)</f>
        <v>0</v>
      </c>
      <c r="V298" s="9">
        <f>IFERROR(__xludf.DUMMYFUNCTION("""COMPUTED_VALUE"""),0.0)</f>
        <v>0</v>
      </c>
      <c r="W298" s="9">
        <f>IFERROR(__xludf.DUMMYFUNCTION("""COMPUTED_VALUE"""),0.0)</f>
        <v>0</v>
      </c>
      <c r="X298" s="9">
        <f>IFERROR(__xludf.DUMMYFUNCTION("""COMPUTED_VALUE"""),2.0)</f>
        <v>2</v>
      </c>
      <c r="Y298" s="9">
        <f>IFERROR(__xludf.DUMMYFUNCTION("""COMPUTED_VALUE"""),0.0)</f>
        <v>0</v>
      </c>
      <c r="Z298" s="9">
        <f>IFERROR(__xludf.DUMMYFUNCTION("""COMPUTED_VALUE"""),0.0)</f>
        <v>0</v>
      </c>
      <c r="AA298" s="9">
        <f>IFERROR(__xludf.DUMMYFUNCTION("""COMPUTED_VALUE"""),0.0)</f>
        <v>0</v>
      </c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/>
      <c r="JF298" s="9"/>
      <c r="JG298" s="9"/>
      <c r="JH298" s="9"/>
      <c r="JI298" s="9"/>
      <c r="JJ298" s="9"/>
      <c r="JK298" s="9"/>
      <c r="JL298" s="9"/>
      <c r="JM298" s="9"/>
      <c r="JN298" s="9"/>
      <c r="JO298" s="9"/>
      <c r="JP298" s="9"/>
      <c r="JQ298" s="9"/>
      <c r="JR298" s="9"/>
      <c r="JS298" s="9"/>
      <c r="JT298" s="9"/>
      <c r="JU298" s="9"/>
      <c r="JV298" s="9"/>
      <c r="JW298" s="9"/>
      <c r="JX298" s="9"/>
      <c r="JY298" s="9"/>
      <c r="JZ298" s="9"/>
      <c r="KA298" s="9"/>
      <c r="KB298" s="9"/>
      <c r="KC298" s="9"/>
      <c r="KD298" s="9"/>
      <c r="KE298" s="9"/>
      <c r="KF298" s="9"/>
      <c r="KG298" s="9"/>
      <c r="KH298" s="9"/>
      <c r="KI298" s="9"/>
      <c r="KJ298" s="9"/>
      <c r="KK298" s="9"/>
      <c r="KL298" s="9"/>
      <c r="KM298" s="9"/>
      <c r="KN298" s="9"/>
      <c r="KO298" s="9"/>
      <c r="KP298" s="9"/>
      <c r="KQ298" s="9"/>
      <c r="KR298" s="9"/>
      <c r="KS298" s="9"/>
      <c r="KT298" s="9"/>
      <c r="KU298" s="9"/>
      <c r="KV298" s="9"/>
      <c r="KW298" s="9"/>
      <c r="KX298" s="9"/>
      <c r="KY298" s="9"/>
      <c r="KZ298" s="9"/>
      <c r="LA298" s="9"/>
      <c r="LB298" s="9"/>
      <c r="LC298" s="9"/>
      <c r="LD298" s="9"/>
      <c r="LE298" s="9"/>
      <c r="LF298" s="9"/>
      <c r="LG298" s="9"/>
      <c r="LH298" s="9"/>
      <c r="LI298" s="9"/>
      <c r="LJ298" s="9"/>
      <c r="LK298" s="9"/>
      <c r="LL298" s="9"/>
      <c r="LM298" s="9"/>
      <c r="LN298" s="9"/>
      <c r="LO298" s="9"/>
      <c r="LP298" s="9"/>
      <c r="LQ298" s="9"/>
      <c r="LR298" s="9"/>
      <c r="LS298" s="9"/>
      <c r="LT298" s="9"/>
      <c r="LU298" s="9"/>
      <c r="LV298" s="9"/>
      <c r="LW298" s="9"/>
      <c r="LX298" s="9"/>
      <c r="LY298" s="9"/>
      <c r="LZ298" s="9"/>
      <c r="MA298" s="9"/>
      <c r="MB298" s="9"/>
      <c r="MC298" s="9"/>
      <c r="MD298" s="9"/>
      <c r="ME298" s="9"/>
      <c r="MF298" s="9"/>
      <c r="MG298" s="9"/>
      <c r="MH298" s="9"/>
      <c r="MI298" s="9"/>
      <c r="MJ298" s="9"/>
      <c r="MK298" s="9"/>
      <c r="ML298" s="9"/>
      <c r="MM298" s="9"/>
      <c r="MN298" s="9"/>
      <c r="MO298" s="9"/>
      <c r="MP298" s="9"/>
      <c r="MQ298" s="9"/>
      <c r="MR298" s="9"/>
      <c r="MS298" s="9"/>
      <c r="MT298" s="9"/>
      <c r="MU298" s="9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  <c r="PG298" s="9"/>
      <c r="PH298" s="9"/>
      <c r="PI298" s="9"/>
      <c r="PJ298" s="9"/>
      <c r="PK298" s="9"/>
      <c r="PL298" s="9"/>
      <c r="PM298" s="9"/>
      <c r="PN298" s="9"/>
      <c r="PO298" s="9"/>
      <c r="PP298" s="9"/>
      <c r="PQ298" s="9"/>
      <c r="PR298" s="9"/>
      <c r="PS298" s="9"/>
      <c r="PT298" s="9"/>
      <c r="PU298" s="9"/>
      <c r="PV298" s="9"/>
      <c r="PW298" s="9"/>
      <c r="PX298" s="9"/>
      <c r="PY298" s="9"/>
      <c r="PZ298" s="9"/>
      <c r="QA298" s="9"/>
      <c r="QB298" s="9"/>
      <c r="QC298" s="9"/>
      <c r="QD298" s="9"/>
      <c r="QE298" s="9"/>
      <c r="QF298" s="9"/>
      <c r="QG298" s="9"/>
      <c r="QH298" s="9"/>
      <c r="QI298" s="9"/>
      <c r="QJ298" s="9"/>
      <c r="QK298" s="9"/>
      <c r="QL298" s="9"/>
      <c r="QM298" s="9"/>
      <c r="QN298" s="9"/>
      <c r="QO298" s="9"/>
      <c r="QP298" s="9"/>
      <c r="QQ298" s="9"/>
      <c r="QR298" s="9"/>
      <c r="QS298" s="9"/>
      <c r="QT298" s="9"/>
      <c r="QU298" s="9"/>
      <c r="QV298" s="9"/>
      <c r="QW298" s="9"/>
      <c r="QX298" s="9"/>
      <c r="QY298" s="9"/>
      <c r="QZ298" s="9"/>
      <c r="RA298" s="9"/>
      <c r="RB298" s="9"/>
      <c r="RC298" s="9"/>
      <c r="RD298" s="9"/>
      <c r="RE298" s="9"/>
      <c r="RF298" s="9"/>
      <c r="RG298" s="9"/>
      <c r="RH298" s="9"/>
      <c r="RI298" s="9"/>
      <c r="RJ298" s="9"/>
      <c r="RK298" s="9"/>
      <c r="RL298" s="9"/>
      <c r="RM298" s="9"/>
      <c r="RN298" s="9"/>
      <c r="RO298" s="9"/>
      <c r="RP298" s="9"/>
      <c r="RQ298" s="9"/>
      <c r="RR298" s="9"/>
      <c r="RS298" s="9"/>
      <c r="RT298" s="9"/>
      <c r="RU298" s="9"/>
      <c r="RV298" s="9"/>
      <c r="RW298" s="9"/>
      <c r="RX298" s="9"/>
      <c r="RY298" s="9"/>
      <c r="RZ298" s="9"/>
      <c r="SA298" s="9"/>
      <c r="SB298" s="9"/>
      <c r="SC298" s="9"/>
      <c r="SD298" s="9"/>
      <c r="SE298" s="9"/>
      <c r="SF298" s="9"/>
      <c r="SG298" s="9"/>
      <c r="SH298" s="9"/>
      <c r="SI298" s="9"/>
      <c r="SJ298" s="9"/>
      <c r="SK298" s="9"/>
      <c r="SL298" s="9"/>
      <c r="SM298" s="9"/>
      <c r="SN298" s="9"/>
      <c r="SO298" s="9"/>
      <c r="SP298" s="9"/>
      <c r="SQ298" s="9"/>
      <c r="SR298" s="9"/>
      <c r="SS298" s="9"/>
      <c r="ST298" s="9"/>
      <c r="SU298" s="9"/>
      <c r="SV298" s="9"/>
      <c r="SW298" s="9"/>
      <c r="SX298" s="9"/>
      <c r="SY298" s="9"/>
      <c r="SZ298" s="9"/>
      <c r="TA298" s="9"/>
      <c r="TB298" s="9"/>
      <c r="TC298" s="9"/>
      <c r="TD298" s="9"/>
      <c r="TE298" s="9"/>
      <c r="TF298" s="9"/>
      <c r="TG298" s="9"/>
      <c r="TH298" s="9"/>
      <c r="TI298" s="9"/>
      <c r="TJ298" s="9"/>
      <c r="TK298" s="9"/>
      <c r="TL298" s="9"/>
      <c r="TM298" s="9"/>
      <c r="TN298" s="9"/>
      <c r="TO298" s="9"/>
      <c r="TP298" s="9"/>
      <c r="TQ298" s="9"/>
      <c r="TR298" s="9"/>
      <c r="TS298" s="9"/>
      <c r="TT298" s="9"/>
      <c r="TU298" s="9"/>
      <c r="TV298" s="9"/>
      <c r="TW298" s="9"/>
      <c r="TX298" s="9"/>
      <c r="TY298" s="9"/>
      <c r="TZ298" s="9"/>
      <c r="UA298" s="9"/>
      <c r="UB298" s="9"/>
      <c r="UC298" s="9"/>
      <c r="UD298" s="9"/>
      <c r="UE298" s="9"/>
      <c r="UF298" s="9"/>
      <c r="UG298" s="9"/>
      <c r="UH298" s="9"/>
      <c r="UI298" s="9"/>
      <c r="UJ298" s="9"/>
    </row>
    <row r="299">
      <c r="A299" s="8">
        <f>IFERROR(__xludf.DUMMYFUNCTION("""COMPUTED_VALUE"""),45417.0)</f>
        <v>45417</v>
      </c>
      <c r="B299" s="9">
        <f>IFERROR(__xludf.DUMMYFUNCTION("""COMPUTED_VALUE"""),0.0)</f>
        <v>0</v>
      </c>
      <c r="C299" s="9">
        <f>IFERROR(__xludf.DUMMYFUNCTION("""COMPUTED_VALUE"""),0.0)</f>
        <v>0</v>
      </c>
      <c r="D299" s="9">
        <f>IFERROR(__xludf.DUMMYFUNCTION("""COMPUTED_VALUE"""),0.0)</f>
        <v>0</v>
      </c>
      <c r="E299" s="9">
        <f>IFERROR(__xludf.DUMMYFUNCTION("""COMPUTED_VALUE"""),0.0)</f>
        <v>0</v>
      </c>
      <c r="F299" s="9">
        <f>IFERROR(__xludf.DUMMYFUNCTION("""COMPUTED_VALUE"""),0.0)</f>
        <v>0</v>
      </c>
      <c r="G299" s="9">
        <f>IFERROR(__xludf.DUMMYFUNCTION("""COMPUTED_VALUE"""),0.0)</f>
        <v>0</v>
      </c>
      <c r="H299" s="9"/>
      <c r="I299" s="9">
        <f>IFERROR(__xludf.DUMMYFUNCTION("""COMPUTED_VALUE"""),0.0)</f>
        <v>0</v>
      </c>
      <c r="J299" s="9">
        <f>IFERROR(__xludf.DUMMYFUNCTION("""COMPUTED_VALUE"""),0.0)</f>
        <v>0</v>
      </c>
      <c r="K299" s="9">
        <f>IFERROR(__xludf.DUMMYFUNCTION("""COMPUTED_VALUE"""),0.0)</f>
        <v>0</v>
      </c>
      <c r="L299" s="9">
        <f>IFERROR(__xludf.DUMMYFUNCTION("""COMPUTED_VALUE"""),0.0)</f>
        <v>0</v>
      </c>
      <c r="M299" s="9">
        <f>IFERROR(__xludf.DUMMYFUNCTION("""COMPUTED_VALUE"""),0.0)</f>
        <v>0</v>
      </c>
      <c r="N299" s="9">
        <f>IFERROR(__xludf.DUMMYFUNCTION("""COMPUTED_VALUE"""),0.0)</f>
        <v>0</v>
      </c>
      <c r="O299" s="9">
        <f>IFERROR(__xludf.DUMMYFUNCTION("""COMPUTED_VALUE"""),0.0)</f>
        <v>0</v>
      </c>
      <c r="P299" s="9">
        <f>IFERROR(__xludf.DUMMYFUNCTION("""COMPUTED_VALUE"""),0.0)</f>
        <v>0</v>
      </c>
      <c r="Q299" s="9">
        <f>IFERROR(__xludf.DUMMYFUNCTION("""COMPUTED_VALUE"""),0.0)</f>
        <v>0</v>
      </c>
      <c r="R299" s="9">
        <f>IFERROR(__xludf.DUMMYFUNCTION("""COMPUTED_VALUE"""),0.0)</f>
        <v>0</v>
      </c>
      <c r="S299" s="9">
        <f>IFERROR(__xludf.DUMMYFUNCTION("""COMPUTED_VALUE"""),0.0)</f>
        <v>0</v>
      </c>
      <c r="T299" s="9">
        <f>IFERROR(__xludf.DUMMYFUNCTION("""COMPUTED_VALUE"""),0.0)</f>
        <v>0</v>
      </c>
      <c r="U299" s="9">
        <f>IFERROR(__xludf.DUMMYFUNCTION("""COMPUTED_VALUE"""),0.0)</f>
        <v>0</v>
      </c>
      <c r="V299" s="9">
        <f>IFERROR(__xludf.DUMMYFUNCTION("""COMPUTED_VALUE"""),0.0)</f>
        <v>0</v>
      </c>
      <c r="W299" s="9">
        <f>IFERROR(__xludf.DUMMYFUNCTION("""COMPUTED_VALUE"""),0.0)</f>
        <v>0</v>
      </c>
      <c r="X299" s="9">
        <f>IFERROR(__xludf.DUMMYFUNCTION("""COMPUTED_VALUE"""),0.0)</f>
        <v>0</v>
      </c>
      <c r="Y299" s="9">
        <f>IFERROR(__xludf.DUMMYFUNCTION("""COMPUTED_VALUE"""),0.0)</f>
        <v>0</v>
      </c>
      <c r="Z299" s="9">
        <f>IFERROR(__xludf.DUMMYFUNCTION("""COMPUTED_VALUE"""),0.0)</f>
        <v>0</v>
      </c>
      <c r="AA299" s="9">
        <f>IFERROR(__xludf.DUMMYFUNCTION("""COMPUTED_VALUE"""),0.0)</f>
        <v>0</v>
      </c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  <c r="TB299" s="9"/>
      <c r="TC299" s="9"/>
      <c r="TD299" s="9"/>
      <c r="TE299" s="9"/>
      <c r="TF299" s="9"/>
      <c r="TG299" s="9"/>
      <c r="TH299" s="9"/>
      <c r="TI299" s="9"/>
      <c r="TJ299" s="9"/>
      <c r="TK299" s="9"/>
      <c r="TL299" s="9"/>
      <c r="TM299" s="9"/>
      <c r="TN299" s="9"/>
      <c r="TO299" s="9"/>
      <c r="TP299" s="9"/>
      <c r="TQ299" s="9"/>
      <c r="TR299" s="9"/>
      <c r="TS299" s="9"/>
      <c r="TT299" s="9"/>
      <c r="TU299" s="9"/>
      <c r="TV299" s="9"/>
      <c r="TW299" s="9"/>
      <c r="TX299" s="9"/>
      <c r="TY299" s="9"/>
      <c r="TZ299" s="9"/>
      <c r="UA299" s="9"/>
      <c r="UB299" s="9"/>
      <c r="UC299" s="9"/>
      <c r="UD299" s="9"/>
      <c r="UE299" s="9"/>
      <c r="UF299" s="9"/>
      <c r="UG299" s="9"/>
      <c r="UH299" s="9"/>
      <c r="UI299" s="9"/>
      <c r="UJ299" s="9"/>
    </row>
    <row r="300">
      <c r="A300" s="8">
        <f>IFERROR(__xludf.DUMMYFUNCTION("""COMPUTED_VALUE"""),45418.0)</f>
        <v>45418</v>
      </c>
      <c r="B300" s="9">
        <f>IFERROR(__xludf.DUMMYFUNCTION("""COMPUTED_VALUE"""),10.0)</f>
        <v>10</v>
      </c>
      <c r="C300" s="9">
        <f>IFERROR(__xludf.DUMMYFUNCTION("""COMPUTED_VALUE"""),79.0)</f>
        <v>79</v>
      </c>
      <c r="D300" s="9">
        <f>IFERROR(__xludf.DUMMYFUNCTION("""COMPUTED_VALUE"""),8.0)</f>
        <v>8</v>
      </c>
      <c r="E300" s="9">
        <f>IFERROR(__xludf.DUMMYFUNCTION("""COMPUTED_VALUE"""),1265.0)</f>
        <v>1265</v>
      </c>
      <c r="F300" s="9">
        <f>IFERROR(__xludf.DUMMYFUNCTION("""COMPUTED_VALUE"""),126.0)</f>
        <v>126</v>
      </c>
      <c r="G300" s="9">
        <f>IFERROR(__xludf.DUMMYFUNCTION("""COMPUTED_VALUE"""),0.0)</f>
        <v>0</v>
      </c>
      <c r="H300" s="9"/>
      <c r="I300" s="9">
        <f>IFERROR(__xludf.DUMMYFUNCTION("""COMPUTED_VALUE"""),10.0)</f>
        <v>10</v>
      </c>
      <c r="J300" s="9">
        <f>IFERROR(__xludf.DUMMYFUNCTION("""COMPUTED_VALUE"""),0.0)</f>
        <v>0</v>
      </c>
      <c r="K300" s="9">
        <f>IFERROR(__xludf.DUMMYFUNCTION("""COMPUTED_VALUE"""),0.0)</f>
        <v>0</v>
      </c>
      <c r="L300" s="9">
        <f>IFERROR(__xludf.DUMMYFUNCTION("""COMPUTED_VALUE"""),0.0)</f>
        <v>0</v>
      </c>
      <c r="M300" s="9">
        <f>IFERROR(__xludf.DUMMYFUNCTION("""COMPUTED_VALUE"""),10.0)</f>
        <v>10</v>
      </c>
      <c r="N300" s="9">
        <f>IFERROR(__xludf.DUMMYFUNCTION("""COMPUTED_VALUE"""),9.0)</f>
        <v>9</v>
      </c>
      <c r="O300" s="9">
        <f>IFERROR(__xludf.DUMMYFUNCTION("""COMPUTED_VALUE"""),0.0)</f>
        <v>0</v>
      </c>
      <c r="P300" s="9">
        <f>IFERROR(__xludf.DUMMYFUNCTION("""COMPUTED_VALUE"""),1.0)</f>
        <v>1</v>
      </c>
      <c r="Q300" s="9">
        <f>IFERROR(__xludf.DUMMYFUNCTION("""COMPUTED_VALUE"""),5.0)</f>
        <v>5</v>
      </c>
      <c r="R300" s="9">
        <f>IFERROR(__xludf.DUMMYFUNCTION("""COMPUTED_VALUE"""),0.0)</f>
        <v>0</v>
      </c>
      <c r="S300" s="9">
        <f>IFERROR(__xludf.DUMMYFUNCTION("""COMPUTED_VALUE"""),3.0)</f>
        <v>3</v>
      </c>
      <c r="T300" s="9">
        <f>IFERROR(__xludf.DUMMYFUNCTION("""COMPUTED_VALUE"""),2.0)</f>
        <v>2</v>
      </c>
      <c r="U300" s="9">
        <f>IFERROR(__xludf.DUMMYFUNCTION("""COMPUTED_VALUE"""),0.0)</f>
        <v>0</v>
      </c>
      <c r="V300" s="9">
        <f>IFERROR(__xludf.DUMMYFUNCTION("""COMPUTED_VALUE"""),5.0)</f>
        <v>5</v>
      </c>
      <c r="W300" s="9">
        <f>IFERROR(__xludf.DUMMYFUNCTION("""COMPUTED_VALUE"""),0.0)</f>
        <v>0</v>
      </c>
      <c r="X300" s="9">
        <f>IFERROR(__xludf.DUMMYFUNCTION("""COMPUTED_VALUE"""),14.0)</f>
        <v>14</v>
      </c>
      <c r="Y300" s="9">
        <f>IFERROR(__xludf.DUMMYFUNCTION("""COMPUTED_VALUE"""),6.0)</f>
        <v>6</v>
      </c>
      <c r="Z300" s="9">
        <f>IFERROR(__xludf.DUMMYFUNCTION("""COMPUTED_VALUE"""),2.0)</f>
        <v>2</v>
      </c>
      <c r="AA300" s="9">
        <f>IFERROR(__xludf.DUMMYFUNCTION("""COMPUTED_VALUE"""),0.0)</f>
        <v>0</v>
      </c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/>
      <c r="JF300" s="9"/>
      <c r="JG300" s="9"/>
      <c r="JH300" s="9"/>
      <c r="JI300" s="9"/>
      <c r="JJ300" s="9"/>
      <c r="JK300" s="9"/>
      <c r="JL300" s="9"/>
      <c r="JM300" s="9"/>
      <c r="JN300" s="9"/>
      <c r="JO300" s="9"/>
      <c r="JP300" s="9"/>
      <c r="JQ300" s="9"/>
      <c r="JR300" s="9"/>
      <c r="JS300" s="9"/>
      <c r="JT300" s="9"/>
      <c r="JU300" s="9"/>
      <c r="JV300" s="9"/>
      <c r="JW300" s="9"/>
      <c r="JX300" s="9"/>
      <c r="JY300" s="9"/>
      <c r="JZ300" s="9"/>
      <c r="KA300" s="9"/>
      <c r="KB300" s="9"/>
      <c r="KC300" s="9"/>
      <c r="KD300" s="9"/>
      <c r="KE300" s="9"/>
      <c r="KF300" s="9"/>
      <c r="KG300" s="9"/>
      <c r="KH300" s="9"/>
      <c r="KI300" s="9"/>
      <c r="KJ300" s="9"/>
      <c r="KK300" s="9"/>
      <c r="KL300" s="9"/>
      <c r="KM300" s="9"/>
      <c r="KN300" s="9"/>
      <c r="KO300" s="9"/>
      <c r="KP300" s="9"/>
      <c r="KQ300" s="9"/>
      <c r="KR300" s="9"/>
      <c r="KS300" s="9"/>
      <c r="KT300" s="9"/>
      <c r="KU300" s="9"/>
      <c r="KV300" s="9"/>
      <c r="KW300" s="9"/>
      <c r="KX300" s="9"/>
      <c r="KY300" s="9"/>
      <c r="KZ300" s="9"/>
      <c r="LA300" s="9"/>
      <c r="LB300" s="9"/>
      <c r="LC300" s="9"/>
      <c r="LD300" s="9"/>
      <c r="LE300" s="9"/>
      <c r="LF300" s="9"/>
      <c r="LG300" s="9"/>
      <c r="LH300" s="9"/>
      <c r="LI300" s="9"/>
      <c r="LJ300" s="9"/>
      <c r="LK300" s="9"/>
      <c r="LL300" s="9"/>
      <c r="LM300" s="9"/>
      <c r="LN300" s="9"/>
      <c r="LO300" s="9"/>
      <c r="LP300" s="9"/>
      <c r="LQ300" s="9"/>
      <c r="LR300" s="9"/>
      <c r="LS300" s="9"/>
      <c r="LT300" s="9"/>
      <c r="LU300" s="9"/>
      <c r="LV300" s="9"/>
      <c r="LW300" s="9"/>
      <c r="LX300" s="9"/>
      <c r="LY300" s="9"/>
      <c r="LZ300" s="9"/>
      <c r="MA300" s="9"/>
      <c r="MB300" s="9"/>
      <c r="MC300" s="9"/>
      <c r="MD300" s="9"/>
      <c r="ME300" s="9"/>
      <c r="MF300" s="9"/>
      <c r="MG300" s="9"/>
      <c r="MH300" s="9"/>
      <c r="MI300" s="9"/>
      <c r="MJ300" s="9"/>
      <c r="MK300" s="9"/>
      <c r="ML300" s="9"/>
      <c r="MM300" s="9"/>
      <c r="MN300" s="9"/>
      <c r="MO300" s="9"/>
      <c r="MP300" s="9"/>
      <c r="MQ300" s="9"/>
      <c r="MR300" s="9"/>
      <c r="MS300" s="9"/>
      <c r="MT300" s="9"/>
      <c r="MU300" s="9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  <c r="PG300" s="9"/>
      <c r="PH300" s="9"/>
      <c r="PI300" s="9"/>
      <c r="PJ300" s="9"/>
      <c r="PK300" s="9"/>
      <c r="PL300" s="9"/>
      <c r="PM300" s="9"/>
      <c r="PN300" s="9"/>
      <c r="PO300" s="9"/>
      <c r="PP300" s="9"/>
      <c r="PQ300" s="9"/>
      <c r="PR300" s="9"/>
      <c r="PS300" s="9"/>
      <c r="PT300" s="9"/>
      <c r="PU300" s="9"/>
      <c r="PV300" s="9"/>
      <c r="PW300" s="9"/>
      <c r="PX300" s="9"/>
      <c r="PY300" s="9"/>
      <c r="PZ300" s="9"/>
      <c r="QA300" s="9"/>
      <c r="QB300" s="9"/>
      <c r="QC300" s="9"/>
      <c r="QD300" s="9"/>
      <c r="QE300" s="9"/>
      <c r="QF300" s="9"/>
      <c r="QG300" s="9"/>
      <c r="QH300" s="9"/>
      <c r="QI300" s="9"/>
      <c r="QJ300" s="9"/>
      <c r="QK300" s="9"/>
      <c r="QL300" s="9"/>
      <c r="QM300" s="9"/>
      <c r="QN300" s="9"/>
      <c r="QO300" s="9"/>
      <c r="QP300" s="9"/>
      <c r="QQ300" s="9"/>
      <c r="QR300" s="9"/>
      <c r="QS300" s="9"/>
      <c r="QT300" s="9"/>
      <c r="QU300" s="9"/>
      <c r="QV300" s="9"/>
      <c r="QW300" s="9"/>
      <c r="QX300" s="9"/>
      <c r="QY300" s="9"/>
      <c r="QZ300" s="9"/>
      <c r="RA300" s="9"/>
      <c r="RB300" s="9"/>
      <c r="RC300" s="9"/>
      <c r="RD300" s="9"/>
      <c r="RE300" s="9"/>
      <c r="RF300" s="9"/>
      <c r="RG300" s="9"/>
      <c r="RH300" s="9"/>
      <c r="RI300" s="9"/>
      <c r="RJ300" s="9"/>
      <c r="RK300" s="9"/>
      <c r="RL300" s="9"/>
      <c r="RM300" s="9"/>
      <c r="RN300" s="9"/>
      <c r="RO300" s="9"/>
      <c r="RP300" s="9"/>
      <c r="RQ300" s="9"/>
      <c r="RR300" s="9"/>
      <c r="RS300" s="9"/>
      <c r="RT300" s="9"/>
      <c r="RU300" s="9"/>
      <c r="RV300" s="9"/>
      <c r="RW300" s="9"/>
      <c r="RX300" s="9"/>
      <c r="RY300" s="9"/>
      <c r="RZ300" s="9"/>
      <c r="SA300" s="9"/>
      <c r="SB300" s="9"/>
      <c r="SC300" s="9"/>
      <c r="SD300" s="9"/>
      <c r="SE300" s="9"/>
      <c r="SF300" s="9"/>
      <c r="SG300" s="9"/>
      <c r="SH300" s="9"/>
      <c r="SI300" s="9"/>
      <c r="SJ300" s="9"/>
      <c r="SK300" s="9"/>
      <c r="SL300" s="9"/>
      <c r="SM300" s="9"/>
      <c r="SN300" s="9"/>
      <c r="SO300" s="9"/>
      <c r="SP300" s="9"/>
      <c r="SQ300" s="9"/>
      <c r="SR300" s="9"/>
      <c r="SS300" s="9"/>
      <c r="ST300" s="9"/>
      <c r="SU300" s="9"/>
      <c r="SV300" s="9"/>
      <c r="SW300" s="9"/>
      <c r="SX300" s="9"/>
      <c r="SY300" s="9"/>
      <c r="SZ300" s="9"/>
      <c r="TA300" s="9"/>
      <c r="TB300" s="9"/>
      <c r="TC300" s="9"/>
      <c r="TD300" s="9"/>
      <c r="TE300" s="9"/>
      <c r="TF300" s="9"/>
      <c r="TG300" s="9"/>
      <c r="TH300" s="9"/>
      <c r="TI300" s="9"/>
      <c r="TJ300" s="9"/>
      <c r="TK300" s="9"/>
      <c r="TL300" s="9"/>
      <c r="TM300" s="9"/>
      <c r="TN300" s="9"/>
      <c r="TO300" s="9"/>
      <c r="TP300" s="9"/>
      <c r="TQ300" s="9"/>
      <c r="TR300" s="9"/>
      <c r="TS300" s="9"/>
      <c r="TT300" s="9"/>
      <c r="TU300" s="9"/>
      <c r="TV300" s="9"/>
      <c r="TW300" s="9"/>
      <c r="TX300" s="9"/>
      <c r="TY300" s="9"/>
      <c r="TZ300" s="9"/>
      <c r="UA300" s="9"/>
      <c r="UB300" s="9"/>
      <c r="UC300" s="9"/>
      <c r="UD300" s="9"/>
      <c r="UE300" s="9"/>
      <c r="UF300" s="9"/>
      <c r="UG300" s="9"/>
      <c r="UH300" s="9"/>
      <c r="UI300" s="9"/>
      <c r="UJ300" s="9"/>
    </row>
    <row r="301">
      <c r="A301" s="8">
        <f>IFERROR(__xludf.DUMMYFUNCTION("""COMPUTED_VALUE"""),45419.0)</f>
        <v>45419</v>
      </c>
      <c r="B301" s="9">
        <f>IFERROR(__xludf.DUMMYFUNCTION("""COMPUTED_VALUE"""),21.0)</f>
        <v>21</v>
      </c>
      <c r="C301" s="9">
        <f>IFERROR(__xludf.DUMMYFUNCTION("""COMPUTED_VALUE"""),192.0)</f>
        <v>192</v>
      </c>
      <c r="D301" s="9">
        <f>IFERROR(__xludf.DUMMYFUNCTION("""COMPUTED_VALUE"""),9.0)</f>
        <v>9</v>
      </c>
      <c r="E301" s="9">
        <f>IFERROR(__xludf.DUMMYFUNCTION("""COMPUTED_VALUE"""),2777.0)</f>
        <v>2777</v>
      </c>
      <c r="F301" s="9">
        <f>IFERROR(__xludf.DUMMYFUNCTION("""COMPUTED_VALUE"""),132.0)</f>
        <v>132</v>
      </c>
      <c r="G301" s="9">
        <f>IFERROR(__xludf.DUMMYFUNCTION("""COMPUTED_VALUE"""),0.0)</f>
        <v>0</v>
      </c>
      <c r="H301" s="9"/>
      <c r="I301" s="9">
        <f>IFERROR(__xludf.DUMMYFUNCTION("""COMPUTED_VALUE"""),11.0)</f>
        <v>11</v>
      </c>
      <c r="J301" s="9">
        <f>IFERROR(__xludf.DUMMYFUNCTION("""COMPUTED_VALUE"""),5.0)</f>
        <v>5</v>
      </c>
      <c r="K301" s="9">
        <f>IFERROR(__xludf.DUMMYFUNCTION("""COMPUTED_VALUE"""),0.0)</f>
        <v>0</v>
      </c>
      <c r="L301" s="9">
        <f>IFERROR(__xludf.DUMMYFUNCTION("""COMPUTED_VALUE"""),0.0)</f>
        <v>0</v>
      </c>
      <c r="M301" s="9">
        <f>IFERROR(__xludf.DUMMYFUNCTION("""COMPUTED_VALUE"""),16.0)</f>
        <v>16</v>
      </c>
      <c r="N301" s="9">
        <f>IFERROR(__xludf.DUMMYFUNCTION("""COMPUTED_VALUE"""),19.0)</f>
        <v>19</v>
      </c>
      <c r="O301" s="9">
        <f>IFERROR(__xludf.DUMMYFUNCTION("""COMPUTED_VALUE"""),0.0)</f>
        <v>0</v>
      </c>
      <c r="P301" s="9">
        <f>IFERROR(__xludf.DUMMYFUNCTION("""COMPUTED_VALUE"""),2.0)</f>
        <v>2</v>
      </c>
      <c r="Q301" s="9">
        <f>IFERROR(__xludf.DUMMYFUNCTION("""COMPUTED_VALUE"""),12.0)</f>
        <v>12</v>
      </c>
      <c r="R301" s="9">
        <f>IFERROR(__xludf.DUMMYFUNCTION("""COMPUTED_VALUE"""),2.0)</f>
        <v>2</v>
      </c>
      <c r="S301" s="9">
        <f>IFERROR(__xludf.DUMMYFUNCTION("""COMPUTED_VALUE"""),10.0)</f>
        <v>10</v>
      </c>
      <c r="T301" s="9">
        <f>IFERROR(__xludf.DUMMYFUNCTION("""COMPUTED_VALUE"""),0.0)</f>
        <v>0</v>
      </c>
      <c r="U301" s="9">
        <f>IFERROR(__xludf.DUMMYFUNCTION("""COMPUTED_VALUE"""),0.0)</f>
        <v>0</v>
      </c>
      <c r="V301" s="9">
        <f>IFERROR(__xludf.DUMMYFUNCTION("""COMPUTED_VALUE"""),14.0)</f>
        <v>14</v>
      </c>
      <c r="W301" s="9">
        <f>IFERROR(__xludf.DUMMYFUNCTION("""COMPUTED_VALUE"""),0.0)</f>
        <v>0</v>
      </c>
      <c r="X301" s="9">
        <f>IFERROR(__xludf.DUMMYFUNCTION("""COMPUTED_VALUE"""),13.0)</f>
        <v>13</v>
      </c>
      <c r="Y301" s="9">
        <f>IFERROR(__xludf.DUMMYFUNCTION("""COMPUTED_VALUE"""),16.0)</f>
        <v>16</v>
      </c>
      <c r="Z301" s="9">
        <f>IFERROR(__xludf.DUMMYFUNCTION("""COMPUTED_VALUE"""),0.0)</f>
        <v>0</v>
      </c>
      <c r="AA301" s="9">
        <f>IFERROR(__xludf.DUMMYFUNCTION("""COMPUTED_VALUE"""),0.0)</f>
        <v>0</v>
      </c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</row>
    <row r="302">
      <c r="A302" s="8">
        <f>IFERROR(__xludf.DUMMYFUNCTION("""COMPUTED_VALUE"""),45420.0)</f>
        <v>45420</v>
      </c>
      <c r="B302" s="9">
        <f>IFERROR(__xludf.DUMMYFUNCTION("""COMPUTED_VALUE"""),0.0)</f>
        <v>0</v>
      </c>
      <c r="C302" s="9">
        <f>IFERROR(__xludf.DUMMYFUNCTION("""COMPUTED_VALUE"""),0.0)</f>
        <v>0</v>
      </c>
      <c r="D302" s="9">
        <f>IFERROR(__xludf.DUMMYFUNCTION("""COMPUTED_VALUE"""),0.0)</f>
        <v>0</v>
      </c>
      <c r="E302" s="9">
        <f>IFERROR(__xludf.DUMMYFUNCTION("""COMPUTED_VALUE"""),0.0)</f>
        <v>0</v>
      </c>
      <c r="F302" s="9">
        <f>IFERROR(__xludf.DUMMYFUNCTION("""COMPUTED_VALUE"""),0.0)</f>
        <v>0</v>
      </c>
      <c r="G302" s="9">
        <f>IFERROR(__xludf.DUMMYFUNCTION("""COMPUTED_VALUE"""),0.0)</f>
        <v>0</v>
      </c>
      <c r="H302" s="9"/>
      <c r="I302" s="9">
        <f>IFERROR(__xludf.DUMMYFUNCTION("""COMPUTED_VALUE"""),0.0)</f>
        <v>0</v>
      </c>
      <c r="J302" s="9">
        <f>IFERROR(__xludf.DUMMYFUNCTION("""COMPUTED_VALUE"""),0.0)</f>
        <v>0</v>
      </c>
      <c r="K302" s="9">
        <f>IFERROR(__xludf.DUMMYFUNCTION("""COMPUTED_VALUE"""),0.0)</f>
        <v>0</v>
      </c>
      <c r="L302" s="9">
        <f>IFERROR(__xludf.DUMMYFUNCTION("""COMPUTED_VALUE"""),0.0)</f>
        <v>0</v>
      </c>
      <c r="M302" s="9">
        <f>IFERROR(__xludf.DUMMYFUNCTION("""COMPUTED_VALUE"""),0.0)</f>
        <v>0</v>
      </c>
      <c r="N302" s="9">
        <f>IFERROR(__xludf.DUMMYFUNCTION("""COMPUTED_VALUE"""),0.0)</f>
        <v>0</v>
      </c>
      <c r="O302" s="9">
        <f>IFERROR(__xludf.DUMMYFUNCTION("""COMPUTED_VALUE"""),0.0)</f>
        <v>0</v>
      </c>
      <c r="P302" s="9">
        <f>IFERROR(__xludf.DUMMYFUNCTION("""COMPUTED_VALUE"""),0.0)</f>
        <v>0</v>
      </c>
      <c r="Q302" s="9">
        <f>IFERROR(__xludf.DUMMYFUNCTION("""COMPUTED_VALUE"""),0.0)</f>
        <v>0</v>
      </c>
      <c r="R302" s="9">
        <f>IFERROR(__xludf.DUMMYFUNCTION("""COMPUTED_VALUE"""),0.0)</f>
        <v>0</v>
      </c>
      <c r="S302" s="9">
        <f>IFERROR(__xludf.DUMMYFUNCTION("""COMPUTED_VALUE"""),0.0)</f>
        <v>0</v>
      </c>
      <c r="T302" s="9">
        <f>IFERROR(__xludf.DUMMYFUNCTION("""COMPUTED_VALUE"""),0.0)</f>
        <v>0</v>
      </c>
      <c r="U302" s="9">
        <f>IFERROR(__xludf.DUMMYFUNCTION("""COMPUTED_VALUE"""),0.0)</f>
        <v>0</v>
      </c>
      <c r="V302" s="9">
        <f>IFERROR(__xludf.DUMMYFUNCTION("""COMPUTED_VALUE"""),0.0)</f>
        <v>0</v>
      </c>
      <c r="W302" s="9">
        <f>IFERROR(__xludf.DUMMYFUNCTION("""COMPUTED_VALUE"""),0.0)</f>
        <v>0</v>
      </c>
      <c r="X302" s="9">
        <f>IFERROR(__xludf.DUMMYFUNCTION("""COMPUTED_VALUE"""),0.0)</f>
        <v>0</v>
      </c>
      <c r="Y302" s="9">
        <f>IFERROR(__xludf.DUMMYFUNCTION("""COMPUTED_VALUE"""),0.0)</f>
        <v>0</v>
      </c>
      <c r="Z302" s="9">
        <f>IFERROR(__xludf.DUMMYFUNCTION("""COMPUTED_VALUE"""),0.0)</f>
        <v>0</v>
      </c>
      <c r="AA302" s="9">
        <f>IFERROR(__xludf.DUMMYFUNCTION("""COMPUTED_VALUE"""),0.0)</f>
        <v>0</v>
      </c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/>
      <c r="JF302" s="9"/>
      <c r="JG302" s="9"/>
      <c r="JH302" s="9"/>
      <c r="JI302" s="9"/>
      <c r="JJ302" s="9"/>
      <c r="JK302" s="9"/>
      <c r="JL302" s="9"/>
      <c r="JM302" s="9"/>
      <c r="JN302" s="9"/>
      <c r="JO302" s="9"/>
      <c r="JP302" s="9"/>
      <c r="JQ302" s="9"/>
      <c r="JR302" s="9"/>
      <c r="JS302" s="9"/>
      <c r="JT302" s="9"/>
      <c r="JU302" s="9"/>
      <c r="JV302" s="9"/>
      <c r="JW302" s="9"/>
      <c r="JX302" s="9"/>
      <c r="JY302" s="9"/>
      <c r="JZ302" s="9"/>
      <c r="KA302" s="9"/>
      <c r="KB302" s="9"/>
      <c r="KC302" s="9"/>
      <c r="KD302" s="9"/>
      <c r="KE302" s="9"/>
      <c r="KF302" s="9"/>
      <c r="KG302" s="9"/>
      <c r="KH302" s="9"/>
      <c r="KI302" s="9"/>
      <c r="KJ302" s="9"/>
      <c r="KK302" s="9"/>
      <c r="KL302" s="9"/>
      <c r="KM302" s="9"/>
      <c r="KN302" s="9"/>
      <c r="KO302" s="9"/>
      <c r="KP302" s="9"/>
      <c r="KQ302" s="9"/>
      <c r="KR302" s="9"/>
      <c r="KS302" s="9"/>
      <c r="KT302" s="9"/>
      <c r="KU302" s="9"/>
      <c r="KV302" s="9"/>
      <c r="KW302" s="9"/>
      <c r="KX302" s="9"/>
      <c r="KY302" s="9"/>
      <c r="KZ302" s="9"/>
      <c r="LA302" s="9"/>
      <c r="LB302" s="9"/>
      <c r="LC302" s="9"/>
      <c r="LD302" s="9"/>
      <c r="LE302" s="9"/>
      <c r="LF302" s="9"/>
      <c r="LG302" s="9"/>
      <c r="LH302" s="9"/>
      <c r="LI302" s="9"/>
      <c r="LJ302" s="9"/>
      <c r="LK302" s="9"/>
      <c r="LL302" s="9"/>
      <c r="LM302" s="9"/>
      <c r="LN302" s="9"/>
      <c r="LO302" s="9"/>
      <c r="LP302" s="9"/>
      <c r="LQ302" s="9"/>
      <c r="LR302" s="9"/>
      <c r="LS302" s="9"/>
      <c r="LT302" s="9"/>
      <c r="LU302" s="9"/>
      <c r="LV302" s="9"/>
      <c r="LW302" s="9"/>
      <c r="LX302" s="9"/>
      <c r="LY302" s="9"/>
      <c r="LZ302" s="9"/>
      <c r="MA302" s="9"/>
      <c r="MB302" s="9"/>
      <c r="MC302" s="9"/>
      <c r="MD302" s="9"/>
      <c r="ME302" s="9"/>
      <c r="MF302" s="9"/>
      <c r="MG302" s="9"/>
      <c r="MH302" s="9"/>
      <c r="MI302" s="9"/>
      <c r="MJ302" s="9"/>
      <c r="MK302" s="9"/>
      <c r="ML302" s="9"/>
      <c r="MM302" s="9"/>
      <c r="MN302" s="9"/>
      <c r="MO302" s="9"/>
      <c r="MP302" s="9"/>
      <c r="MQ302" s="9"/>
      <c r="MR302" s="9"/>
      <c r="MS302" s="9"/>
      <c r="MT302" s="9"/>
      <c r="MU302" s="9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  <c r="PG302" s="9"/>
      <c r="PH302" s="9"/>
      <c r="PI302" s="9"/>
      <c r="PJ302" s="9"/>
      <c r="PK302" s="9"/>
      <c r="PL302" s="9"/>
      <c r="PM302" s="9"/>
      <c r="PN302" s="9"/>
      <c r="PO302" s="9"/>
      <c r="PP302" s="9"/>
      <c r="PQ302" s="9"/>
      <c r="PR302" s="9"/>
      <c r="PS302" s="9"/>
      <c r="PT302" s="9"/>
      <c r="PU302" s="9"/>
      <c r="PV302" s="9"/>
      <c r="PW302" s="9"/>
      <c r="PX302" s="9"/>
      <c r="PY302" s="9"/>
      <c r="PZ302" s="9"/>
      <c r="QA302" s="9"/>
      <c r="QB302" s="9"/>
      <c r="QC302" s="9"/>
      <c r="QD302" s="9"/>
      <c r="QE302" s="9"/>
      <c r="QF302" s="9"/>
      <c r="QG302" s="9"/>
      <c r="QH302" s="9"/>
      <c r="QI302" s="9"/>
      <c r="QJ302" s="9"/>
      <c r="QK302" s="9"/>
      <c r="QL302" s="9"/>
      <c r="QM302" s="9"/>
      <c r="QN302" s="9"/>
      <c r="QO302" s="9"/>
      <c r="QP302" s="9"/>
      <c r="QQ302" s="9"/>
      <c r="QR302" s="9"/>
      <c r="QS302" s="9"/>
      <c r="QT302" s="9"/>
      <c r="QU302" s="9"/>
      <c r="QV302" s="9"/>
      <c r="QW302" s="9"/>
      <c r="QX302" s="9"/>
      <c r="QY302" s="9"/>
      <c r="QZ302" s="9"/>
      <c r="RA302" s="9"/>
      <c r="RB302" s="9"/>
      <c r="RC302" s="9"/>
      <c r="RD302" s="9"/>
      <c r="RE302" s="9"/>
      <c r="RF302" s="9"/>
      <c r="RG302" s="9"/>
      <c r="RH302" s="9"/>
      <c r="RI302" s="9"/>
      <c r="RJ302" s="9"/>
      <c r="RK302" s="9"/>
      <c r="RL302" s="9"/>
      <c r="RM302" s="9"/>
      <c r="RN302" s="9"/>
      <c r="RO302" s="9"/>
      <c r="RP302" s="9"/>
      <c r="RQ302" s="9"/>
      <c r="RR302" s="9"/>
      <c r="RS302" s="9"/>
      <c r="RT302" s="9"/>
      <c r="RU302" s="9"/>
      <c r="RV302" s="9"/>
      <c r="RW302" s="9"/>
      <c r="RX302" s="9"/>
      <c r="RY302" s="9"/>
      <c r="RZ302" s="9"/>
      <c r="SA302" s="9"/>
      <c r="SB302" s="9"/>
      <c r="SC302" s="9"/>
      <c r="SD302" s="9"/>
      <c r="SE302" s="9"/>
      <c r="SF302" s="9"/>
      <c r="SG302" s="9"/>
      <c r="SH302" s="9"/>
      <c r="SI302" s="9"/>
      <c r="SJ302" s="9"/>
      <c r="SK302" s="9"/>
      <c r="SL302" s="9"/>
      <c r="SM302" s="9"/>
      <c r="SN302" s="9"/>
      <c r="SO302" s="9"/>
      <c r="SP302" s="9"/>
      <c r="SQ302" s="9"/>
      <c r="SR302" s="9"/>
      <c r="SS302" s="9"/>
      <c r="ST302" s="9"/>
      <c r="SU302" s="9"/>
      <c r="SV302" s="9"/>
      <c r="SW302" s="9"/>
      <c r="SX302" s="9"/>
      <c r="SY302" s="9"/>
      <c r="SZ302" s="9"/>
      <c r="TA302" s="9"/>
      <c r="TB302" s="9"/>
      <c r="TC302" s="9"/>
      <c r="TD302" s="9"/>
      <c r="TE302" s="9"/>
      <c r="TF302" s="9"/>
      <c r="TG302" s="9"/>
      <c r="TH302" s="9"/>
      <c r="TI302" s="9"/>
      <c r="TJ302" s="9"/>
      <c r="TK302" s="9"/>
      <c r="TL302" s="9"/>
      <c r="TM302" s="9"/>
      <c r="TN302" s="9"/>
      <c r="TO302" s="9"/>
      <c r="TP302" s="9"/>
      <c r="TQ302" s="9"/>
      <c r="TR302" s="9"/>
      <c r="TS302" s="9"/>
      <c r="TT302" s="9"/>
      <c r="TU302" s="9"/>
      <c r="TV302" s="9"/>
      <c r="TW302" s="9"/>
      <c r="TX302" s="9"/>
      <c r="TY302" s="9"/>
      <c r="TZ302" s="9"/>
      <c r="UA302" s="9"/>
      <c r="UB302" s="9"/>
      <c r="UC302" s="9"/>
      <c r="UD302" s="9"/>
      <c r="UE302" s="9"/>
      <c r="UF302" s="9"/>
      <c r="UG302" s="9"/>
      <c r="UH302" s="9"/>
      <c r="UI302" s="9"/>
      <c r="UJ302" s="9"/>
    </row>
    <row r="303">
      <c r="A303" s="8">
        <f>IFERROR(__xludf.DUMMYFUNCTION("""COMPUTED_VALUE"""),45421.0)</f>
        <v>45421</v>
      </c>
      <c r="B303" s="9">
        <f>IFERROR(__xludf.DUMMYFUNCTION("""COMPUTED_VALUE"""),0.0)</f>
        <v>0</v>
      </c>
      <c r="C303" s="9">
        <f>IFERROR(__xludf.DUMMYFUNCTION("""COMPUTED_VALUE"""),0.0)</f>
        <v>0</v>
      </c>
      <c r="D303" s="9">
        <f>IFERROR(__xludf.DUMMYFUNCTION("""COMPUTED_VALUE"""),0.0)</f>
        <v>0</v>
      </c>
      <c r="E303" s="9">
        <f>IFERROR(__xludf.DUMMYFUNCTION("""COMPUTED_VALUE"""),0.0)</f>
        <v>0</v>
      </c>
      <c r="F303" s="9">
        <f>IFERROR(__xludf.DUMMYFUNCTION("""COMPUTED_VALUE"""),0.0)</f>
        <v>0</v>
      </c>
      <c r="G303" s="9">
        <f>IFERROR(__xludf.DUMMYFUNCTION("""COMPUTED_VALUE"""),0.0)</f>
        <v>0</v>
      </c>
      <c r="H303" s="9"/>
      <c r="I303" s="9">
        <f>IFERROR(__xludf.DUMMYFUNCTION("""COMPUTED_VALUE"""),0.0)</f>
        <v>0</v>
      </c>
      <c r="J303" s="9">
        <f>IFERROR(__xludf.DUMMYFUNCTION("""COMPUTED_VALUE"""),0.0)</f>
        <v>0</v>
      </c>
      <c r="K303" s="9">
        <f>IFERROR(__xludf.DUMMYFUNCTION("""COMPUTED_VALUE"""),0.0)</f>
        <v>0</v>
      </c>
      <c r="L303" s="9">
        <f>IFERROR(__xludf.DUMMYFUNCTION("""COMPUTED_VALUE"""),0.0)</f>
        <v>0</v>
      </c>
      <c r="M303" s="9">
        <f>IFERROR(__xludf.DUMMYFUNCTION("""COMPUTED_VALUE"""),0.0)</f>
        <v>0</v>
      </c>
      <c r="N303" s="9">
        <f>IFERROR(__xludf.DUMMYFUNCTION("""COMPUTED_VALUE"""),0.0)</f>
        <v>0</v>
      </c>
      <c r="O303" s="9">
        <f>IFERROR(__xludf.DUMMYFUNCTION("""COMPUTED_VALUE"""),0.0)</f>
        <v>0</v>
      </c>
      <c r="P303" s="9">
        <f>IFERROR(__xludf.DUMMYFUNCTION("""COMPUTED_VALUE"""),0.0)</f>
        <v>0</v>
      </c>
      <c r="Q303" s="9">
        <f>IFERROR(__xludf.DUMMYFUNCTION("""COMPUTED_VALUE"""),0.0)</f>
        <v>0</v>
      </c>
      <c r="R303" s="9">
        <f>IFERROR(__xludf.DUMMYFUNCTION("""COMPUTED_VALUE"""),0.0)</f>
        <v>0</v>
      </c>
      <c r="S303" s="9">
        <f>IFERROR(__xludf.DUMMYFUNCTION("""COMPUTED_VALUE"""),0.0)</f>
        <v>0</v>
      </c>
      <c r="T303" s="9">
        <f>IFERROR(__xludf.DUMMYFUNCTION("""COMPUTED_VALUE"""),0.0)</f>
        <v>0</v>
      </c>
      <c r="U303" s="9">
        <f>IFERROR(__xludf.DUMMYFUNCTION("""COMPUTED_VALUE"""),0.0)</f>
        <v>0</v>
      </c>
      <c r="V303" s="9">
        <f>IFERROR(__xludf.DUMMYFUNCTION("""COMPUTED_VALUE"""),0.0)</f>
        <v>0</v>
      </c>
      <c r="W303" s="9">
        <f>IFERROR(__xludf.DUMMYFUNCTION("""COMPUTED_VALUE"""),0.0)</f>
        <v>0</v>
      </c>
      <c r="X303" s="9">
        <f>IFERROR(__xludf.DUMMYFUNCTION("""COMPUTED_VALUE"""),0.0)</f>
        <v>0</v>
      </c>
      <c r="Y303" s="9">
        <f>IFERROR(__xludf.DUMMYFUNCTION("""COMPUTED_VALUE"""),0.0)</f>
        <v>0</v>
      </c>
      <c r="Z303" s="9">
        <f>IFERROR(__xludf.DUMMYFUNCTION("""COMPUTED_VALUE"""),0.0)</f>
        <v>0</v>
      </c>
      <c r="AA303" s="9">
        <f>IFERROR(__xludf.DUMMYFUNCTION("""COMPUTED_VALUE"""),0.0)</f>
        <v>0</v>
      </c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</row>
    <row r="304">
      <c r="A304" s="8">
        <f>IFERROR(__xludf.DUMMYFUNCTION("""COMPUTED_VALUE"""),45422.0)</f>
        <v>45422</v>
      </c>
      <c r="B304" s="9">
        <f>IFERROR(__xludf.DUMMYFUNCTION("""COMPUTED_VALUE"""),9.0)</f>
        <v>9</v>
      </c>
      <c r="C304" s="9">
        <f>IFERROR(__xludf.DUMMYFUNCTION("""COMPUTED_VALUE"""),71.0)</f>
        <v>71</v>
      </c>
      <c r="D304" s="9">
        <f>IFERROR(__xludf.DUMMYFUNCTION("""COMPUTED_VALUE"""),8.0)</f>
        <v>8</v>
      </c>
      <c r="E304" s="9">
        <f>IFERROR(__xludf.DUMMYFUNCTION("""COMPUTED_VALUE"""),988.0)</f>
        <v>988</v>
      </c>
      <c r="F304" s="9">
        <f>IFERROR(__xludf.DUMMYFUNCTION("""COMPUTED_VALUE"""),110.0)</f>
        <v>110</v>
      </c>
      <c r="G304" s="9">
        <f>IFERROR(__xludf.DUMMYFUNCTION("""COMPUTED_VALUE"""),0.0)</f>
        <v>0</v>
      </c>
      <c r="H304" s="9"/>
      <c r="I304" s="9">
        <f>IFERROR(__xludf.DUMMYFUNCTION("""COMPUTED_VALUE"""),5.0)</f>
        <v>5</v>
      </c>
      <c r="J304" s="9">
        <f>IFERROR(__xludf.DUMMYFUNCTION("""COMPUTED_VALUE"""),2.0)</f>
        <v>2</v>
      </c>
      <c r="K304" s="9">
        <f>IFERROR(__xludf.DUMMYFUNCTION("""COMPUTED_VALUE"""),0.0)</f>
        <v>0</v>
      </c>
      <c r="L304" s="9">
        <f>IFERROR(__xludf.DUMMYFUNCTION("""COMPUTED_VALUE"""),0.0)</f>
        <v>0</v>
      </c>
      <c r="M304" s="9">
        <f>IFERROR(__xludf.DUMMYFUNCTION("""COMPUTED_VALUE"""),7.0)</f>
        <v>7</v>
      </c>
      <c r="N304" s="9">
        <f>IFERROR(__xludf.DUMMYFUNCTION("""COMPUTED_VALUE"""),8.0)</f>
        <v>8</v>
      </c>
      <c r="O304" s="9">
        <f>IFERROR(__xludf.DUMMYFUNCTION("""COMPUTED_VALUE"""),0.0)</f>
        <v>0</v>
      </c>
      <c r="P304" s="9">
        <f>IFERROR(__xludf.DUMMYFUNCTION("""COMPUTED_VALUE"""),1.0)</f>
        <v>1</v>
      </c>
      <c r="Q304" s="9">
        <f>IFERROR(__xludf.DUMMYFUNCTION("""COMPUTED_VALUE"""),6.0)</f>
        <v>6</v>
      </c>
      <c r="R304" s="9">
        <f>IFERROR(__xludf.DUMMYFUNCTION("""COMPUTED_VALUE"""),1.0)</f>
        <v>1</v>
      </c>
      <c r="S304" s="9">
        <f>IFERROR(__xludf.DUMMYFUNCTION("""COMPUTED_VALUE"""),1.0)</f>
        <v>1</v>
      </c>
      <c r="T304" s="9">
        <f>IFERROR(__xludf.DUMMYFUNCTION("""COMPUTED_VALUE"""),1.0)</f>
        <v>1</v>
      </c>
      <c r="U304" s="9">
        <f>IFERROR(__xludf.DUMMYFUNCTION("""COMPUTED_VALUE"""),0.0)</f>
        <v>0</v>
      </c>
      <c r="V304" s="9">
        <f>IFERROR(__xludf.DUMMYFUNCTION("""COMPUTED_VALUE"""),7.0)</f>
        <v>7</v>
      </c>
      <c r="W304" s="9">
        <f>IFERROR(__xludf.DUMMYFUNCTION("""COMPUTED_VALUE"""),0.0)</f>
        <v>0</v>
      </c>
      <c r="X304" s="9">
        <f>IFERROR(__xludf.DUMMYFUNCTION("""COMPUTED_VALUE"""),4.0)</f>
        <v>4</v>
      </c>
      <c r="Y304" s="9">
        <f>IFERROR(__xludf.DUMMYFUNCTION("""COMPUTED_VALUE"""),9.0)</f>
        <v>9</v>
      </c>
      <c r="Z304" s="9">
        <f>IFERROR(__xludf.DUMMYFUNCTION("""COMPUTED_VALUE"""),1.0)</f>
        <v>1</v>
      </c>
      <c r="AA304" s="9">
        <f>IFERROR(__xludf.DUMMYFUNCTION("""COMPUTED_VALUE"""),0.0)</f>
        <v>0</v>
      </c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/>
      <c r="JF304" s="9"/>
      <c r="JG304" s="9"/>
      <c r="JH304" s="9"/>
      <c r="JI304" s="9"/>
      <c r="JJ304" s="9"/>
      <c r="JK304" s="9"/>
      <c r="JL304" s="9"/>
      <c r="JM304" s="9"/>
      <c r="JN304" s="9"/>
      <c r="JO304" s="9"/>
      <c r="JP304" s="9"/>
      <c r="JQ304" s="9"/>
      <c r="JR304" s="9"/>
      <c r="JS304" s="9"/>
      <c r="JT304" s="9"/>
      <c r="JU304" s="9"/>
      <c r="JV304" s="9"/>
      <c r="JW304" s="9"/>
      <c r="JX304" s="9"/>
      <c r="JY304" s="9"/>
      <c r="JZ304" s="9"/>
      <c r="KA304" s="9"/>
      <c r="KB304" s="9"/>
      <c r="KC304" s="9"/>
      <c r="KD304" s="9"/>
      <c r="KE304" s="9"/>
      <c r="KF304" s="9"/>
      <c r="KG304" s="9"/>
      <c r="KH304" s="9"/>
      <c r="KI304" s="9"/>
      <c r="KJ304" s="9"/>
      <c r="KK304" s="9"/>
      <c r="KL304" s="9"/>
      <c r="KM304" s="9"/>
      <c r="KN304" s="9"/>
      <c r="KO304" s="9"/>
      <c r="KP304" s="9"/>
      <c r="KQ304" s="9"/>
      <c r="KR304" s="9"/>
      <c r="KS304" s="9"/>
      <c r="KT304" s="9"/>
      <c r="KU304" s="9"/>
      <c r="KV304" s="9"/>
      <c r="KW304" s="9"/>
      <c r="KX304" s="9"/>
      <c r="KY304" s="9"/>
      <c r="KZ304" s="9"/>
      <c r="LA304" s="9"/>
      <c r="LB304" s="9"/>
      <c r="LC304" s="9"/>
      <c r="LD304" s="9"/>
      <c r="LE304" s="9"/>
      <c r="LF304" s="9"/>
      <c r="LG304" s="9"/>
      <c r="LH304" s="9"/>
      <c r="LI304" s="9"/>
      <c r="LJ304" s="9"/>
      <c r="LK304" s="9"/>
      <c r="LL304" s="9"/>
      <c r="LM304" s="9"/>
      <c r="LN304" s="9"/>
      <c r="LO304" s="9"/>
      <c r="LP304" s="9"/>
      <c r="LQ304" s="9"/>
      <c r="LR304" s="9"/>
      <c r="LS304" s="9"/>
      <c r="LT304" s="9"/>
      <c r="LU304" s="9"/>
      <c r="LV304" s="9"/>
      <c r="LW304" s="9"/>
      <c r="LX304" s="9"/>
      <c r="LY304" s="9"/>
      <c r="LZ304" s="9"/>
      <c r="MA304" s="9"/>
      <c r="MB304" s="9"/>
      <c r="MC304" s="9"/>
      <c r="MD304" s="9"/>
      <c r="ME304" s="9"/>
      <c r="MF304" s="9"/>
      <c r="MG304" s="9"/>
      <c r="MH304" s="9"/>
      <c r="MI304" s="9"/>
      <c r="MJ304" s="9"/>
      <c r="MK304" s="9"/>
      <c r="ML304" s="9"/>
      <c r="MM304" s="9"/>
      <c r="MN304" s="9"/>
      <c r="MO304" s="9"/>
      <c r="MP304" s="9"/>
      <c r="MQ304" s="9"/>
      <c r="MR304" s="9"/>
      <c r="MS304" s="9"/>
      <c r="MT304" s="9"/>
      <c r="MU304" s="9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  <c r="PG304" s="9"/>
      <c r="PH304" s="9"/>
      <c r="PI304" s="9"/>
      <c r="PJ304" s="9"/>
      <c r="PK304" s="9"/>
      <c r="PL304" s="9"/>
      <c r="PM304" s="9"/>
      <c r="PN304" s="9"/>
      <c r="PO304" s="9"/>
      <c r="PP304" s="9"/>
      <c r="PQ304" s="9"/>
      <c r="PR304" s="9"/>
      <c r="PS304" s="9"/>
      <c r="PT304" s="9"/>
      <c r="PU304" s="9"/>
      <c r="PV304" s="9"/>
      <c r="PW304" s="9"/>
      <c r="PX304" s="9"/>
      <c r="PY304" s="9"/>
      <c r="PZ304" s="9"/>
      <c r="QA304" s="9"/>
      <c r="QB304" s="9"/>
      <c r="QC304" s="9"/>
      <c r="QD304" s="9"/>
      <c r="QE304" s="9"/>
      <c r="QF304" s="9"/>
      <c r="QG304" s="9"/>
      <c r="QH304" s="9"/>
      <c r="QI304" s="9"/>
      <c r="QJ304" s="9"/>
      <c r="QK304" s="9"/>
      <c r="QL304" s="9"/>
      <c r="QM304" s="9"/>
      <c r="QN304" s="9"/>
      <c r="QO304" s="9"/>
      <c r="QP304" s="9"/>
      <c r="QQ304" s="9"/>
      <c r="QR304" s="9"/>
      <c r="QS304" s="9"/>
      <c r="QT304" s="9"/>
      <c r="QU304" s="9"/>
      <c r="QV304" s="9"/>
      <c r="QW304" s="9"/>
      <c r="QX304" s="9"/>
      <c r="QY304" s="9"/>
      <c r="QZ304" s="9"/>
      <c r="RA304" s="9"/>
      <c r="RB304" s="9"/>
      <c r="RC304" s="9"/>
      <c r="RD304" s="9"/>
      <c r="RE304" s="9"/>
      <c r="RF304" s="9"/>
      <c r="RG304" s="9"/>
      <c r="RH304" s="9"/>
      <c r="RI304" s="9"/>
      <c r="RJ304" s="9"/>
      <c r="RK304" s="9"/>
      <c r="RL304" s="9"/>
      <c r="RM304" s="9"/>
      <c r="RN304" s="9"/>
      <c r="RO304" s="9"/>
      <c r="RP304" s="9"/>
      <c r="RQ304" s="9"/>
      <c r="RR304" s="9"/>
      <c r="RS304" s="9"/>
      <c r="RT304" s="9"/>
      <c r="RU304" s="9"/>
      <c r="RV304" s="9"/>
      <c r="RW304" s="9"/>
      <c r="RX304" s="9"/>
      <c r="RY304" s="9"/>
      <c r="RZ304" s="9"/>
      <c r="SA304" s="9"/>
      <c r="SB304" s="9"/>
      <c r="SC304" s="9"/>
      <c r="SD304" s="9"/>
      <c r="SE304" s="9"/>
      <c r="SF304" s="9"/>
      <c r="SG304" s="9"/>
      <c r="SH304" s="9"/>
      <c r="SI304" s="9"/>
      <c r="SJ304" s="9"/>
      <c r="SK304" s="9"/>
      <c r="SL304" s="9"/>
      <c r="SM304" s="9"/>
      <c r="SN304" s="9"/>
      <c r="SO304" s="9"/>
      <c r="SP304" s="9"/>
      <c r="SQ304" s="9"/>
      <c r="SR304" s="9"/>
      <c r="SS304" s="9"/>
      <c r="ST304" s="9"/>
      <c r="SU304" s="9"/>
      <c r="SV304" s="9"/>
      <c r="SW304" s="9"/>
      <c r="SX304" s="9"/>
      <c r="SY304" s="9"/>
      <c r="SZ304" s="9"/>
      <c r="TA304" s="9"/>
      <c r="TB304" s="9"/>
      <c r="TC304" s="9"/>
      <c r="TD304" s="9"/>
      <c r="TE304" s="9"/>
      <c r="TF304" s="9"/>
      <c r="TG304" s="9"/>
      <c r="TH304" s="9"/>
      <c r="TI304" s="9"/>
      <c r="TJ304" s="9"/>
      <c r="TK304" s="9"/>
      <c r="TL304" s="9"/>
      <c r="TM304" s="9"/>
      <c r="TN304" s="9"/>
      <c r="TO304" s="9"/>
      <c r="TP304" s="9"/>
      <c r="TQ304" s="9"/>
      <c r="TR304" s="9"/>
      <c r="TS304" s="9"/>
      <c r="TT304" s="9"/>
      <c r="TU304" s="9"/>
      <c r="TV304" s="9"/>
      <c r="TW304" s="9"/>
      <c r="TX304" s="9"/>
      <c r="TY304" s="9"/>
      <c r="TZ304" s="9"/>
      <c r="UA304" s="9"/>
      <c r="UB304" s="9"/>
      <c r="UC304" s="9"/>
      <c r="UD304" s="9"/>
      <c r="UE304" s="9"/>
      <c r="UF304" s="9"/>
      <c r="UG304" s="9"/>
      <c r="UH304" s="9"/>
      <c r="UI304" s="9"/>
      <c r="UJ304" s="9"/>
    </row>
    <row r="305">
      <c r="A305" s="8">
        <f>IFERROR(__xludf.DUMMYFUNCTION("""COMPUTED_VALUE"""),45423.0)</f>
        <v>45423</v>
      </c>
      <c r="B305" s="9">
        <f>IFERROR(__xludf.DUMMYFUNCTION("""COMPUTED_VALUE"""),5.0)</f>
        <v>5</v>
      </c>
      <c r="C305" s="9">
        <f>IFERROR(__xludf.DUMMYFUNCTION("""COMPUTED_VALUE"""),50.0)</f>
        <v>50</v>
      </c>
      <c r="D305" s="9">
        <f>IFERROR(__xludf.DUMMYFUNCTION("""COMPUTED_VALUE"""),10.0)</f>
        <v>10</v>
      </c>
      <c r="E305" s="9">
        <f>IFERROR(__xludf.DUMMYFUNCTION("""COMPUTED_VALUE"""),693.0)</f>
        <v>693</v>
      </c>
      <c r="F305" s="9">
        <f>IFERROR(__xludf.DUMMYFUNCTION("""COMPUTED_VALUE"""),139.0)</f>
        <v>139</v>
      </c>
      <c r="G305" s="9">
        <f>IFERROR(__xludf.DUMMYFUNCTION("""COMPUTED_VALUE"""),0.0)</f>
        <v>0</v>
      </c>
      <c r="H305" s="9"/>
      <c r="I305" s="9">
        <f>IFERROR(__xludf.DUMMYFUNCTION("""COMPUTED_VALUE"""),3.0)</f>
        <v>3</v>
      </c>
      <c r="J305" s="9">
        <f>IFERROR(__xludf.DUMMYFUNCTION("""COMPUTED_VALUE"""),1.0)</f>
        <v>1</v>
      </c>
      <c r="K305" s="9">
        <f>IFERROR(__xludf.DUMMYFUNCTION("""COMPUTED_VALUE"""),0.0)</f>
        <v>0</v>
      </c>
      <c r="L305" s="9">
        <f>IFERROR(__xludf.DUMMYFUNCTION("""COMPUTED_VALUE"""),0.0)</f>
        <v>0</v>
      </c>
      <c r="M305" s="9">
        <f>IFERROR(__xludf.DUMMYFUNCTION("""COMPUTED_VALUE"""),4.0)</f>
        <v>4</v>
      </c>
      <c r="N305" s="9">
        <f>IFERROR(__xludf.DUMMYFUNCTION("""COMPUTED_VALUE"""),3.0)</f>
        <v>3</v>
      </c>
      <c r="O305" s="9">
        <f>IFERROR(__xludf.DUMMYFUNCTION("""COMPUTED_VALUE"""),0.0)</f>
        <v>0</v>
      </c>
      <c r="P305" s="9">
        <f>IFERROR(__xludf.DUMMYFUNCTION("""COMPUTED_VALUE"""),2.0)</f>
        <v>2</v>
      </c>
      <c r="Q305" s="9">
        <f>IFERROR(__xludf.DUMMYFUNCTION("""COMPUTED_VALUE"""),2.0)</f>
        <v>2</v>
      </c>
      <c r="R305" s="9">
        <f>IFERROR(__xludf.DUMMYFUNCTION("""COMPUTED_VALUE"""),2.0)</f>
        <v>2</v>
      </c>
      <c r="S305" s="9">
        <f>IFERROR(__xludf.DUMMYFUNCTION("""COMPUTED_VALUE"""),1.0)</f>
        <v>1</v>
      </c>
      <c r="T305" s="9">
        <f>IFERROR(__xludf.DUMMYFUNCTION("""COMPUTED_VALUE"""),0.0)</f>
        <v>0</v>
      </c>
      <c r="U305" s="9">
        <f>IFERROR(__xludf.DUMMYFUNCTION("""COMPUTED_VALUE"""),0.0)</f>
        <v>0</v>
      </c>
      <c r="V305" s="9">
        <f>IFERROR(__xludf.DUMMYFUNCTION("""COMPUTED_VALUE"""),4.0)</f>
        <v>4</v>
      </c>
      <c r="W305" s="9">
        <f>IFERROR(__xludf.DUMMYFUNCTION("""COMPUTED_VALUE"""),0.0)</f>
        <v>0</v>
      </c>
      <c r="X305" s="9">
        <f>IFERROR(__xludf.DUMMYFUNCTION("""COMPUTED_VALUE"""),3.0)</f>
        <v>3</v>
      </c>
      <c r="Y305" s="9">
        <f>IFERROR(__xludf.DUMMYFUNCTION("""COMPUTED_VALUE"""),4.0)</f>
        <v>4</v>
      </c>
      <c r="Z305" s="9">
        <f>IFERROR(__xludf.DUMMYFUNCTION("""COMPUTED_VALUE"""),0.0)</f>
        <v>0</v>
      </c>
      <c r="AA305" s="9">
        <f>IFERROR(__xludf.DUMMYFUNCTION("""COMPUTED_VALUE"""),0.0)</f>
        <v>0</v>
      </c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  <c r="TB305" s="9"/>
      <c r="TC305" s="9"/>
      <c r="TD305" s="9"/>
      <c r="TE305" s="9"/>
      <c r="TF305" s="9"/>
      <c r="TG305" s="9"/>
      <c r="TH305" s="9"/>
      <c r="TI305" s="9"/>
      <c r="TJ305" s="9"/>
      <c r="TK305" s="9"/>
      <c r="TL305" s="9"/>
      <c r="TM305" s="9"/>
      <c r="TN305" s="9"/>
      <c r="TO305" s="9"/>
      <c r="TP305" s="9"/>
      <c r="TQ305" s="9"/>
      <c r="TR305" s="9"/>
      <c r="TS305" s="9"/>
      <c r="TT305" s="9"/>
      <c r="TU305" s="9"/>
      <c r="TV305" s="9"/>
      <c r="TW305" s="9"/>
      <c r="TX305" s="9"/>
      <c r="TY305" s="9"/>
      <c r="TZ305" s="9"/>
      <c r="UA305" s="9"/>
      <c r="UB305" s="9"/>
      <c r="UC305" s="9"/>
      <c r="UD305" s="9"/>
      <c r="UE305" s="9"/>
      <c r="UF305" s="9"/>
      <c r="UG305" s="9"/>
      <c r="UH305" s="9"/>
      <c r="UI305" s="9"/>
      <c r="UJ305" s="9"/>
    </row>
    <row r="306">
      <c r="A306" s="8">
        <f>IFERROR(__xludf.DUMMYFUNCTION("""COMPUTED_VALUE"""),45424.0)</f>
        <v>45424</v>
      </c>
      <c r="B306" s="9">
        <f>IFERROR(__xludf.DUMMYFUNCTION("""COMPUTED_VALUE"""),0.0)</f>
        <v>0</v>
      </c>
      <c r="C306" s="9">
        <f>IFERROR(__xludf.DUMMYFUNCTION("""COMPUTED_VALUE"""),0.0)</f>
        <v>0</v>
      </c>
      <c r="D306" s="9">
        <f>IFERROR(__xludf.DUMMYFUNCTION("""COMPUTED_VALUE"""),0.0)</f>
        <v>0</v>
      </c>
      <c r="E306" s="9">
        <f>IFERROR(__xludf.DUMMYFUNCTION("""COMPUTED_VALUE"""),0.0)</f>
        <v>0</v>
      </c>
      <c r="F306" s="9">
        <f>IFERROR(__xludf.DUMMYFUNCTION("""COMPUTED_VALUE"""),0.0)</f>
        <v>0</v>
      </c>
      <c r="G306" s="9">
        <f>IFERROR(__xludf.DUMMYFUNCTION("""COMPUTED_VALUE"""),0.0)</f>
        <v>0</v>
      </c>
      <c r="H306" s="9"/>
      <c r="I306" s="9">
        <f>IFERROR(__xludf.DUMMYFUNCTION("""COMPUTED_VALUE"""),0.0)</f>
        <v>0</v>
      </c>
      <c r="J306" s="9">
        <f>IFERROR(__xludf.DUMMYFUNCTION("""COMPUTED_VALUE"""),0.0)</f>
        <v>0</v>
      </c>
      <c r="K306" s="9">
        <f>IFERROR(__xludf.DUMMYFUNCTION("""COMPUTED_VALUE"""),0.0)</f>
        <v>0</v>
      </c>
      <c r="L306" s="9">
        <f>IFERROR(__xludf.DUMMYFUNCTION("""COMPUTED_VALUE"""),0.0)</f>
        <v>0</v>
      </c>
      <c r="M306" s="9">
        <f>IFERROR(__xludf.DUMMYFUNCTION("""COMPUTED_VALUE"""),0.0)</f>
        <v>0</v>
      </c>
      <c r="N306" s="9">
        <f>IFERROR(__xludf.DUMMYFUNCTION("""COMPUTED_VALUE"""),0.0)</f>
        <v>0</v>
      </c>
      <c r="O306" s="9">
        <f>IFERROR(__xludf.DUMMYFUNCTION("""COMPUTED_VALUE"""),0.0)</f>
        <v>0</v>
      </c>
      <c r="P306" s="9">
        <f>IFERROR(__xludf.DUMMYFUNCTION("""COMPUTED_VALUE"""),0.0)</f>
        <v>0</v>
      </c>
      <c r="Q306" s="9">
        <f>IFERROR(__xludf.DUMMYFUNCTION("""COMPUTED_VALUE"""),0.0)</f>
        <v>0</v>
      </c>
      <c r="R306" s="9">
        <f>IFERROR(__xludf.DUMMYFUNCTION("""COMPUTED_VALUE"""),0.0)</f>
        <v>0</v>
      </c>
      <c r="S306" s="9">
        <f>IFERROR(__xludf.DUMMYFUNCTION("""COMPUTED_VALUE"""),0.0)</f>
        <v>0</v>
      </c>
      <c r="T306" s="9">
        <f>IFERROR(__xludf.DUMMYFUNCTION("""COMPUTED_VALUE"""),0.0)</f>
        <v>0</v>
      </c>
      <c r="U306" s="9">
        <f>IFERROR(__xludf.DUMMYFUNCTION("""COMPUTED_VALUE"""),0.0)</f>
        <v>0</v>
      </c>
      <c r="V306" s="9">
        <f>IFERROR(__xludf.DUMMYFUNCTION("""COMPUTED_VALUE"""),0.0)</f>
        <v>0</v>
      </c>
      <c r="W306" s="9">
        <f>IFERROR(__xludf.DUMMYFUNCTION("""COMPUTED_VALUE"""),0.0)</f>
        <v>0</v>
      </c>
      <c r="X306" s="9">
        <f>IFERROR(__xludf.DUMMYFUNCTION("""COMPUTED_VALUE"""),0.0)</f>
        <v>0</v>
      </c>
      <c r="Y306" s="9">
        <f>IFERROR(__xludf.DUMMYFUNCTION("""COMPUTED_VALUE"""),0.0)</f>
        <v>0</v>
      </c>
      <c r="Z306" s="9">
        <f>IFERROR(__xludf.DUMMYFUNCTION("""COMPUTED_VALUE"""),0.0)</f>
        <v>0</v>
      </c>
      <c r="AA306" s="9">
        <f>IFERROR(__xludf.DUMMYFUNCTION("""COMPUTED_VALUE"""),0.0)</f>
        <v>0</v>
      </c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/>
      <c r="JF306" s="9"/>
      <c r="JG306" s="9"/>
      <c r="JH306" s="9"/>
      <c r="JI306" s="9"/>
      <c r="JJ306" s="9"/>
      <c r="JK306" s="9"/>
      <c r="JL306" s="9"/>
      <c r="JM306" s="9"/>
      <c r="JN306" s="9"/>
      <c r="JO306" s="9"/>
      <c r="JP306" s="9"/>
      <c r="JQ306" s="9"/>
      <c r="JR306" s="9"/>
      <c r="JS306" s="9"/>
      <c r="JT306" s="9"/>
      <c r="JU306" s="9"/>
      <c r="JV306" s="9"/>
      <c r="JW306" s="9"/>
      <c r="JX306" s="9"/>
      <c r="JY306" s="9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9"/>
      <c r="KL306" s="9"/>
      <c r="KM306" s="9"/>
      <c r="KN306" s="9"/>
      <c r="KO306" s="9"/>
      <c r="KP306" s="9"/>
      <c r="KQ306" s="9"/>
      <c r="KR306" s="9"/>
      <c r="KS306" s="9"/>
      <c r="KT306" s="9"/>
      <c r="KU306" s="9"/>
      <c r="KV306" s="9"/>
      <c r="KW306" s="9"/>
      <c r="KX306" s="9"/>
      <c r="KY306" s="9"/>
      <c r="KZ306" s="9"/>
      <c r="LA306" s="9"/>
      <c r="LB306" s="9"/>
      <c r="LC306" s="9"/>
      <c r="LD306" s="9"/>
      <c r="LE306" s="9"/>
      <c r="LF306" s="9"/>
      <c r="LG306" s="9"/>
      <c r="LH306" s="9"/>
      <c r="LI306" s="9"/>
      <c r="LJ306" s="9"/>
      <c r="LK306" s="9"/>
      <c r="LL306" s="9"/>
      <c r="LM306" s="9"/>
      <c r="LN306" s="9"/>
      <c r="LO306" s="9"/>
      <c r="LP306" s="9"/>
      <c r="LQ306" s="9"/>
      <c r="LR306" s="9"/>
      <c r="LS306" s="9"/>
      <c r="LT306" s="9"/>
      <c r="LU306" s="9"/>
      <c r="LV306" s="9"/>
      <c r="LW306" s="9"/>
      <c r="LX306" s="9"/>
      <c r="LY306" s="9"/>
      <c r="LZ306" s="9"/>
      <c r="MA306" s="9"/>
      <c r="MB306" s="9"/>
      <c r="MC306" s="9"/>
      <c r="MD306" s="9"/>
      <c r="ME306" s="9"/>
      <c r="MF306" s="9"/>
      <c r="MG306" s="9"/>
      <c r="MH306" s="9"/>
      <c r="MI306" s="9"/>
      <c r="MJ306" s="9"/>
      <c r="MK306" s="9"/>
      <c r="ML306" s="9"/>
      <c r="MM306" s="9"/>
      <c r="MN306" s="9"/>
      <c r="MO306" s="9"/>
      <c r="MP306" s="9"/>
      <c r="MQ306" s="9"/>
      <c r="MR306" s="9"/>
      <c r="MS306" s="9"/>
      <c r="MT306" s="9"/>
      <c r="MU306" s="9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  <c r="PG306" s="9"/>
      <c r="PH306" s="9"/>
      <c r="PI306" s="9"/>
      <c r="PJ306" s="9"/>
      <c r="PK306" s="9"/>
      <c r="PL306" s="9"/>
      <c r="PM306" s="9"/>
      <c r="PN306" s="9"/>
      <c r="PO306" s="9"/>
      <c r="PP306" s="9"/>
      <c r="PQ306" s="9"/>
      <c r="PR306" s="9"/>
      <c r="PS306" s="9"/>
      <c r="PT306" s="9"/>
      <c r="PU306" s="9"/>
      <c r="PV306" s="9"/>
      <c r="PW306" s="9"/>
      <c r="PX306" s="9"/>
      <c r="PY306" s="9"/>
      <c r="PZ306" s="9"/>
      <c r="QA306" s="9"/>
      <c r="QB306" s="9"/>
      <c r="QC306" s="9"/>
      <c r="QD306" s="9"/>
      <c r="QE306" s="9"/>
      <c r="QF306" s="9"/>
      <c r="QG306" s="9"/>
      <c r="QH306" s="9"/>
      <c r="QI306" s="9"/>
      <c r="QJ306" s="9"/>
      <c r="QK306" s="9"/>
      <c r="QL306" s="9"/>
      <c r="QM306" s="9"/>
      <c r="QN306" s="9"/>
      <c r="QO306" s="9"/>
      <c r="QP306" s="9"/>
      <c r="QQ306" s="9"/>
      <c r="QR306" s="9"/>
      <c r="QS306" s="9"/>
      <c r="QT306" s="9"/>
      <c r="QU306" s="9"/>
      <c r="QV306" s="9"/>
      <c r="QW306" s="9"/>
      <c r="QX306" s="9"/>
      <c r="QY306" s="9"/>
      <c r="QZ306" s="9"/>
      <c r="RA306" s="9"/>
      <c r="RB306" s="9"/>
      <c r="RC306" s="9"/>
      <c r="RD306" s="9"/>
      <c r="RE306" s="9"/>
      <c r="RF306" s="9"/>
      <c r="RG306" s="9"/>
      <c r="RH306" s="9"/>
      <c r="RI306" s="9"/>
      <c r="RJ306" s="9"/>
      <c r="RK306" s="9"/>
      <c r="RL306" s="9"/>
      <c r="RM306" s="9"/>
      <c r="RN306" s="9"/>
      <c r="RO306" s="9"/>
      <c r="RP306" s="9"/>
      <c r="RQ306" s="9"/>
      <c r="RR306" s="9"/>
      <c r="RS306" s="9"/>
      <c r="RT306" s="9"/>
      <c r="RU306" s="9"/>
      <c r="RV306" s="9"/>
      <c r="RW306" s="9"/>
      <c r="RX306" s="9"/>
      <c r="RY306" s="9"/>
      <c r="RZ306" s="9"/>
      <c r="SA306" s="9"/>
      <c r="SB306" s="9"/>
      <c r="SC306" s="9"/>
      <c r="SD306" s="9"/>
      <c r="SE306" s="9"/>
      <c r="SF306" s="9"/>
      <c r="SG306" s="9"/>
      <c r="SH306" s="9"/>
      <c r="SI306" s="9"/>
      <c r="SJ306" s="9"/>
      <c r="SK306" s="9"/>
      <c r="SL306" s="9"/>
      <c r="SM306" s="9"/>
      <c r="SN306" s="9"/>
      <c r="SO306" s="9"/>
      <c r="SP306" s="9"/>
      <c r="SQ306" s="9"/>
      <c r="SR306" s="9"/>
      <c r="SS306" s="9"/>
      <c r="ST306" s="9"/>
      <c r="SU306" s="9"/>
      <c r="SV306" s="9"/>
      <c r="SW306" s="9"/>
      <c r="SX306" s="9"/>
      <c r="SY306" s="9"/>
      <c r="SZ306" s="9"/>
      <c r="TA306" s="9"/>
      <c r="TB306" s="9"/>
      <c r="TC306" s="9"/>
      <c r="TD306" s="9"/>
      <c r="TE306" s="9"/>
      <c r="TF306" s="9"/>
      <c r="TG306" s="9"/>
      <c r="TH306" s="9"/>
      <c r="TI306" s="9"/>
      <c r="TJ306" s="9"/>
      <c r="TK306" s="9"/>
      <c r="TL306" s="9"/>
      <c r="TM306" s="9"/>
      <c r="TN306" s="9"/>
      <c r="TO306" s="9"/>
      <c r="TP306" s="9"/>
      <c r="TQ306" s="9"/>
      <c r="TR306" s="9"/>
      <c r="TS306" s="9"/>
      <c r="TT306" s="9"/>
      <c r="TU306" s="9"/>
      <c r="TV306" s="9"/>
      <c r="TW306" s="9"/>
      <c r="TX306" s="9"/>
      <c r="TY306" s="9"/>
      <c r="TZ306" s="9"/>
      <c r="UA306" s="9"/>
      <c r="UB306" s="9"/>
      <c r="UC306" s="9"/>
      <c r="UD306" s="9"/>
      <c r="UE306" s="9"/>
      <c r="UF306" s="9"/>
      <c r="UG306" s="9"/>
      <c r="UH306" s="9"/>
      <c r="UI306" s="9"/>
      <c r="UJ306" s="9"/>
    </row>
    <row r="307">
      <c r="A307" s="8">
        <f>IFERROR(__xludf.DUMMYFUNCTION("""COMPUTED_VALUE"""),45425.0)</f>
        <v>45425</v>
      </c>
      <c r="B307" s="9">
        <f>IFERROR(__xludf.DUMMYFUNCTION("""COMPUTED_VALUE"""),13.0)</f>
        <v>13</v>
      </c>
      <c r="C307" s="9">
        <f>IFERROR(__xludf.DUMMYFUNCTION("""COMPUTED_VALUE"""),99.0)</f>
        <v>99</v>
      </c>
      <c r="D307" s="9">
        <f>IFERROR(__xludf.DUMMYFUNCTION("""COMPUTED_VALUE"""),8.0)</f>
        <v>8</v>
      </c>
      <c r="E307" s="9">
        <f>IFERROR(__xludf.DUMMYFUNCTION("""COMPUTED_VALUE"""),2201.0)</f>
        <v>2201</v>
      </c>
      <c r="F307" s="9">
        <f>IFERROR(__xludf.DUMMYFUNCTION("""COMPUTED_VALUE"""),169.0)</f>
        <v>169</v>
      </c>
      <c r="G307" s="9">
        <f>IFERROR(__xludf.DUMMYFUNCTION("""COMPUTED_VALUE"""),0.0)</f>
        <v>0</v>
      </c>
      <c r="H307" s="9"/>
      <c r="I307" s="9">
        <f>IFERROR(__xludf.DUMMYFUNCTION("""COMPUTED_VALUE"""),7.0)</f>
        <v>7</v>
      </c>
      <c r="J307" s="9">
        <f>IFERROR(__xludf.DUMMYFUNCTION("""COMPUTED_VALUE"""),3.0)</f>
        <v>3</v>
      </c>
      <c r="K307" s="9">
        <f>IFERROR(__xludf.DUMMYFUNCTION("""COMPUTED_VALUE"""),0.0)</f>
        <v>0</v>
      </c>
      <c r="L307" s="9">
        <f>IFERROR(__xludf.DUMMYFUNCTION("""COMPUTED_VALUE"""),0.0)</f>
        <v>0</v>
      </c>
      <c r="M307" s="9">
        <f>IFERROR(__xludf.DUMMYFUNCTION("""COMPUTED_VALUE"""),10.0)</f>
        <v>10</v>
      </c>
      <c r="N307" s="9">
        <f>IFERROR(__xludf.DUMMYFUNCTION("""COMPUTED_VALUE"""),7.0)</f>
        <v>7</v>
      </c>
      <c r="O307" s="9">
        <f>IFERROR(__xludf.DUMMYFUNCTION("""COMPUTED_VALUE"""),0.0)</f>
        <v>0</v>
      </c>
      <c r="P307" s="9">
        <f>IFERROR(__xludf.DUMMYFUNCTION("""COMPUTED_VALUE"""),4.0)</f>
        <v>4</v>
      </c>
      <c r="Q307" s="9">
        <f>IFERROR(__xludf.DUMMYFUNCTION("""COMPUTED_VALUE"""),3.0)</f>
        <v>3</v>
      </c>
      <c r="R307" s="9">
        <f>IFERROR(__xludf.DUMMYFUNCTION("""COMPUTED_VALUE"""),4.0)</f>
        <v>4</v>
      </c>
      <c r="S307" s="9">
        <f>IFERROR(__xludf.DUMMYFUNCTION("""COMPUTED_VALUE"""),2.0)</f>
        <v>2</v>
      </c>
      <c r="T307" s="9">
        <f>IFERROR(__xludf.DUMMYFUNCTION("""COMPUTED_VALUE"""),2.0)</f>
        <v>2</v>
      </c>
      <c r="U307" s="9">
        <f>IFERROR(__xludf.DUMMYFUNCTION("""COMPUTED_VALUE"""),0.0)</f>
        <v>0</v>
      </c>
      <c r="V307" s="9">
        <f>IFERROR(__xludf.DUMMYFUNCTION("""COMPUTED_VALUE"""),7.0)</f>
        <v>7</v>
      </c>
      <c r="W307" s="9">
        <f>IFERROR(__xludf.DUMMYFUNCTION("""COMPUTED_VALUE"""),1.0)</f>
        <v>1</v>
      </c>
      <c r="X307" s="9">
        <f>IFERROR(__xludf.DUMMYFUNCTION("""COMPUTED_VALUE"""),5.0)</f>
        <v>5</v>
      </c>
      <c r="Y307" s="9">
        <f>IFERROR(__xludf.DUMMYFUNCTION("""COMPUTED_VALUE"""),10.0)</f>
        <v>10</v>
      </c>
      <c r="Z307" s="9">
        <f>IFERROR(__xludf.DUMMYFUNCTION("""COMPUTED_VALUE"""),3.0)</f>
        <v>3</v>
      </c>
      <c r="AA307" s="9">
        <f>IFERROR(__xludf.DUMMYFUNCTION("""COMPUTED_VALUE"""),0.0)</f>
        <v>0</v>
      </c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  <c r="TB307" s="9"/>
      <c r="TC307" s="9"/>
      <c r="TD307" s="9"/>
      <c r="TE307" s="9"/>
      <c r="TF307" s="9"/>
      <c r="TG307" s="9"/>
      <c r="TH307" s="9"/>
      <c r="TI307" s="9"/>
      <c r="TJ307" s="9"/>
      <c r="TK307" s="9"/>
      <c r="TL307" s="9"/>
      <c r="TM307" s="9"/>
      <c r="TN307" s="9"/>
      <c r="TO307" s="9"/>
      <c r="TP307" s="9"/>
      <c r="TQ307" s="9"/>
      <c r="TR307" s="9"/>
      <c r="TS307" s="9"/>
      <c r="TT307" s="9"/>
      <c r="TU307" s="9"/>
      <c r="TV307" s="9"/>
      <c r="TW307" s="9"/>
      <c r="TX307" s="9"/>
      <c r="TY307" s="9"/>
      <c r="TZ307" s="9"/>
      <c r="UA307" s="9"/>
      <c r="UB307" s="9"/>
      <c r="UC307" s="9"/>
      <c r="UD307" s="9"/>
      <c r="UE307" s="9"/>
      <c r="UF307" s="9"/>
      <c r="UG307" s="9"/>
      <c r="UH307" s="9"/>
      <c r="UI307" s="9"/>
      <c r="UJ307" s="9"/>
    </row>
    <row r="308">
      <c r="A308" s="8">
        <f>IFERROR(__xludf.DUMMYFUNCTION("""COMPUTED_VALUE"""),45426.0)</f>
        <v>45426</v>
      </c>
      <c r="B308" s="9">
        <f>IFERROR(__xludf.DUMMYFUNCTION("""COMPUTED_VALUE"""),6.0)</f>
        <v>6</v>
      </c>
      <c r="C308" s="9">
        <f>IFERROR(__xludf.DUMMYFUNCTION("""COMPUTED_VALUE"""),37.0)</f>
        <v>37</v>
      </c>
      <c r="D308" s="9">
        <f>IFERROR(__xludf.DUMMYFUNCTION("""COMPUTED_VALUE"""),6.0)</f>
        <v>6</v>
      </c>
      <c r="E308" s="9">
        <f>IFERROR(__xludf.DUMMYFUNCTION("""COMPUTED_VALUE"""),525.0)</f>
        <v>525</v>
      </c>
      <c r="F308" s="9">
        <f>IFERROR(__xludf.DUMMYFUNCTION("""COMPUTED_VALUE"""),88.0)</f>
        <v>88</v>
      </c>
      <c r="G308" s="9">
        <f>IFERROR(__xludf.DUMMYFUNCTION("""COMPUTED_VALUE"""),0.0)</f>
        <v>0</v>
      </c>
      <c r="H308" s="9"/>
      <c r="I308" s="9">
        <f>IFERROR(__xludf.DUMMYFUNCTION("""COMPUTED_VALUE"""),4.0)</f>
        <v>4</v>
      </c>
      <c r="J308" s="9">
        <f>IFERROR(__xludf.DUMMYFUNCTION("""COMPUTED_VALUE"""),1.0)</f>
        <v>1</v>
      </c>
      <c r="K308" s="9">
        <f>IFERROR(__xludf.DUMMYFUNCTION("""COMPUTED_VALUE"""),0.0)</f>
        <v>0</v>
      </c>
      <c r="L308" s="9">
        <f>IFERROR(__xludf.DUMMYFUNCTION("""COMPUTED_VALUE"""),0.0)</f>
        <v>0</v>
      </c>
      <c r="M308" s="9">
        <f>IFERROR(__xludf.DUMMYFUNCTION("""COMPUTED_VALUE"""),5.0)</f>
        <v>5</v>
      </c>
      <c r="N308" s="9">
        <f>IFERROR(__xludf.DUMMYFUNCTION("""COMPUTED_VALUE"""),6.0)</f>
        <v>6</v>
      </c>
      <c r="O308" s="9">
        <f>IFERROR(__xludf.DUMMYFUNCTION("""COMPUTED_VALUE"""),0.0)</f>
        <v>0</v>
      </c>
      <c r="P308" s="9">
        <f>IFERROR(__xludf.DUMMYFUNCTION("""COMPUTED_VALUE"""),0.0)</f>
        <v>0</v>
      </c>
      <c r="Q308" s="9">
        <f>IFERROR(__xludf.DUMMYFUNCTION("""COMPUTED_VALUE"""),2.0)</f>
        <v>2</v>
      </c>
      <c r="R308" s="9">
        <f>IFERROR(__xludf.DUMMYFUNCTION("""COMPUTED_VALUE"""),0.0)</f>
        <v>0</v>
      </c>
      <c r="S308" s="9">
        <f>IFERROR(__xludf.DUMMYFUNCTION("""COMPUTED_VALUE"""),4.0)</f>
        <v>4</v>
      </c>
      <c r="T308" s="9">
        <f>IFERROR(__xludf.DUMMYFUNCTION("""COMPUTED_VALUE"""),1.0)</f>
        <v>1</v>
      </c>
      <c r="U308" s="9">
        <f>IFERROR(__xludf.DUMMYFUNCTION("""COMPUTED_VALUE"""),0.0)</f>
        <v>0</v>
      </c>
      <c r="V308" s="9">
        <f>IFERROR(__xludf.DUMMYFUNCTION("""COMPUTED_VALUE"""),2.0)</f>
        <v>2</v>
      </c>
      <c r="W308" s="9">
        <f>IFERROR(__xludf.DUMMYFUNCTION("""COMPUTED_VALUE"""),0.0)</f>
        <v>0</v>
      </c>
      <c r="X308" s="9">
        <f>IFERROR(__xludf.DUMMYFUNCTION("""COMPUTED_VALUE"""),3.0)</f>
        <v>3</v>
      </c>
      <c r="Y308" s="9">
        <f>IFERROR(__xludf.DUMMYFUNCTION("""COMPUTED_VALUE"""),3.0)</f>
        <v>3</v>
      </c>
      <c r="Z308" s="9">
        <f>IFERROR(__xludf.DUMMYFUNCTION("""COMPUTED_VALUE"""),1.0)</f>
        <v>1</v>
      </c>
      <c r="AA308" s="9">
        <f>IFERROR(__xludf.DUMMYFUNCTION("""COMPUTED_VALUE"""),0.0)</f>
        <v>0</v>
      </c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9"/>
      <c r="JE308" s="9"/>
      <c r="JF308" s="9"/>
      <c r="JG308" s="9"/>
      <c r="JH308" s="9"/>
      <c r="JI308" s="9"/>
      <c r="JJ308" s="9"/>
      <c r="JK308" s="9"/>
      <c r="JL308" s="9"/>
      <c r="JM308" s="9"/>
      <c r="JN308" s="9"/>
      <c r="JO308" s="9"/>
      <c r="JP308" s="9"/>
      <c r="JQ308" s="9"/>
      <c r="JR308" s="9"/>
      <c r="JS308" s="9"/>
      <c r="JT308" s="9"/>
      <c r="JU308" s="9"/>
      <c r="JV308" s="9"/>
      <c r="JW308" s="9"/>
      <c r="JX308" s="9"/>
      <c r="JY308" s="9"/>
      <c r="JZ308" s="9"/>
      <c r="KA308" s="9"/>
      <c r="KB308" s="9"/>
      <c r="KC308" s="9"/>
      <c r="KD308" s="9"/>
      <c r="KE308" s="9"/>
      <c r="KF308" s="9"/>
      <c r="KG308" s="9"/>
      <c r="KH308" s="9"/>
      <c r="KI308" s="9"/>
      <c r="KJ308" s="9"/>
      <c r="KK308" s="9"/>
      <c r="KL308" s="9"/>
      <c r="KM308" s="9"/>
      <c r="KN308" s="9"/>
      <c r="KO308" s="9"/>
      <c r="KP308" s="9"/>
      <c r="KQ308" s="9"/>
      <c r="KR308" s="9"/>
      <c r="KS308" s="9"/>
      <c r="KT308" s="9"/>
      <c r="KU308" s="9"/>
      <c r="KV308" s="9"/>
      <c r="KW308" s="9"/>
      <c r="KX308" s="9"/>
      <c r="KY308" s="9"/>
      <c r="KZ308" s="9"/>
      <c r="LA308" s="9"/>
      <c r="LB308" s="9"/>
      <c r="LC308" s="9"/>
      <c r="LD308" s="9"/>
      <c r="LE308" s="9"/>
      <c r="LF308" s="9"/>
      <c r="LG308" s="9"/>
      <c r="LH308" s="9"/>
      <c r="LI308" s="9"/>
      <c r="LJ308" s="9"/>
      <c r="LK308" s="9"/>
      <c r="LL308" s="9"/>
      <c r="LM308" s="9"/>
      <c r="LN308" s="9"/>
      <c r="LO308" s="9"/>
      <c r="LP308" s="9"/>
      <c r="LQ308" s="9"/>
      <c r="LR308" s="9"/>
      <c r="LS308" s="9"/>
      <c r="LT308" s="9"/>
      <c r="LU308" s="9"/>
      <c r="LV308" s="9"/>
      <c r="LW308" s="9"/>
      <c r="LX308" s="9"/>
      <c r="LY308" s="9"/>
      <c r="LZ308" s="9"/>
      <c r="MA308" s="9"/>
      <c r="MB308" s="9"/>
      <c r="MC308" s="9"/>
      <c r="MD308" s="9"/>
      <c r="ME308" s="9"/>
      <c r="MF308" s="9"/>
      <c r="MG308" s="9"/>
      <c r="MH308" s="9"/>
      <c r="MI308" s="9"/>
      <c r="MJ308" s="9"/>
      <c r="MK308" s="9"/>
      <c r="ML308" s="9"/>
      <c r="MM308" s="9"/>
      <c r="MN308" s="9"/>
      <c r="MO308" s="9"/>
      <c r="MP308" s="9"/>
      <c r="MQ308" s="9"/>
      <c r="MR308" s="9"/>
      <c r="MS308" s="9"/>
      <c r="MT308" s="9"/>
      <c r="MU308" s="9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  <c r="PG308" s="9"/>
      <c r="PH308" s="9"/>
      <c r="PI308" s="9"/>
      <c r="PJ308" s="9"/>
      <c r="PK308" s="9"/>
      <c r="PL308" s="9"/>
      <c r="PM308" s="9"/>
      <c r="PN308" s="9"/>
      <c r="PO308" s="9"/>
      <c r="PP308" s="9"/>
      <c r="PQ308" s="9"/>
      <c r="PR308" s="9"/>
      <c r="PS308" s="9"/>
      <c r="PT308" s="9"/>
      <c r="PU308" s="9"/>
      <c r="PV308" s="9"/>
      <c r="PW308" s="9"/>
      <c r="PX308" s="9"/>
      <c r="PY308" s="9"/>
      <c r="PZ308" s="9"/>
      <c r="QA308" s="9"/>
      <c r="QB308" s="9"/>
      <c r="QC308" s="9"/>
      <c r="QD308" s="9"/>
      <c r="QE308" s="9"/>
      <c r="QF308" s="9"/>
      <c r="QG308" s="9"/>
      <c r="QH308" s="9"/>
      <c r="QI308" s="9"/>
      <c r="QJ308" s="9"/>
      <c r="QK308" s="9"/>
      <c r="QL308" s="9"/>
      <c r="QM308" s="9"/>
      <c r="QN308" s="9"/>
      <c r="QO308" s="9"/>
      <c r="QP308" s="9"/>
      <c r="QQ308" s="9"/>
      <c r="QR308" s="9"/>
      <c r="QS308" s="9"/>
      <c r="QT308" s="9"/>
      <c r="QU308" s="9"/>
      <c r="QV308" s="9"/>
      <c r="QW308" s="9"/>
      <c r="QX308" s="9"/>
      <c r="QY308" s="9"/>
      <c r="QZ308" s="9"/>
      <c r="RA308" s="9"/>
      <c r="RB308" s="9"/>
      <c r="RC308" s="9"/>
      <c r="RD308" s="9"/>
      <c r="RE308" s="9"/>
      <c r="RF308" s="9"/>
      <c r="RG308" s="9"/>
      <c r="RH308" s="9"/>
      <c r="RI308" s="9"/>
      <c r="RJ308" s="9"/>
      <c r="RK308" s="9"/>
      <c r="RL308" s="9"/>
      <c r="RM308" s="9"/>
      <c r="RN308" s="9"/>
      <c r="RO308" s="9"/>
      <c r="RP308" s="9"/>
      <c r="RQ308" s="9"/>
      <c r="RR308" s="9"/>
      <c r="RS308" s="9"/>
      <c r="RT308" s="9"/>
      <c r="RU308" s="9"/>
      <c r="RV308" s="9"/>
      <c r="RW308" s="9"/>
      <c r="RX308" s="9"/>
      <c r="RY308" s="9"/>
      <c r="RZ308" s="9"/>
      <c r="SA308" s="9"/>
      <c r="SB308" s="9"/>
      <c r="SC308" s="9"/>
      <c r="SD308" s="9"/>
      <c r="SE308" s="9"/>
      <c r="SF308" s="9"/>
      <c r="SG308" s="9"/>
      <c r="SH308" s="9"/>
      <c r="SI308" s="9"/>
      <c r="SJ308" s="9"/>
      <c r="SK308" s="9"/>
      <c r="SL308" s="9"/>
      <c r="SM308" s="9"/>
      <c r="SN308" s="9"/>
      <c r="SO308" s="9"/>
      <c r="SP308" s="9"/>
      <c r="SQ308" s="9"/>
      <c r="SR308" s="9"/>
      <c r="SS308" s="9"/>
      <c r="ST308" s="9"/>
      <c r="SU308" s="9"/>
      <c r="SV308" s="9"/>
      <c r="SW308" s="9"/>
      <c r="SX308" s="9"/>
      <c r="SY308" s="9"/>
      <c r="SZ308" s="9"/>
      <c r="TA308" s="9"/>
      <c r="TB308" s="9"/>
      <c r="TC308" s="9"/>
      <c r="TD308" s="9"/>
      <c r="TE308" s="9"/>
      <c r="TF308" s="9"/>
      <c r="TG308" s="9"/>
      <c r="TH308" s="9"/>
      <c r="TI308" s="9"/>
      <c r="TJ308" s="9"/>
      <c r="TK308" s="9"/>
      <c r="TL308" s="9"/>
      <c r="TM308" s="9"/>
      <c r="TN308" s="9"/>
      <c r="TO308" s="9"/>
      <c r="TP308" s="9"/>
      <c r="TQ308" s="9"/>
      <c r="TR308" s="9"/>
      <c r="TS308" s="9"/>
      <c r="TT308" s="9"/>
      <c r="TU308" s="9"/>
      <c r="TV308" s="9"/>
      <c r="TW308" s="9"/>
      <c r="TX308" s="9"/>
      <c r="TY308" s="9"/>
      <c r="TZ308" s="9"/>
      <c r="UA308" s="9"/>
      <c r="UB308" s="9"/>
      <c r="UC308" s="9"/>
      <c r="UD308" s="9"/>
      <c r="UE308" s="9"/>
      <c r="UF308" s="9"/>
      <c r="UG308" s="9"/>
      <c r="UH308" s="9"/>
      <c r="UI308" s="9"/>
      <c r="UJ308" s="9"/>
    </row>
    <row r="309">
      <c r="A309" s="8">
        <f>IFERROR(__xludf.DUMMYFUNCTION("""COMPUTED_VALUE"""),45427.0)</f>
        <v>45427</v>
      </c>
      <c r="B309" s="9">
        <f>IFERROR(__xludf.DUMMYFUNCTION("""COMPUTED_VALUE"""),10.0)</f>
        <v>10</v>
      </c>
      <c r="C309" s="9">
        <f>IFERROR(__xludf.DUMMYFUNCTION("""COMPUTED_VALUE"""),81.0)</f>
        <v>81</v>
      </c>
      <c r="D309" s="9">
        <f>IFERROR(__xludf.DUMMYFUNCTION("""COMPUTED_VALUE"""),8.0)</f>
        <v>8</v>
      </c>
      <c r="E309" s="9">
        <f>IFERROR(__xludf.DUMMYFUNCTION("""COMPUTED_VALUE"""),1470.0)</f>
        <v>1470</v>
      </c>
      <c r="F309" s="9">
        <f>IFERROR(__xludf.DUMMYFUNCTION("""COMPUTED_VALUE"""),147.0)</f>
        <v>147</v>
      </c>
      <c r="G309" s="9">
        <f>IFERROR(__xludf.DUMMYFUNCTION("""COMPUTED_VALUE"""),0.0)</f>
        <v>0</v>
      </c>
      <c r="H309" s="9"/>
      <c r="I309" s="9">
        <f>IFERROR(__xludf.DUMMYFUNCTION("""COMPUTED_VALUE"""),6.0)</f>
        <v>6</v>
      </c>
      <c r="J309" s="9">
        <f>IFERROR(__xludf.DUMMYFUNCTION("""COMPUTED_VALUE"""),2.0)</f>
        <v>2</v>
      </c>
      <c r="K309" s="9">
        <f>IFERROR(__xludf.DUMMYFUNCTION("""COMPUTED_VALUE"""),0.0)</f>
        <v>0</v>
      </c>
      <c r="L309" s="9">
        <f>IFERROR(__xludf.DUMMYFUNCTION("""COMPUTED_VALUE"""),0.0)</f>
        <v>0</v>
      </c>
      <c r="M309" s="9">
        <f>IFERROR(__xludf.DUMMYFUNCTION("""COMPUTED_VALUE"""),8.0)</f>
        <v>8</v>
      </c>
      <c r="N309" s="9">
        <f>IFERROR(__xludf.DUMMYFUNCTION("""COMPUTED_VALUE"""),9.0)</f>
        <v>9</v>
      </c>
      <c r="O309" s="9">
        <f>IFERROR(__xludf.DUMMYFUNCTION("""COMPUTED_VALUE"""),0.0)</f>
        <v>0</v>
      </c>
      <c r="P309" s="9">
        <f>IFERROR(__xludf.DUMMYFUNCTION("""COMPUTED_VALUE"""),1.0)</f>
        <v>1</v>
      </c>
      <c r="Q309" s="9">
        <f>IFERROR(__xludf.DUMMYFUNCTION("""COMPUTED_VALUE"""),3.0)</f>
        <v>3</v>
      </c>
      <c r="R309" s="9">
        <f>IFERROR(__xludf.DUMMYFUNCTION("""COMPUTED_VALUE"""),1.0)</f>
        <v>1</v>
      </c>
      <c r="S309" s="9">
        <f>IFERROR(__xludf.DUMMYFUNCTION("""COMPUTED_VALUE"""),8.0)</f>
        <v>8</v>
      </c>
      <c r="T309" s="9">
        <f>IFERROR(__xludf.DUMMYFUNCTION("""COMPUTED_VALUE"""),1.0)</f>
        <v>1</v>
      </c>
      <c r="U309" s="9">
        <f>IFERROR(__xludf.DUMMYFUNCTION("""COMPUTED_VALUE"""),0.0)</f>
        <v>0</v>
      </c>
      <c r="V309" s="9">
        <f>IFERROR(__xludf.DUMMYFUNCTION("""COMPUTED_VALUE"""),4.0)</f>
        <v>4</v>
      </c>
      <c r="W309" s="9">
        <f>IFERROR(__xludf.DUMMYFUNCTION("""COMPUTED_VALUE"""),0.0)</f>
        <v>0</v>
      </c>
      <c r="X309" s="9">
        <f>IFERROR(__xludf.DUMMYFUNCTION("""COMPUTED_VALUE"""),9.0)</f>
        <v>9</v>
      </c>
      <c r="Y309" s="9">
        <f>IFERROR(__xludf.DUMMYFUNCTION("""COMPUTED_VALUE"""),4.0)</f>
        <v>4</v>
      </c>
      <c r="Z309" s="9">
        <f>IFERROR(__xludf.DUMMYFUNCTION("""COMPUTED_VALUE"""),1.0)</f>
        <v>1</v>
      </c>
      <c r="AA309" s="9">
        <f>IFERROR(__xludf.DUMMYFUNCTION("""COMPUTED_VALUE"""),0.0)</f>
        <v>0</v>
      </c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</row>
    <row r="310">
      <c r="A310" s="8">
        <f>IFERROR(__xludf.DUMMYFUNCTION("""COMPUTED_VALUE"""),45428.0)</f>
        <v>45428</v>
      </c>
      <c r="B310" s="9">
        <f>IFERROR(__xludf.DUMMYFUNCTION("""COMPUTED_VALUE"""),15.0)</f>
        <v>15</v>
      </c>
      <c r="C310" s="9">
        <f>IFERROR(__xludf.DUMMYFUNCTION("""COMPUTED_VALUE"""),118.0)</f>
        <v>118</v>
      </c>
      <c r="D310" s="9">
        <f>IFERROR(__xludf.DUMMYFUNCTION("""COMPUTED_VALUE"""),8.0)</f>
        <v>8</v>
      </c>
      <c r="E310" s="9">
        <f>IFERROR(__xludf.DUMMYFUNCTION("""COMPUTED_VALUE"""),2061.0)</f>
        <v>2061</v>
      </c>
      <c r="F310" s="9">
        <f>IFERROR(__xludf.DUMMYFUNCTION("""COMPUTED_VALUE"""),137.0)</f>
        <v>137</v>
      </c>
      <c r="G310" s="9">
        <f>IFERROR(__xludf.DUMMYFUNCTION("""COMPUTED_VALUE"""),0.0)</f>
        <v>0</v>
      </c>
      <c r="H310" s="9"/>
      <c r="I310" s="9">
        <f>IFERROR(__xludf.DUMMYFUNCTION("""COMPUTED_VALUE"""),10.0)</f>
        <v>10</v>
      </c>
      <c r="J310" s="9">
        <f>IFERROR(__xludf.DUMMYFUNCTION("""COMPUTED_VALUE"""),1.0)</f>
        <v>1</v>
      </c>
      <c r="K310" s="9">
        <f>IFERROR(__xludf.DUMMYFUNCTION("""COMPUTED_VALUE"""),1.0)</f>
        <v>1</v>
      </c>
      <c r="L310" s="9">
        <f>IFERROR(__xludf.DUMMYFUNCTION("""COMPUTED_VALUE"""),0.0)</f>
        <v>0</v>
      </c>
      <c r="M310" s="9">
        <f>IFERROR(__xludf.DUMMYFUNCTION("""COMPUTED_VALUE"""),12.0)</f>
        <v>12</v>
      </c>
      <c r="N310" s="9">
        <f>IFERROR(__xludf.DUMMYFUNCTION("""COMPUTED_VALUE"""),8.0)</f>
        <v>8</v>
      </c>
      <c r="O310" s="9">
        <f>IFERROR(__xludf.DUMMYFUNCTION("""COMPUTED_VALUE"""),0.0)</f>
        <v>0</v>
      </c>
      <c r="P310" s="9">
        <f>IFERROR(__xludf.DUMMYFUNCTION("""COMPUTED_VALUE"""),7.0)</f>
        <v>7</v>
      </c>
      <c r="Q310" s="9">
        <f>IFERROR(__xludf.DUMMYFUNCTION("""COMPUTED_VALUE"""),4.0)</f>
        <v>4</v>
      </c>
      <c r="R310" s="9">
        <f>IFERROR(__xludf.DUMMYFUNCTION("""COMPUTED_VALUE"""),5.0)</f>
        <v>5</v>
      </c>
      <c r="S310" s="9">
        <f>IFERROR(__xludf.DUMMYFUNCTION("""COMPUTED_VALUE"""),5.0)</f>
        <v>5</v>
      </c>
      <c r="T310" s="9">
        <f>IFERROR(__xludf.DUMMYFUNCTION("""COMPUTED_VALUE"""),0.0)</f>
        <v>0</v>
      </c>
      <c r="U310" s="9">
        <f>IFERROR(__xludf.DUMMYFUNCTION("""COMPUTED_VALUE"""),0.0)</f>
        <v>0</v>
      </c>
      <c r="V310" s="9">
        <f>IFERROR(__xludf.DUMMYFUNCTION("""COMPUTED_VALUE"""),9.0)</f>
        <v>9</v>
      </c>
      <c r="W310" s="9">
        <f>IFERROR(__xludf.DUMMYFUNCTION("""COMPUTED_VALUE"""),0.0)</f>
        <v>0</v>
      </c>
      <c r="X310" s="9">
        <f>IFERROR(__xludf.DUMMYFUNCTION("""COMPUTED_VALUE"""),8.0)</f>
        <v>8</v>
      </c>
      <c r="Y310" s="9">
        <f>IFERROR(__xludf.DUMMYFUNCTION("""COMPUTED_VALUE"""),13.0)</f>
        <v>13</v>
      </c>
      <c r="Z310" s="9">
        <f>IFERROR(__xludf.DUMMYFUNCTION("""COMPUTED_VALUE"""),0.0)</f>
        <v>0</v>
      </c>
      <c r="AA310" s="9">
        <f>IFERROR(__xludf.DUMMYFUNCTION("""COMPUTED_VALUE"""),0.0)</f>
        <v>0</v>
      </c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  <c r="TB310" s="9"/>
      <c r="TC310" s="9"/>
      <c r="TD310" s="9"/>
      <c r="TE310" s="9"/>
      <c r="TF310" s="9"/>
      <c r="TG310" s="9"/>
      <c r="TH310" s="9"/>
      <c r="TI310" s="9"/>
      <c r="TJ310" s="9"/>
      <c r="TK310" s="9"/>
      <c r="TL310" s="9"/>
      <c r="TM310" s="9"/>
      <c r="TN310" s="9"/>
      <c r="TO310" s="9"/>
      <c r="TP310" s="9"/>
      <c r="TQ310" s="9"/>
      <c r="TR310" s="9"/>
      <c r="TS310" s="9"/>
      <c r="TT310" s="9"/>
      <c r="TU310" s="9"/>
      <c r="TV310" s="9"/>
      <c r="TW310" s="9"/>
      <c r="TX310" s="9"/>
      <c r="TY310" s="9"/>
      <c r="TZ310" s="9"/>
      <c r="UA310" s="9"/>
      <c r="UB310" s="9"/>
      <c r="UC310" s="9"/>
      <c r="UD310" s="9"/>
      <c r="UE310" s="9"/>
      <c r="UF310" s="9"/>
      <c r="UG310" s="9"/>
      <c r="UH310" s="9"/>
      <c r="UI310" s="9"/>
      <c r="UJ310" s="9"/>
    </row>
    <row r="311">
      <c r="A311" s="8">
        <f>IFERROR(__xludf.DUMMYFUNCTION("""COMPUTED_VALUE"""),45429.0)</f>
        <v>45429</v>
      </c>
      <c r="B311" s="9">
        <f>IFERROR(__xludf.DUMMYFUNCTION("""COMPUTED_VALUE"""),14.0)</f>
        <v>14</v>
      </c>
      <c r="C311" s="9">
        <f>IFERROR(__xludf.DUMMYFUNCTION("""COMPUTED_VALUE"""),102.0)</f>
        <v>102</v>
      </c>
      <c r="D311" s="9">
        <f>IFERROR(__xludf.DUMMYFUNCTION("""COMPUTED_VALUE"""),7.0)</f>
        <v>7</v>
      </c>
      <c r="E311" s="9">
        <f>IFERROR(__xludf.DUMMYFUNCTION("""COMPUTED_VALUE"""),1312.0)</f>
        <v>1312</v>
      </c>
      <c r="F311" s="9">
        <f>IFERROR(__xludf.DUMMYFUNCTION("""COMPUTED_VALUE"""),94.0)</f>
        <v>94</v>
      </c>
      <c r="G311" s="9">
        <f>IFERROR(__xludf.DUMMYFUNCTION("""COMPUTED_VALUE"""),0.0)</f>
        <v>0</v>
      </c>
      <c r="H311" s="9"/>
      <c r="I311" s="9">
        <f>IFERROR(__xludf.DUMMYFUNCTION("""COMPUTED_VALUE"""),5.0)</f>
        <v>5</v>
      </c>
      <c r="J311" s="9">
        <f>IFERROR(__xludf.DUMMYFUNCTION("""COMPUTED_VALUE"""),1.0)</f>
        <v>1</v>
      </c>
      <c r="K311" s="9">
        <f>IFERROR(__xludf.DUMMYFUNCTION("""COMPUTED_VALUE"""),1.0)</f>
        <v>1</v>
      </c>
      <c r="L311" s="9">
        <f>IFERROR(__xludf.DUMMYFUNCTION("""COMPUTED_VALUE"""),1.0)</f>
        <v>1</v>
      </c>
      <c r="M311" s="9">
        <f>IFERROR(__xludf.DUMMYFUNCTION("""COMPUTED_VALUE"""),8.0)</f>
        <v>8</v>
      </c>
      <c r="N311" s="9">
        <f>IFERROR(__xludf.DUMMYFUNCTION("""COMPUTED_VALUE"""),9.0)</f>
        <v>9</v>
      </c>
      <c r="O311" s="9">
        <f>IFERROR(__xludf.DUMMYFUNCTION("""COMPUTED_VALUE"""),0.0)</f>
        <v>0</v>
      </c>
      <c r="P311" s="9">
        <f>IFERROR(__xludf.DUMMYFUNCTION("""COMPUTED_VALUE"""),5.0)</f>
        <v>5</v>
      </c>
      <c r="Q311" s="9">
        <f>IFERROR(__xludf.DUMMYFUNCTION("""COMPUTED_VALUE"""),5.0)</f>
        <v>5</v>
      </c>
      <c r="R311" s="9">
        <f>IFERROR(__xludf.DUMMYFUNCTION("""COMPUTED_VALUE"""),1.0)</f>
        <v>1</v>
      </c>
      <c r="S311" s="9">
        <f>IFERROR(__xludf.DUMMYFUNCTION("""COMPUTED_VALUE"""),6.0)</f>
        <v>6</v>
      </c>
      <c r="T311" s="9">
        <f>IFERROR(__xludf.DUMMYFUNCTION("""COMPUTED_VALUE"""),1.0)</f>
        <v>1</v>
      </c>
      <c r="U311" s="9">
        <f>IFERROR(__xludf.DUMMYFUNCTION("""COMPUTED_VALUE"""),0.0)</f>
        <v>0</v>
      </c>
      <c r="V311" s="9">
        <f>IFERROR(__xludf.DUMMYFUNCTION("""COMPUTED_VALUE"""),6.0)</f>
        <v>6</v>
      </c>
      <c r="W311" s="9">
        <f>IFERROR(__xludf.DUMMYFUNCTION("""COMPUTED_VALUE"""),2.0)</f>
        <v>2</v>
      </c>
      <c r="X311" s="9">
        <f>IFERROR(__xludf.DUMMYFUNCTION("""COMPUTED_VALUE"""),8.0)</f>
        <v>8</v>
      </c>
      <c r="Y311" s="9">
        <f>IFERROR(__xludf.DUMMYFUNCTION("""COMPUTED_VALUE"""),8.0)</f>
        <v>8</v>
      </c>
      <c r="Z311" s="9">
        <f>IFERROR(__xludf.DUMMYFUNCTION("""COMPUTED_VALUE"""),2.0)</f>
        <v>2</v>
      </c>
      <c r="AA311" s="9">
        <f>IFERROR(__xludf.DUMMYFUNCTION("""COMPUTED_VALUE"""),0.0)</f>
        <v>0</v>
      </c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</row>
    <row r="312">
      <c r="A312" s="8">
        <f>IFERROR(__xludf.DUMMYFUNCTION("""COMPUTED_VALUE"""),45430.0)</f>
        <v>45430</v>
      </c>
      <c r="B312" s="9">
        <f>IFERROR(__xludf.DUMMYFUNCTION("""COMPUTED_VALUE"""),6.0)</f>
        <v>6</v>
      </c>
      <c r="C312" s="9">
        <f>IFERROR(__xludf.DUMMYFUNCTION("""COMPUTED_VALUE"""),50.0)</f>
        <v>50</v>
      </c>
      <c r="D312" s="9">
        <f>IFERROR(__xludf.DUMMYFUNCTION("""COMPUTED_VALUE"""),8.0)</f>
        <v>8</v>
      </c>
      <c r="E312" s="9">
        <f>IFERROR(__xludf.DUMMYFUNCTION("""COMPUTED_VALUE"""),772.0)</f>
        <v>772</v>
      </c>
      <c r="F312" s="9">
        <f>IFERROR(__xludf.DUMMYFUNCTION("""COMPUTED_VALUE"""),129.0)</f>
        <v>129</v>
      </c>
      <c r="G312" s="9">
        <f>IFERROR(__xludf.DUMMYFUNCTION("""COMPUTED_VALUE"""),0.0)</f>
        <v>0</v>
      </c>
      <c r="H312" s="9"/>
      <c r="I312" s="9">
        <f>IFERROR(__xludf.DUMMYFUNCTION("""COMPUTED_VALUE"""),6.0)</f>
        <v>6</v>
      </c>
      <c r="J312" s="9">
        <f>IFERROR(__xludf.DUMMYFUNCTION("""COMPUTED_VALUE"""),0.0)</f>
        <v>0</v>
      </c>
      <c r="K312" s="9">
        <f>IFERROR(__xludf.DUMMYFUNCTION("""COMPUTED_VALUE"""),0.0)</f>
        <v>0</v>
      </c>
      <c r="L312" s="9">
        <f>IFERROR(__xludf.DUMMYFUNCTION("""COMPUTED_VALUE"""),0.0)</f>
        <v>0</v>
      </c>
      <c r="M312" s="9">
        <f>IFERROR(__xludf.DUMMYFUNCTION("""COMPUTED_VALUE"""),6.0)</f>
        <v>6</v>
      </c>
      <c r="N312" s="9">
        <f>IFERROR(__xludf.DUMMYFUNCTION("""COMPUTED_VALUE"""),6.0)</f>
        <v>6</v>
      </c>
      <c r="O312" s="9">
        <f>IFERROR(__xludf.DUMMYFUNCTION("""COMPUTED_VALUE"""),0.0)</f>
        <v>0</v>
      </c>
      <c r="P312" s="9">
        <f>IFERROR(__xludf.DUMMYFUNCTION("""COMPUTED_VALUE"""),0.0)</f>
        <v>0</v>
      </c>
      <c r="Q312" s="9">
        <f>IFERROR(__xludf.DUMMYFUNCTION("""COMPUTED_VALUE"""),4.0)</f>
        <v>4</v>
      </c>
      <c r="R312" s="9">
        <f>IFERROR(__xludf.DUMMYFUNCTION("""COMPUTED_VALUE"""),0.0)</f>
        <v>0</v>
      </c>
      <c r="S312" s="9">
        <f>IFERROR(__xludf.DUMMYFUNCTION("""COMPUTED_VALUE"""),1.0)</f>
        <v>1</v>
      </c>
      <c r="T312" s="9">
        <f>IFERROR(__xludf.DUMMYFUNCTION("""COMPUTED_VALUE"""),0.0)</f>
        <v>0</v>
      </c>
      <c r="U312" s="9">
        <f>IFERROR(__xludf.DUMMYFUNCTION("""COMPUTED_VALUE"""),0.0)</f>
        <v>0</v>
      </c>
      <c r="V312" s="9">
        <f>IFERROR(__xludf.DUMMYFUNCTION("""COMPUTED_VALUE"""),4.0)</f>
        <v>4</v>
      </c>
      <c r="W312" s="9">
        <f>IFERROR(__xludf.DUMMYFUNCTION("""COMPUTED_VALUE"""),0.0)</f>
        <v>0</v>
      </c>
      <c r="X312" s="9">
        <f>IFERROR(__xludf.DUMMYFUNCTION("""COMPUTED_VALUE"""),3.0)</f>
        <v>3</v>
      </c>
      <c r="Y312" s="9">
        <f>IFERROR(__xludf.DUMMYFUNCTION("""COMPUTED_VALUE"""),5.0)</f>
        <v>5</v>
      </c>
      <c r="Z312" s="9">
        <f>IFERROR(__xludf.DUMMYFUNCTION("""COMPUTED_VALUE"""),0.0)</f>
        <v>0</v>
      </c>
      <c r="AA312" s="9">
        <f>IFERROR(__xludf.DUMMYFUNCTION("""COMPUTED_VALUE"""),0.0)</f>
        <v>0</v>
      </c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  <c r="TB312" s="9"/>
      <c r="TC312" s="9"/>
      <c r="TD312" s="9"/>
      <c r="TE312" s="9"/>
      <c r="TF312" s="9"/>
      <c r="TG312" s="9"/>
      <c r="TH312" s="9"/>
      <c r="TI312" s="9"/>
      <c r="TJ312" s="9"/>
      <c r="TK312" s="9"/>
      <c r="TL312" s="9"/>
      <c r="TM312" s="9"/>
      <c r="TN312" s="9"/>
      <c r="TO312" s="9"/>
      <c r="TP312" s="9"/>
      <c r="TQ312" s="9"/>
      <c r="TR312" s="9"/>
      <c r="TS312" s="9"/>
      <c r="TT312" s="9"/>
      <c r="TU312" s="9"/>
      <c r="TV312" s="9"/>
      <c r="TW312" s="9"/>
      <c r="TX312" s="9"/>
      <c r="TY312" s="9"/>
      <c r="TZ312" s="9"/>
      <c r="UA312" s="9"/>
      <c r="UB312" s="9"/>
      <c r="UC312" s="9"/>
      <c r="UD312" s="9"/>
      <c r="UE312" s="9"/>
      <c r="UF312" s="9"/>
      <c r="UG312" s="9"/>
      <c r="UH312" s="9"/>
      <c r="UI312" s="9"/>
      <c r="UJ312" s="9"/>
    </row>
    <row r="313">
      <c r="A313" s="8">
        <f>IFERROR(__xludf.DUMMYFUNCTION("""COMPUTED_VALUE"""),45431.0)</f>
        <v>45431</v>
      </c>
      <c r="B313" s="9">
        <f>IFERROR(__xludf.DUMMYFUNCTION("""COMPUTED_VALUE"""),0.0)</f>
        <v>0</v>
      </c>
      <c r="C313" s="9">
        <f>IFERROR(__xludf.DUMMYFUNCTION("""COMPUTED_VALUE"""),0.0)</f>
        <v>0</v>
      </c>
      <c r="D313" s="9">
        <f>IFERROR(__xludf.DUMMYFUNCTION("""COMPUTED_VALUE"""),0.0)</f>
        <v>0</v>
      </c>
      <c r="E313" s="9">
        <f>IFERROR(__xludf.DUMMYFUNCTION("""COMPUTED_VALUE"""),0.0)</f>
        <v>0</v>
      </c>
      <c r="F313" s="9">
        <f>IFERROR(__xludf.DUMMYFUNCTION("""COMPUTED_VALUE"""),0.0)</f>
        <v>0</v>
      </c>
      <c r="G313" s="9">
        <f>IFERROR(__xludf.DUMMYFUNCTION("""COMPUTED_VALUE"""),0.0)</f>
        <v>0</v>
      </c>
      <c r="H313" s="9"/>
      <c r="I313" s="9">
        <f>IFERROR(__xludf.DUMMYFUNCTION("""COMPUTED_VALUE"""),0.0)</f>
        <v>0</v>
      </c>
      <c r="J313" s="9">
        <f>IFERROR(__xludf.DUMMYFUNCTION("""COMPUTED_VALUE"""),0.0)</f>
        <v>0</v>
      </c>
      <c r="K313" s="9">
        <f>IFERROR(__xludf.DUMMYFUNCTION("""COMPUTED_VALUE"""),0.0)</f>
        <v>0</v>
      </c>
      <c r="L313" s="9">
        <f>IFERROR(__xludf.DUMMYFUNCTION("""COMPUTED_VALUE"""),0.0)</f>
        <v>0</v>
      </c>
      <c r="M313" s="9">
        <f>IFERROR(__xludf.DUMMYFUNCTION("""COMPUTED_VALUE"""),0.0)</f>
        <v>0</v>
      </c>
      <c r="N313" s="9">
        <f>IFERROR(__xludf.DUMMYFUNCTION("""COMPUTED_VALUE"""),0.0)</f>
        <v>0</v>
      </c>
      <c r="O313" s="9">
        <f>IFERROR(__xludf.DUMMYFUNCTION("""COMPUTED_VALUE"""),0.0)</f>
        <v>0</v>
      </c>
      <c r="P313" s="9">
        <f>IFERROR(__xludf.DUMMYFUNCTION("""COMPUTED_VALUE"""),0.0)</f>
        <v>0</v>
      </c>
      <c r="Q313" s="9">
        <f>IFERROR(__xludf.DUMMYFUNCTION("""COMPUTED_VALUE"""),0.0)</f>
        <v>0</v>
      </c>
      <c r="R313" s="9">
        <f>IFERROR(__xludf.DUMMYFUNCTION("""COMPUTED_VALUE"""),0.0)</f>
        <v>0</v>
      </c>
      <c r="S313" s="9">
        <f>IFERROR(__xludf.DUMMYFUNCTION("""COMPUTED_VALUE"""),0.0)</f>
        <v>0</v>
      </c>
      <c r="T313" s="9">
        <f>IFERROR(__xludf.DUMMYFUNCTION("""COMPUTED_VALUE"""),0.0)</f>
        <v>0</v>
      </c>
      <c r="U313" s="9">
        <f>IFERROR(__xludf.DUMMYFUNCTION("""COMPUTED_VALUE"""),0.0)</f>
        <v>0</v>
      </c>
      <c r="V313" s="9">
        <f>IFERROR(__xludf.DUMMYFUNCTION("""COMPUTED_VALUE"""),0.0)</f>
        <v>0</v>
      </c>
      <c r="W313" s="9">
        <f>IFERROR(__xludf.DUMMYFUNCTION("""COMPUTED_VALUE"""),0.0)</f>
        <v>0</v>
      </c>
      <c r="X313" s="9">
        <f>IFERROR(__xludf.DUMMYFUNCTION("""COMPUTED_VALUE"""),0.0)</f>
        <v>0</v>
      </c>
      <c r="Y313" s="9">
        <f>IFERROR(__xludf.DUMMYFUNCTION("""COMPUTED_VALUE"""),0.0)</f>
        <v>0</v>
      </c>
      <c r="Z313" s="9">
        <f>IFERROR(__xludf.DUMMYFUNCTION("""COMPUTED_VALUE"""),0.0)</f>
        <v>0</v>
      </c>
      <c r="AA313" s="9">
        <f>IFERROR(__xludf.DUMMYFUNCTION("""COMPUTED_VALUE"""),0.0)</f>
        <v>0</v>
      </c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</row>
    <row r="314">
      <c r="A314" s="8">
        <f>IFERROR(__xludf.DUMMYFUNCTION("""COMPUTED_VALUE"""),45432.0)</f>
        <v>45432</v>
      </c>
      <c r="B314" s="9">
        <f>IFERROR(__xludf.DUMMYFUNCTION("""COMPUTED_VALUE"""),3.0)</f>
        <v>3</v>
      </c>
      <c r="C314" s="9">
        <f>IFERROR(__xludf.DUMMYFUNCTION("""COMPUTED_VALUE"""),30.0)</f>
        <v>30</v>
      </c>
      <c r="D314" s="9">
        <f>IFERROR(__xludf.DUMMYFUNCTION("""COMPUTED_VALUE"""),10.0)</f>
        <v>10</v>
      </c>
      <c r="E314" s="9">
        <f>IFERROR(__xludf.DUMMYFUNCTION("""COMPUTED_VALUE"""),439.0)</f>
        <v>439</v>
      </c>
      <c r="F314" s="9">
        <f>IFERROR(__xludf.DUMMYFUNCTION("""COMPUTED_VALUE"""),146.0)</f>
        <v>146</v>
      </c>
      <c r="G314" s="9">
        <f>IFERROR(__xludf.DUMMYFUNCTION("""COMPUTED_VALUE"""),0.0)</f>
        <v>0</v>
      </c>
      <c r="H314" s="9"/>
      <c r="I314" s="9">
        <f>IFERROR(__xludf.DUMMYFUNCTION("""COMPUTED_VALUE"""),3.0)</f>
        <v>3</v>
      </c>
      <c r="J314" s="9">
        <f>IFERROR(__xludf.DUMMYFUNCTION("""COMPUTED_VALUE"""),0.0)</f>
        <v>0</v>
      </c>
      <c r="K314" s="9">
        <f>IFERROR(__xludf.DUMMYFUNCTION("""COMPUTED_VALUE"""),0.0)</f>
        <v>0</v>
      </c>
      <c r="L314" s="9">
        <f>IFERROR(__xludf.DUMMYFUNCTION("""COMPUTED_VALUE"""),0.0)</f>
        <v>0</v>
      </c>
      <c r="M314" s="9">
        <f>IFERROR(__xludf.DUMMYFUNCTION("""COMPUTED_VALUE"""),3.0)</f>
        <v>3</v>
      </c>
      <c r="N314" s="9">
        <f>IFERROR(__xludf.DUMMYFUNCTION("""COMPUTED_VALUE"""),3.0)</f>
        <v>3</v>
      </c>
      <c r="O314" s="9">
        <f>IFERROR(__xludf.DUMMYFUNCTION("""COMPUTED_VALUE"""),0.0)</f>
        <v>0</v>
      </c>
      <c r="P314" s="9">
        <f>IFERROR(__xludf.DUMMYFUNCTION("""COMPUTED_VALUE"""),0.0)</f>
        <v>0</v>
      </c>
      <c r="Q314" s="9">
        <f>IFERROR(__xludf.DUMMYFUNCTION("""COMPUTED_VALUE"""),2.0)</f>
        <v>2</v>
      </c>
      <c r="R314" s="9">
        <f>IFERROR(__xludf.DUMMYFUNCTION("""COMPUTED_VALUE"""),0.0)</f>
        <v>0</v>
      </c>
      <c r="S314" s="9">
        <f>IFERROR(__xludf.DUMMYFUNCTION("""COMPUTED_VALUE"""),3.0)</f>
        <v>3</v>
      </c>
      <c r="T314" s="9">
        <f>IFERROR(__xludf.DUMMYFUNCTION("""COMPUTED_VALUE"""),0.0)</f>
        <v>0</v>
      </c>
      <c r="U314" s="9">
        <f>IFERROR(__xludf.DUMMYFUNCTION("""COMPUTED_VALUE"""),0.0)</f>
        <v>0</v>
      </c>
      <c r="V314" s="9">
        <f>IFERROR(__xludf.DUMMYFUNCTION("""COMPUTED_VALUE"""),2.0)</f>
        <v>2</v>
      </c>
      <c r="W314" s="9">
        <f>IFERROR(__xludf.DUMMYFUNCTION("""COMPUTED_VALUE"""),0.0)</f>
        <v>0</v>
      </c>
      <c r="X314" s="9">
        <f>IFERROR(__xludf.DUMMYFUNCTION("""COMPUTED_VALUE"""),2.0)</f>
        <v>2</v>
      </c>
      <c r="Y314" s="9">
        <f>IFERROR(__xludf.DUMMYFUNCTION("""COMPUTED_VALUE"""),2.0)</f>
        <v>2</v>
      </c>
      <c r="Z314" s="9">
        <f>IFERROR(__xludf.DUMMYFUNCTION("""COMPUTED_VALUE"""),0.0)</f>
        <v>0</v>
      </c>
      <c r="AA314" s="9">
        <f>IFERROR(__xludf.DUMMYFUNCTION("""COMPUTED_VALUE"""),0.0)</f>
        <v>0</v>
      </c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</row>
    <row r="315">
      <c r="A315" s="8">
        <f>IFERROR(__xludf.DUMMYFUNCTION("""COMPUTED_VALUE"""),45433.0)</f>
        <v>45433</v>
      </c>
      <c r="B315" s="9">
        <f>IFERROR(__xludf.DUMMYFUNCTION("""COMPUTED_VALUE"""),8.0)</f>
        <v>8</v>
      </c>
      <c r="C315" s="9">
        <f>IFERROR(__xludf.DUMMYFUNCTION("""COMPUTED_VALUE"""),58.0)</f>
        <v>58</v>
      </c>
      <c r="D315" s="9">
        <f>IFERROR(__xludf.DUMMYFUNCTION("""COMPUTED_VALUE"""),7.0)</f>
        <v>7</v>
      </c>
      <c r="E315" s="9">
        <f>IFERROR(__xludf.DUMMYFUNCTION("""COMPUTED_VALUE"""),1002.0)</f>
        <v>1002</v>
      </c>
      <c r="F315" s="9">
        <f>IFERROR(__xludf.DUMMYFUNCTION("""COMPUTED_VALUE"""),125.0)</f>
        <v>125</v>
      </c>
      <c r="G315" s="9">
        <f>IFERROR(__xludf.DUMMYFUNCTION("""COMPUTED_VALUE"""),0.0)</f>
        <v>0</v>
      </c>
      <c r="H315" s="9"/>
      <c r="I315" s="9">
        <f>IFERROR(__xludf.DUMMYFUNCTION("""COMPUTED_VALUE"""),4.0)</f>
        <v>4</v>
      </c>
      <c r="J315" s="9">
        <f>IFERROR(__xludf.DUMMYFUNCTION("""COMPUTED_VALUE"""),2.0)</f>
        <v>2</v>
      </c>
      <c r="K315" s="9">
        <f>IFERROR(__xludf.DUMMYFUNCTION("""COMPUTED_VALUE"""),0.0)</f>
        <v>0</v>
      </c>
      <c r="L315" s="9">
        <f>IFERROR(__xludf.DUMMYFUNCTION("""COMPUTED_VALUE"""),0.0)</f>
        <v>0</v>
      </c>
      <c r="M315" s="9">
        <f>IFERROR(__xludf.DUMMYFUNCTION("""COMPUTED_VALUE"""),6.0)</f>
        <v>6</v>
      </c>
      <c r="N315" s="9">
        <f>IFERROR(__xludf.DUMMYFUNCTION("""COMPUTED_VALUE"""),7.0)</f>
        <v>7</v>
      </c>
      <c r="O315" s="9">
        <f>IFERROR(__xludf.DUMMYFUNCTION("""COMPUTED_VALUE"""),0.0)</f>
        <v>0</v>
      </c>
      <c r="P315" s="9">
        <f>IFERROR(__xludf.DUMMYFUNCTION("""COMPUTED_VALUE"""),1.0)</f>
        <v>1</v>
      </c>
      <c r="Q315" s="9">
        <f>IFERROR(__xludf.DUMMYFUNCTION("""COMPUTED_VALUE"""),3.0)</f>
        <v>3</v>
      </c>
      <c r="R315" s="9">
        <f>IFERROR(__xludf.DUMMYFUNCTION("""COMPUTED_VALUE"""),1.0)</f>
        <v>1</v>
      </c>
      <c r="S315" s="9">
        <f>IFERROR(__xludf.DUMMYFUNCTION("""COMPUTED_VALUE"""),3.0)</f>
        <v>3</v>
      </c>
      <c r="T315" s="9">
        <f>IFERROR(__xludf.DUMMYFUNCTION("""COMPUTED_VALUE"""),0.0)</f>
        <v>0</v>
      </c>
      <c r="U315" s="9">
        <f>IFERROR(__xludf.DUMMYFUNCTION("""COMPUTED_VALUE"""),0.0)</f>
        <v>0</v>
      </c>
      <c r="V315" s="9">
        <f>IFERROR(__xludf.DUMMYFUNCTION("""COMPUTED_VALUE"""),4.0)</f>
        <v>4</v>
      </c>
      <c r="W315" s="9">
        <f>IFERROR(__xludf.DUMMYFUNCTION("""COMPUTED_VALUE"""),0.0)</f>
        <v>0</v>
      </c>
      <c r="X315" s="9">
        <f>IFERROR(__xludf.DUMMYFUNCTION("""COMPUTED_VALUE"""),13.0)</f>
        <v>13</v>
      </c>
      <c r="Y315" s="9">
        <f>IFERROR(__xludf.DUMMYFUNCTION("""COMPUTED_VALUE"""),5.0)</f>
        <v>5</v>
      </c>
      <c r="Z315" s="9">
        <f>IFERROR(__xludf.DUMMYFUNCTION("""COMPUTED_VALUE"""),0.0)</f>
        <v>0</v>
      </c>
      <c r="AA315" s="9">
        <f>IFERROR(__xludf.DUMMYFUNCTION("""COMPUTED_VALUE"""),0.0)</f>
        <v>0</v>
      </c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</row>
    <row r="316">
      <c r="A316" s="8">
        <f>IFERROR(__xludf.DUMMYFUNCTION("""COMPUTED_VALUE"""),45434.0)</f>
        <v>45434</v>
      </c>
      <c r="B316" s="9">
        <f>IFERROR(__xludf.DUMMYFUNCTION("""COMPUTED_VALUE"""),21.0)</f>
        <v>21</v>
      </c>
      <c r="C316" s="9">
        <f>IFERROR(__xludf.DUMMYFUNCTION("""COMPUTED_VALUE"""),226.0)</f>
        <v>226</v>
      </c>
      <c r="D316" s="9">
        <f>IFERROR(__xludf.DUMMYFUNCTION("""COMPUTED_VALUE"""),11.0)</f>
        <v>11</v>
      </c>
      <c r="E316" s="9">
        <f>IFERROR(__xludf.DUMMYFUNCTION("""COMPUTED_VALUE"""),4879.0)</f>
        <v>4879</v>
      </c>
      <c r="F316" s="9">
        <f>IFERROR(__xludf.DUMMYFUNCTION("""COMPUTED_VALUE"""),232.0)</f>
        <v>232</v>
      </c>
      <c r="G316" s="9">
        <f>IFERROR(__xludf.DUMMYFUNCTION("""COMPUTED_VALUE"""),0.0)</f>
        <v>0</v>
      </c>
      <c r="H316" s="9"/>
      <c r="I316" s="9">
        <f>IFERROR(__xludf.DUMMYFUNCTION("""COMPUTED_VALUE"""),11.0)</f>
        <v>11</v>
      </c>
      <c r="J316" s="9">
        <f>IFERROR(__xludf.DUMMYFUNCTION("""COMPUTED_VALUE"""),5.0)</f>
        <v>5</v>
      </c>
      <c r="K316" s="9">
        <f>IFERROR(__xludf.DUMMYFUNCTION("""COMPUTED_VALUE"""),0.0)</f>
        <v>0</v>
      </c>
      <c r="L316" s="9">
        <f>IFERROR(__xludf.DUMMYFUNCTION("""COMPUTED_VALUE"""),0.0)</f>
        <v>0</v>
      </c>
      <c r="M316" s="9">
        <f>IFERROR(__xludf.DUMMYFUNCTION("""COMPUTED_VALUE"""),16.0)</f>
        <v>16</v>
      </c>
      <c r="N316" s="9">
        <f>IFERROR(__xludf.DUMMYFUNCTION("""COMPUTED_VALUE"""),19.0)</f>
        <v>19</v>
      </c>
      <c r="O316" s="9">
        <f>IFERROR(__xludf.DUMMYFUNCTION("""COMPUTED_VALUE"""),0.0)</f>
        <v>0</v>
      </c>
      <c r="P316" s="9">
        <f>IFERROR(__xludf.DUMMYFUNCTION("""COMPUTED_VALUE"""),1.0)</f>
        <v>1</v>
      </c>
      <c r="Q316" s="9">
        <f>IFERROR(__xludf.DUMMYFUNCTION("""COMPUTED_VALUE"""),11.0)</f>
        <v>11</v>
      </c>
      <c r="R316" s="9">
        <f>IFERROR(__xludf.DUMMYFUNCTION("""COMPUTED_VALUE"""),1.0)</f>
        <v>1</v>
      </c>
      <c r="S316" s="9">
        <f>IFERROR(__xludf.DUMMYFUNCTION("""COMPUTED_VALUE"""),14.0)</f>
        <v>14</v>
      </c>
      <c r="T316" s="9">
        <f>IFERROR(__xludf.DUMMYFUNCTION("""COMPUTED_VALUE"""),1.0)</f>
        <v>1</v>
      </c>
      <c r="U316" s="9">
        <f>IFERROR(__xludf.DUMMYFUNCTION("""COMPUTED_VALUE"""),0.0)</f>
        <v>0</v>
      </c>
      <c r="V316" s="9">
        <f>IFERROR(__xludf.DUMMYFUNCTION("""COMPUTED_VALUE"""),12.0)</f>
        <v>12</v>
      </c>
      <c r="W316" s="9">
        <f>IFERROR(__xludf.DUMMYFUNCTION("""COMPUTED_VALUE"""),0.0)</f>
        <v>0</v>
      </c>
      <c r="X316" s="9">
        <f>IFERROR(__xludf.DUMMYFUNCTION("""COMPUTED_VALUE"""),8.0)</f>
        <v>8</v>
      </c>
      <c r="Y316" s="9">
        <f>IFERROR(__xludf.DUMMYFUNCTION("""COMPUTED_VALUE"""),14.0)</f>
        <v>14</v>
      </c>
      <c r="Z316" s="9">
        <f>IFERROR(__xludf.DUMMYFUNCTION("""COMPUTED_VALUE"""),1.0)</f>
        <v>1</v>
      </c>
      <c r="AA316" s="9">
        <f>IFERROR(__xludf.DUMMYFUNCTION("""COMPUTED_VALUE"""),0.0)</f>
        <v>0</v>
      </c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</row>
    <row r="317">
      <c r="A317" s="8">
        <f>IFERROR(__xludf.DUMMYFUNCTION("""COMPUTED_VALUE"""),45435.0)</f>
        <v>45435</v>
      </c>
      <c r="B317" s="9">
        <f>IFERROR(__xludf.DUMMYFUNCTION("""COMPUTED_VALUE"""),8.0)</f>
        <v>8</v>
      </c>
      <c r="C317" s="9">
        <f>IFERROR(__xludf.DUMMYFUNCTION("""COMPUTED_VALUE"""),79.0)</f>
        <v>79</v>
      </c>
      <c r="D317" s="9">
        <f>IFERROR(__xludf.DUMMYFUNCTION("""COMPUTED_VALUE"""),10.0)</f>
        <v>10</v>
      </c>
      <c r="E317" s="9">
        <f>IFERROR(__xludf.DUMMYFUNCTION("""COMPUTED_VALUE"""),1105.0)</f>
        <v>1105</v>
      </c>
      <c r="F317" s="9">
        <f>IFERROR(__xludf.DUMMYFUNCTION("""COMPUTED_VALUE"""),138.0)</f>
        <v>138</v>
      </c>
      <c r="G317" s="9">
        <f>IFERROR(__xludf.DUMMYFUNCTION("""COMPUTED_VALUE"""),0.0)</f>
        <v>0</v>
      </c>
      <c r="H317" s="9"/>
      <c r="I317" s="9">
        <f>IFERROR(__xludf.DUMMYFUNCTION("""COMPUTED_VALUE"""),8.0)</f>
        <v>8</v>
      </c>
      <c r="J317" s="9">
        <f>IFERROR(__xludf.DUMMYFUNCTION("""COMPUTED_VALUE"""),0.0)</f>
        <v>0</v>
      </c>
      <c r="K317" s="9">
        <f>IFERROR(__xludf.DUMMYFUNCTION("""COMPUTED_VALUE"""),0.0)</f>
        <v>0</v>
      </c>
      <c r="L317" s="9">
        <f>IFERROR(__xludf.DUMMYFUNCTION("""COMPUTED_VALUE"""),0.0)</f>
        <v>0</v>
      </c>
      <c r="M317" s="9">
        <f>IFERROR(__xludf.DUMMYFUNCTION("""COMPUTED_VALUE"""),8.0)</f>
        <v>8</v>
      </c>
      <c r="N317" s="9">
        <f>IFERROR(__xludf.DUMMYFUNCTION("""COMPUTED_VALUE"""),5.0)</f>
        <v>5</v>
      </c>
      <c r="O317" s="9">
        <f>IFERROR(__xludf.DUMMYFUNCTION("""COMPUTED_VALUE"""),0.0)</f>
        <v>0</v>
      </c>
      <c r="P317" s="9">
        <f>IFERROR(__xludf.DUMMYFUNCTION("""COMPUTED_VALUE"""),3.0)</f>
        <v>3</v>
      </c>
      <c r="Q317" s="9">
        <f>IFERROR(__xludf.DUMMYFUNCTION("""COMPUTED_VALUE"""),5.0)</f>
        <v>5</v>
      </c>
      <c r="R317" s="9">
        <f>IFERROR(__xludf.DUMMYFUNCTION("""COMPUTED_VALUE"""),2.0)</f>
        <v>2</v>
      </c>
      <c r="S317" s="9">
        <f>IFERROR(__xludf.DUMMYFUNCTION("""COMPUTED_VALUE"""),0.0)</f>
        <v>0</v>
      </c>
      <c r="T317" s="9">
        <f>IFERROR(__xludf.DUMMYFUNCTION("""COMPUTED_VALUE"""),2.0)</f>
        <v>2</v>
      </c>
      <c r="U317" s="9">
        <f>IFERROR(__xludf.DUMMYFUNCTION("""COMPUTED_VALUE"""),0.0)</f>
        <v>0</v>
      </c>
      <c r="V317" s="9">
        <f>IFERROR(__xludf.DUMMYFUNCTION("""COMPUTED_VALUE"""),7.0)</f>
        <v>7</v>
      </c>
      <c r="W317" s="9">
        <f>IFERROR(__xludf.DUMMYFUNCTION("""COMPUTED_VALUE"""),1.0)</f>
        <v>1</v>
      </c>
      <c r="X317" s="9">
        <f>IFERROR(__xludf.DUMMYFUNCTION("""COMPUTED_VALUE"""),4.0)</f>
        <v>4</v>
      </c>
      <c r="Y317" s="9">
        <f>IFERROR(__xludf.DUMMYFUNCTION("""COMPUTED_VALUE"""),7.0)</f>
        <v>7</v>
      </c>
      <c r="Z317" s="9">
        <f>IFERROR(__xludf.DUMMYFUNCTION("""COMPUTED_VALUE"""),3.0)</f>
        <v>3</v>
      </c>
      <c r="AA317" s="9">
        <f>IFERROR(__xludf.DUMMYFUNCTION("""COMPUTED_VALUE"""),0.0)</f>
        <v>0</v>
      </c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</row>
    <row r="318">
      <c r="A318" s="8">
        <f>IFERROR(__xludf.DUMMYFUNCTION("""COMPUTED_VALUE"""),45436.0)</f>
        <v>45436</v>
      </c>
      <c r="B318" s="9">
        <f>IFERROR(__xludf.DUMMYFUNCTION("""COMPUTED_VALUE"""),15.0)</f>
        <v>15</v>
      </c>
      <c r="C318" s="9">
        <f>IFERROR(__xludf.DUMMYFUNCTION("""COMPUTED_VALUE"""),129.0)</f>
        <v>129</v>
      </c>
      <c r="D318" s="9">
        <f>IFERROR(__xludf.DUMMYFUNCTION("""COMPUTED_VALUE"""),9.0)</f>
        <v>9</v>
      </c>
      <c r="E318" s="9">
        <f>IFERROR(__xludf.DUMMYFUNCTION("""COMPUTED_VALUE"""),2557.0)</f>
        <v>2557</v>
      </c>
      <c r="F318" s="9">
        <f>IFERROR(__xludf.DUMMYFUNCTION("""COMPUTED_VALUE"""),170.0)</f>
        <v>170</v>
      </c>
      <c r="G318" s="9">
        <f>IFERROR(__xludf.DUMMYFUNCTION("""COMPUTED_VALUE"""),0.0)</f>
        <v>0</v>
      </c>
      <c r="H318" s="9"/>
      <c r="I318" s="9">
        <f>IFERROR(__xludf.DUMMYFUNCTION("""COMPUTED_VALUE"""),8.0)</f>
        <v>8</v>
      </c>
      <c r="J318" s="9">
        <f>IFERROR(__xludf.DUMMYFUNCTION("""COMPUTED_VALUE"""),2.0)</f>
        <v>2</v>
      </c>
      <c r="K318" s="9">
        <f>IFERROR(__xludf.DUMMYFUNCTION("""COMPUTED_VALUE"""),1.0)</f>
        <v>1</v>
      </c>
      <c r="L318" s="9">
        <f>IFERROR(__xludf.DUMMYFUNCTION("""COMPUTED_VALUE"""),0.0)</f>
        <v>0</v>
      </c>
      <c r="M318" s="9">
        <f>IFERROR(__xludf.DUMMYFUNCTION("""COMPUTED_VALUE"""),11.0)</f>
        <v>11</v>
      </c>
      <c r="N318" s="9">
        <f>IFERROR(__xludf.DUMMYFUNCTION("""COMPUTED_VALUE"""),14.0)</f>
        <v>14</v>
      </c>
      <c r="O318" s="9">
        <f>IFERROR(__xludf.DUMMYFUNCTION("""COMPUTED_VALUE"""),0.0)</f>
        <v>0</v>
      </c>
      <c r="P318" s="9">
        <f>IFERROR(__xludf.DUMMYFUNCTION("""COMPUTED_VALUE"""),1.0)</f>
        <v>1</v>
      </c>
      <c r="Q318" s="9">
        <f>IFERROR(__xludf.DUMMYFUNCTION("""COMPUTED_VALUE"""),7.0)</f>
        <v>7</v>
      </c>
      <c r="R318" s="9">
        <f>IFERROR(__xludf.DUMMYFUNCTION("""COMPUTED_VALUE"""),1.0)</f>
        <v>1</v>
      </c>
      <c r="S318" s="9">
        <f>IFERROR(__xludf.DUMMYFUNCTION("""COMPUTED_VALUE"""),5.0)</f>
        <v>5</v>
      </c>
      <c r="T318" s="9">
        <f>IFERROR(__xludf.DUMMYFUNCTION("""COMPUTED_VALUE"""),0.0)</f>
        <v>0</v>
      </c>
      <c r="U318" s="9">
        <f>IFERROR(__xludf.DUMMYFUNCTION("""COMPUTED_VALUE"""),0.0)</f>
        <v>0</v>
      </c>
      <c r="V318" s="9">
        <f>IFERROR(__xludf.DUMMYFUNCTION("""COMPUTED_VALUE"""),8.0)</f>
        <v>8</v>
      </c>
      <c r="W318" s="9">
        <f>IFERROR(__xludf.DUMMYFUNCTION("""COMPUTED_VALUE"""),0.0)</f>
        <v>0</v>
      </c>
      <c r="X318" s="9">
        <f>IFERROR(__xludf.DUMMYFUNCTION("""COMPUTED_VALUE"""),9.0)</f>
        <v>9</v>
      </c>
      <c r="Y318" s="9">
        <f>IFERROR(__xludf.DUMMYFUNCTION("""COMPUTED_VALUE"""),8.0)</f>
        <v>8</v>
      </c>
      <c r="Z318" s="9">
        <f>IFERROR(__xludf.DUMMYFUNCTION("""COMPUTED_VALUE"""),0.0)</f>
        <v>0</v>
      </c>
      <c r="AA318" s="9">
        <f>IFERROR(__xludf.DUMMYFUNCTION("""COMPUTED_VALUE"""),0.0)</f>
        <v>0</v>
      </c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  <c r="TB318" s="9"/>
      <c r="TC318" s="9"/>
      <c r="TD318" s="9"/>
      <c r="TE318" s="9"/>
      <c r="TF318" s="9"/>
      <c r="TG318" s="9"/>
      <c r="TH318" s="9"/>
      <c r="TI318" s="9"/>
      <c r="TJ318" s="9"/>
      <c r="TK318" s="9"/>
      <c r="TL318" s="9"/>
      <c r="TM318" s="9"/>
      <c r="TN318" s="9"/>
      <c r="TO318" s="9"/>
      <c r="TP318" s="9"/>
      <c r="TQ318" s="9"/>
      <c r="TR318" s="9"/>
      <c r="TS318" s="9"/>
      <c r="TT318" s="9"/>
      <c r="TU318" s="9"/>
      <c r="TV318" s="9"/>
      <c r="TW318" s="9"/>
      <c r="TX318" s="9"/>
      <c r="TY318" s="9"/>
      <c r="TZ318" s="9"/>
      <c r="UA318" s="9"/>
      <c r="UB318" s="9"/>
      <c r="UC318" s="9"/>
      <c r="UD318" s="9"/>
      <c r="UE318" s="9"/>
      <c r="UF318" s="9"/>
      <c r="UG318" s="9"/>
      <c r="UH318" s="9"/>
      <c r="UI318" s="9"/>
      <c r="UJ318" s="9"/>
    </row>
    <row r="319">
      <c r="A319" s="8">
        <f>IFERROR(__xludf.DUMMYFUNCTION("""COMPUTED_VALUE"""),45437.0)</f>
        <v>45437</v>
      </c>
      <c r="B319" s="9">
        <f>IFERROR(__xludf.DUMMYFUNCTION("""COMPUTED_VALUE"""),12.0)</f>
        <v>12</v>
      </c>
      <c r="C319" s="9">
        <f>IFERROR(__xludf.DUMMYFUNCTION("""COMPUTED_VALUE"""),133.0)</f>
        <v>133</v>
      </c>
      <c r="D319" s="9">
        <f>IFERROR(__xludf.DUMMYFUNCTION("""COMPUTED_VALUE"""),11.0)</f>
        <v>11</v>
      </c>
      <c r="E319" s="9">
        <f>IFERROR(__xludf.DUMMYFUNCTION("""COMPUTED_VALUE"""),1851.0)</f>
        <v>1851</v>
      </c>
      <c r="F319" s="9">
        <f>IFERROR(__xludf.DUMMYFUNCTION("""COMPUTED_VALUE"""),154.0)</f>
        <v>154</v>
      </c>
      <c r="G319" s="9">
        <f>IFERROR(__xludf.DUMMYFUNCTION("""COMPUTED_VALUE"""),0.0)</f>
        <v>0</v>
      </c>
      <c r="H319" s="9"/>
      <c r="I319" s="9">
        <f>IFERROR(__xludf.DUMMYFUNCTION("""COMPUTED_VALUE"""),7.0)</f>
        <v>7</v>
      </c>
      <c r="J319" s="9">
        <f>IFERROR(__xludf.DUMMYFUNCTION("""COMPUTED_VALUE"""),1.0)</f>
        <v>1</v>
      </c>
      <c r="K319" s="9">
        <f>IFERROR(__xludf.DUMMYFUNCTION("""COMPUTED_VALUE"""),1.0)</f>
        <v>1</v>
      </c>
      <c r="L319" s="9">
        <f>IFERROR(__xludf.DUMMYFUNCTION("""COMPUTED_VALUE"""),0.0)</f>
        <v>0</v>
      </c>
      <c r="M319" s="9">
        <f>IFERROR(__xludf.DUMMYFUNCTION("""COMPUTED_VALUE"""),9.0)</f>
        <v>9</v>
      </c>
      <c r="N319" s="9">
        <f>IFERROR(__xludf.DUMMYFUNCTION("""COMPUTED_VALUE"""),8.0)</f>
        <v>8</v>
      </c>
      <c r="O319" s="9">
        <f>IFERROR(__xludf.DUMMYFUNCTION("""COMPUTED_VALUE"""),0.0)</f>
        <v>0</v>
      </c>
      <c r="P319" s="9">
        <f>IFERROR(__xludf.DUMMYFUNCTION("""COMPUTED_VALUE"""),3.0)</f>
        <v>3</v>
      </c>
      <c r="Q319" s="9">
        <f>IFERROR(__xludf.DUMMYFUNCTION("""COMPUTED_VALUE"""),4.0)</f>
        <v>4</v>
      </c>
      <c r="R319" s="9">
        <f>IFERROR(__xludf.DUMMYFUNCTION("""COMPUTED_VALUE"""),3.0)</f>
        <v>3</v>
      </c>
      <c r="S319" s="9">
        <f>IFERROR(__xludf.DUMMYFUNCTION("""COMPUTED_VALUE"""),0.0)</f>
        <v>0</v>
      </c>
      <c r="T319" s="9">
        <f>IFERROR(__xludf.DUMMYFUNCTION("""COMPUTED_VALUE"""),4.0)</f>
        <v>4</v>
      </c>
      <c r="U319" s="9">
        <f>IFERROR(__xludf.DUMMYFUNCTION("""COMPUTED_VALUE"""),0.0)</f>
        <v>0</v>
      </c>
      <c r="V319" s="9">
        <f>IFERROR(__xludf.DUMMYFUNCTION("""COMPUTED_VALUE"""),7.0)</f>
        <v>7</v>
      </c>
      <c r="W319" s="9">
        <f>IFERROR(__xludf.DUMMYFUNCTION("""COMPUTED_VALUE"""),1.0)</f>
        <v>1</v>
      </c>
      <c r="X319" s="9">
        <f>IFERROR(__xludf.DUMMYFUNCTION("""COMPUTED_VALUE"""),2.0)</f>
        <v>2</v>
      </c>
      <c r="Y319" s="9">
        <f>IFERROR(__xludf.DUMMYFUNCTION("""COMPUTED_VALUE"""),8.0)</f>
        <v>8</v>
      </c>
      <c r="Z319" s="9">
        <f>IFERROR(__xludf.DUMMYFUNCTION("""COMPUTED_VALUE"""),4.0)</f>
        <v>4</v>
      </c>
      <c r="AA319" s="9">
        <f>IFERROR(__xludf.DUMMYFUNCTION("""COMPUTED_VALUE"""),0.0)</f>
        <v>0</v>
      </c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</row>
    <row r="320">
      <c r="A320" s="8">
        <f>IFERROR(__xludf.DUMMYFUNCTION("""COMPUTED_VALUE"""),45438.0)</f>
        <v>45438</v>
      </c>
      <c r="B320" s="9">
        <f>IFERROR(__xludf.DUMMYFUNCTION("""COMPUTED_VALUE"""),0.0)</f>
        <v>0</v>
      </c>
      <c r="C320" s="9">
        <f>IFERROR(__xludf.DUMMYFUNCTION("""COMPUTED_VALUE"""),0.0)</f>
        <v>0</v>
      </c>
      <c r="D320" s="9">
        <f>IFERROR(__xludf.DUMMYFUNCTION("""COMPUTED_VALUE"""),0.0)</f>
        <v>0</v>
      </c>
      <c r="E320" s="9">
        <f>IFERROR(__xludf.DUMMYFUNCTION("""COMPUTED_VALUE"""),0.0)</f>
        <v>0</v>
      </c>
      <c r="F320" s="9">
        <f>IFERROR(__xludf.DUMMYFUNCTION("""COMPUTED_VALUE"""),0.0)</f>
        <v>0</v>
      </c>
      <c r="G320" s="9">
        <f>IFERROR(__xludf.DUMMYFUNCTION("""COMPUTED_VALUE"""),0.0)</f>
        <v>0</v>
      </c>
      <c r="H320" s="9"/>
      <c r="I320" s="9">
        <f>IFERROR(__xludf.DUMMYFUNCTION("""COMPUTED_VALUE"""),0.0)</f>
        <v>0</v>
      </c>
      <c r="J320" s="9">
        <f>IFERROR(__xludf.DUMMYFUNCTION("""COMPUTED_VALUE"""),0.0)</f>
        <v>0</v>
      </c>
      <c r="K320" s="9">
        <f>IFERROR(__xludf.DUMMYFUNCTION("""COMPUTED_VALUE"""),0.0)</f>
        <v>0</v>
      </c>
      <c r="L320" s="9">
        <f>IFERROR(__xludf.DUMMYFUNCTION("""COMPUTED_VALUE"""),0.0)</f>
        <v>0</v>
      </c>
      <c r="M320" s="9">
        <f>IFERROR(__xludf.DUMMYFUNCTION("""COMPUTED_VALUE"""),0.0)</f>
        <v>0</v>
      </c>
      <c r="N320" s="9">
        <f>IFERROR(__xludf.DUMMYFUNCTION("""COMPUTED_VALUE"""),0.0)</f>
        <v>0</v>
      </c>
      <c r="O320" s="9">
        <f>IFERROR(__xludf.DUMMYFUNCTION("""COMPUTED_VALUE"""),0.0)</f>
        <v>0</v>
      </c>
      <c r="P320" s="9">
        <f>IFERROR(__xludf.DUMMYFUNCTION("""COMPUTED_VALUE"""),0.0)</f>
        <v>0</v>
      </c>
      <c r="Q320" s="9">
        <f>IFERROR(__xludf.DUMMYFUNCTION("""COMPUTED_VALUE"""),0.0)</f>
        <v>0</v>
      </c>
      <c r="R320" s="9">
        <f>IFERROR(__xludf.DUMMYFUNCTION("""COMPUTED_VALUE"""),0.0)</f>
        <v>0</v>
      </c>
      <c r="S320" s="9">
        <f>IFERROR(__xludf.DUMMYFUNCTION("""COMPUTED_VALUE"""),0.0)</f>
        <v>0</v>
      </c>
      <c r="T320" s="9">
        <f>IFERROR(__xludf.DUMMYFUNCTION("""COMPUTED_VALUE"""),0.0)</f>
        <v>0</v>
      </c>
      <c r="U320" s="9">
        <f>IFERROR(__xludf.DUMMYFUNCTION("""COMPUTED_VALUE"""),0.0)</f>
        <v>0</v>
      </c>
      <c r="V320" s="9">
        <f>IFERROR(__xludf.DUMMYFUNCTION("""COMPUTED_VALUE"""),0.0)</f>
        <v>0</v>
      </c>
      <c r="W320" s="9">
        <f>IFERROR(__xludf.DUMMYFUNCTION("""COMPUTED_VALUE"""),0.0)</f>
        <v>0</v>
      </c>
      <c r="X320" s="9">
        <f>IFERROR(__xludf.DUMMYFUNCTION("""COMPUTED_VALUE"""),0.0)</f>
        <v>0</v>
      </c>
      <c r="Y320" s="9">
        <f>IFERROR(__xludf.DUMMYFUNCTION("""COMPUTED_VALUE"""),0.0)</f>
        <v>0</v>
      </c>
      <c r="Z320" s="9">
        <f>IFERROR(__xludf.DUMMYFUNCTION("""COMPUTED_VALUE"""),0.0)</f>
        <v>0</v>
      </c>
      <c r="AA320" s="9">
        <f>IFERROR(__xludf.DUMMYFUNCTION("""COMPUTED_VALUE"""),0.0)</f>
        <v>0</v>
      </c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</row>
    <row r="321">
      <c r="A321" s="8">
        <f>IFERROR(__xludf.DUMMYFUNCTION("""COMPUTED_VALUE"""),45439.0)</f>
        <v>45439</v>
      </c>
      <c r="B321" s="9">
        <f>IFERROR(__xludf.DUMMYFUNCTION("""COMPUTED_VALUE"""),12.0)</f>
        <v>12</v>
      </c>
      <c r="C321" s="9">
        <f>IFERROR(__xludf.DUMMYFUNCTION("""COMPUTED_VALUE"""),210.0)</f>
        <v>210</v>
      </c>
      <c r="D321" s="9">
        <f>IFERROR(__xludf.DUMMYFUNCTION("""COMPUTED_VALUE"""),18.0)</f>
        <v>18</v>
      </c>
      <c r="E321" s="9">
        <f>IFERROR(__xludf.DUMMYFUNCTION("""COMPUTED_VALUE"""),3865.0)</f>
        <v>3865</v>
      </c>
      <c r="F321" s="9">
        <f>IFERROR(__xludf.DUMMYFUNCTION("""COMPUTED_VALUE"""),322.0)</f>
        <v>322</v>
      </c>
      <c r="G321" s="9">
        <f>IFERROR(__xludf.DUMMYFUNCTION("""COMPUTED_VALUE"""),0.0)</f>
        <v>0</v>
      </c>
      <c r="H321" s="9"/>
      <c r="I321" s="9">
        <f>IFERROR(__xludf.DUMMYFUNCTION("""COMPUTED_VALUE"""),3.0)</f>
        <v>3</v>
      </c>
      <c r="J321" s="9">
        <f>IFERROR(__xludf.DUMMYFUNCTION("""COMPUTED_VALUE"""),0.0)</f>
        <v>0</v>
      </c>
      <c r="K321" s="9">
        <f>IFERROR(__xludf.DUMMYFUNCTION("""COMPUTED_VALUE"""),0.0)</f>
        <v>0</v>
      </c>
      <c r="L321" s="9">
        <f>IFERROR(__xludf.DUMMYFUNCTION("""COMPUTED_VALUE"""),0.0)</f>
        <v>0</v>
      </c>
      <c r="M321" s="9">
        <f>IFERROR(__xludf.DUMMYFUNCTION("""COMPUTED_VALUE"""),3.0)</f>
        <v>3</v>
      </c>
      <c r="N321" s="9">
        <f>IFERROR(__xludf.DUMMYFUNCTION("""COMPUTED_VALUE"""),12.0)</f>
        <v>12</v>
      </c>
      <c r="O321" s="9">
        <f>IFERROR(__xludf.DUMMYFUNCTION("""COMPUTED_VALUE"""),0.0)</f>
        <v>0</v>
      </c>
      <c r="P321" s="9">
        <f>IFERROR(__xludf.DUMMYFUNCTION("""COMPUTED_VALUE"""),0.0)</f>
        <v>0</v>
      </c>
      <c r="Q321" s="9">
        <f>IFERROR(__xludf.DUMMYFUNCTION("""COMPUTED_VALUE"""),9.0)</f>
        <v>9</v>
      </c>
      <c r="R321" s="9">
        <f>IFERROR(__xludf.DUMMYFUNCTION("""COMPUTED_VALUE"""),0.0)</f>
        <v>0</v>
      </c>
      <c r="S321" s="9">
        <f>IFERROR(__xludf.DUMMYFUNCTION("""COMPUTED_VALUE"""),1.0)</f>
        <v>1</v>
      </c>
      <c r="T321" s="9">
        <f>IFERROR(__xludf.DUMMYFUNCTION("""COMPUTED_VALUE"""),1.0)</f>
        <v>1</v>
      </c>
      <c r="U321" s="9">
        <f>IFERROR(__xludf.DUMMYFUNCTION("""COMPUTED_VALUE"""),0.0)</f>
        <v>0</v>
      </c>
      <c r="V321" s="9">
        <f>IFERROR(__xludf.DUMMYFUNCTION("""COMPUTED_VALUE"""),9.0)</f>
        <v>9</v>
      </c>
      <c r="W321" s="9">
        <f>IFERROR(__xludf.DUMMYFUNCTION("""COMPUTED_VALUE"""),0.0)</f>
        <v>0</v>
      </c>
      <c r="X321" s="9">
        <f>IFERROR(__xludf.DUMMYFUNCTION("""COMPUTED_VALUE"""),2.0)</f>
        <v>2</v>
      </c>
      <c r="Y321" s="9">
        <f>IFERROR(__xludf.DUMMYFUNCTION("""COMPUTED_VALUE"""),9.0)</f>
        <v>9</v>
      </c>
      <c r="Z321" s="9">
        <f>IFERROR(__xludf.DUMMYFUNCTION("""COMPUTED_VALUE"""),1.0)</f>
        <v>1</v>
      </c>
      <c r="AA321" s="9">
        <f>IFERROR(__xludf.DUMMYFUNCTION("""COMPUTED_VALUE"""),0.0)</f>
        <v>0</v>
      </c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</row>
    <row r="322">
      <c r="A322" s="8">
        <f>IFERROR(__xludf.DUMMYFUNCTION("""COMPUTED_VALUE"""),45440.0)</f>
        <v>45440</v>
      </c>
      <c r="B322" s="9">
        <f>IFERROR(__xludf.DUMMYFUNCTION("""COMPUTED_VALUE"""),8.0)</f>
        <v>8</v>
      </c>
      <c r="C322" s="9">
        <f>IFERROR(__xludf.DUMMYFUNCTION("""COMPUTED_VALUE"""),53.0)</f>
        <v>53</v>
      </c>
      <c r="D322" s="9">
        <f>IFERROR(__xludf.DUMMYFUNCTION("""COMPUTED_VALUE"""),7.0)</f>
        <v>7</v>
      </c>
      <c r="E322" s="9">
        <f>IFERROR(__xludf.DUMMYFUNCTION("""COMPUTED_VALUE"""),1170.0)</f>
        <v>1170</v>
      </c>
      <c r="F322" s="9">
        <f>IFERROR(__xludf.DUMMYFUNCTION("""COMPUTED_VALUE"""),146.0)</f>
        <v>146</v>
      </c>
      <c r="G322" s="9">
        <f>IFERROR(__xludf.DUMMYFUNCTION("""COMPUTED_VALUE"""),0.0)</f>
        <v>0</v>
      </c>
      <c r="H322" s="9"/>
      <c r="I322" s="9">
        <f>IFERROR(__xludf.DUMMYFUNCTION("""COMPUTED_VALUE"""),7.0)</f>
        <v>7</v>
      </c>
      <c r="J322" s="9">
        <f>IFERROR(__xludf.DUMMYFUNCTION("""COMPUTED_VALUE"""),2.0)</f>
        <v>2</v>
      </c>
      <c r="K322" s="9">
        <f>IFERROR(__xludf.DUMMYFUNCTION("""COMPUTED_VALUE"""),2.0)</f>
        <v>2</v>
      </c>
      <c r="L322" s="9">
        <f>IFERROR(__xludf.DUMMYFUNCTION("""COMPUTED_VALUE"""),0.0)</f>
        <v>0</v>
      </c>
      <c r="M322" s="9">
        <f>IFERROR(__xludf.DUMMYFUNCTION("""COMPUTED_VALUE"""),11.0)</f>
        <v>11</v>
      </c>
      <c r="N322" s="9">
        <f>IFERROR(__xludf.DUMMYFUNCTION("""COMPUTED_VALUE"""),8.0)</f>
        <v>8</v>
      </c>
      <c r="O322" s="9">
        <f>IFERROR(__xludf.DUMMYFUNCTION("""COMPUTED_VALUE"""),0.0)</f>
        <v>0</v>
      </c>
      <c r="P322" s="9">
        <f>IFERROR(__xludf.DUMMYFUNCTION("""COMPUTED_VALUE"""),0.0)</f>
        <v>0</v>
      </c>
      <c r="Q322" s="9">
        <f>IFERROR(__xludf.DUMMYFUNCTION("""COMPUTED_VALUE"""),5.0)</f>
        <v>5</v>
      </c>
      <c r="R322" s="9">
        <f>IFERROR(__xludf.DUMMYFUNCTION("""COMPUTED_VALUE"""),0.0)</f>
        <v>0</v>
      </c>
      <c r="S322" s="9">
        <f>IFERROR(__xludf.DUMMYFUNCTION("""COMPUTED_VALUE"""),4.0)</f>
        <v>4</v>
      </c>
      <c r="T322" s="9">
        <f>IFERROR(__xludf.DUMMYFUNCTION("""COMPUTED_VALUE"""),2.0)</f>
        <v>2</v>
      </c>
      <c r="U322" s="9">
        <f>IFERROR(__xludf.DUMMYFUNCTION("""COMPUTED_VALUE"""),0.0)</f>
        <v>0</v>
      </c>
      <c r="V322" s="9">
        <f>IFERROR(__xludf.DUMMYFUNCTION("""COMPUTED_VALUE"""),5.0)</f>
        <v>5</v>
      </c>
      <c r="W322" s="9">
        <f>IFERROR(__xludf.DUMMYFUNCTION("""COMPUTED_VALUE"""),0.0)</f>
        <v>0</v>
      </c>
      <c r="X322" s="9">
        <f>IFERROR(__xludf.DUMMYFUNCTION("""COMPUTED_VALUE"""),4.0)</f>
        <v>4</v>
      </c>
      <c r="Y322" s="9">
        <f>IFERROR(__xludf.DUMMYFUNCTION("""COMPUTED_VALUE"""),6.0)</f>
        <v>6</v>
      </c>
      <c r="Z322" s="9">
        <f>IFERROR(__xludf.DUMMYFUNCTION("""COMPUTED_VALUE"""),2.0)</f>
        <v>2</v>
      </c>
      <c r="AA322" s="9">
        <f>IFERROR(__xludf.DUMMYFUNCTION("""COMPUTED_VALUE"""),0.0)</f>
        <v>0</v>
      </c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  <c r="TB322" s="9"/>
      <c r="TC322" s="9"/>
      <c r="TD322" s="9"/>
      <c r="TE322" s="9"/>
      <c r="TF322" s="9"/>
      <c r="TG322" s="9"/>
      <c r="TH322" s="9"/>
      <c r="TI322" s="9"/>
      <c r="TJ322" s="9"/>
      <c r="TK322" s="9"/>
      <c r="TL322" s="9"/>
      <c r="TM322" s="9"/>
      <c r="TN322" s="9"/>
      <c r="TO322" s="9"/>
      <c r="TP322" s="9"/>
      <c r="TQ322" s="9"/>
      <c r="TR322" s="9"/>
      <c r="TS322" s="9"/>
      <c r="TT322" s="9"/>
      <c r="TU322" s="9"/>
      <c r="TV322" s="9"/>
      <c r="TW322" s="9"/>
      <c r="TX322" s="9"/>
      <c r="TY322" s="9"/>
      <c r="TZ322" s="9"/>
      <c r="UA322" s="9"/>
      <c r="UB322" s="9"/>
      <c r="UC322" s="9"/>
      <c r="UD322" s="9"/>
      <c r="UE322" s="9"/>
      <c r="UF322" s="9"/>
      <c r="UG322" s="9"/>
      <c r="UH322" s="9"/>
      <c r="UI322" s="9"/>
      <c r="UJ322" s="9"/>
    </row>
    <row r="323">
      <c r="A323" s="8">
        <f>IFERROR(__xludf.DUMMYFUNCTION("""COMPUTED_VALUE"""),45441.0)</f>
        <v>45441</v>
      </c>
      <c r="B323" s="9">
        <f>IFERROR(__xludf.DUMMYFUNCTION("""COMPUTED_VALUE"""),10.0)</f>
        <v>10</v>
      </c>
      <c r="C323" s="9">
        <f>IFERROR(__xludf.DUMMYFUNCTION("""COMPUTED_VALUE"""),39.0)</f>
        <v>39</v>
      </c>
      <c r="D323" s="9">
        <f>IFERROR(__xludf.DUMMYFUNCTION("""COMPUTED_VALUE"""),4.0)</f>
        <v>4</v>
      </c>
      <c r="E323" s="9">
        <f>IFERROR(__xludf.DUMMYFUNCTION("""COMPUTED_VALUE"""),700.0)</f>
        <v>700</v>
      </c>
      <c r="F323" s="9">
        <f>IFERROR(__xludf.DUMMYFUNCTION("""COMPUTED_VALUE"""),70.0)</f>
        <v>70</v>
      </c>
      <c r="G323" s="9">
        <f>IFERROR(__xludf.DUMMYFUNCTION("""COMPUTED_VALUE"""),0.0)</f>
        <v>0</v>
      </c>
      <c r="H323" s="9"/>
      <c r="I323" s="9">
        <f>IFERROR(__xludf.DUMMYFUNCTION("""COMPUTED_VALUE"""),10.0)</f>
        <v>10</v>
      </c>
      <c r="J323" s="9">
        <f>IFERROR(__xludf.DUMMYFUNCTION("""COMPUTED_VALUE"""),0.0)</f>
        <v>0</v>
      </c>
      <c r="K323" s="9">
        <f>IFERROR(__xludf.DUMMYFUNCTION("""COMPUTED_VALUE"""),0.0)</f>
        <v>0</v>
      </c>
      <c r="L323" s="9">
        <f>IFERROR(__xludf.DUMMYFUNCTION("""COMPUTED_VALUE"""),0.0)</f>
        <v>0</v>
      </c>
      <c r="M323" s="9">
        <f>IFERROR(__xludf.DUMMYFUNCTION("""COMPUTED_VALUE"""),10.0)</f>
        <v>10</v>
      </c>
      <c r="N323" s="9">
        <f>IFERROR(__xludf.DUMMYFUNCTION("""COMPUTED_VALUE"""),9.0)</f>
        <v>9</v>
      </c>
      <c r="O323" s="9">
        <f>IFERROR(__xludf.DUMMYFUNCTION("""COMPUTED_VALUE"""),0.0)</f>
        <v>0</v>
      </c>
      <c r="P323" s="9">
        <f>IFERROR(__xludf.DUMMYFUNCTION("""COMPUTED_VALUE"""),1.0)</f>
        <v>1</v>
      </c>
      <c r="Q323" s="9">
        <f>IFERROR(__xludf.DUMMYFUNCTION("""COMPUTED_VALUE"""),3.0)</f>
        <v>3</v>
      </c>
      <c r="R323" s="9">
        <f>IFERROR(__xludf.DUMMYFUNCTION("""COMPUTED_VALUE"""),1.0)</f>
        <v>1</v>
      </c>
      <c r="S323" s="9">
        <f>IFERROR(__xludf.DUMMYFUNCTION("""COMPUTED_VALUE"""),2.0)</f>
        <v>2</v>
      </c>
      <c r="T323" s="9">
        <f>IFERROR(__xludf.DUMMYFUNCTION("""COMPUTED_VALUE"""),1.0)</f>
        <v>1</v>
      </c>
      <c r="U323" s="9">
        <f>IFERROR(__xludf.DUMMYFUNCTION("""COMPUTED_VALUE"""),0.0)</f>
        <v>0</v>
      </c>
      <c r="V323" s="9">
        <f>IFERROR(__xludf.DUMMYFUNCTION("""COMPUTED_VALUE"""),4.0)</f>
        <v>4</v>
      </c>
      <c r="W323" s="9">
        <f>IFERROR(__xludf.DUMMYFUNCTION("""COMPUTED_VALUE"""),0.0)</f>
        <v>0</v>
      </c>
      <c r="X323" s="9">
        <f>IFERROR(__xludf.DUMMYFUNCTION("""COMPUTED_VALUE"""),5.0)</f>
        <v>5</v>
      </c>
      <c r="Y323" s="9">
        <f>IFERROR(__xludf.DUMMYFUNCTION("""COMPUTED_VALUE"""),7.0)</f>
        <v>7</v>
      </c>
      <c r="Z323" s="9">
        <f>IFERROR(__xludf.DUMMYFUNCTION("""COMPUTED_VALUE"""),1.0)</f>
        <v>1</v>
      </c>
      <c r="AA323" s="9">
        <f>IFERROR(__xludf.DUMMYFUNCTION("""COMPUTED_VALUE"""),0.0)</f>
        <v>0</v>
      </c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</row>
    <row r="324">
      <c r="A324" s="8">
        <f>IFERROR(__xludf.DUMMYFUNCTION("""COMPUTED_VALUE"""),45442.0)</f>
        <v>45442</v>
      </c>
      <c r="B324" s="9">
        <f>IFERROR(__xludf.DUMMYFUNCTION("""COMPUTED_VALUE"""),8.0)</f>
        <v>8</v>
      </c>
      <c r="C324" s="9">
        <f>IFERROR(__xludf.DUMMYFUNCTION("""COMPUTED_VALUE"""),31.0)</f>
        <v>31</v>
      </c>
      <c r="D324" s="9">
        <f>IFERROR(__xludf.DUMMYFUNCTION("""COMPUTED_VALUE"""),4.0)</f>
        <v>4</v>
      </c>
      <c r="E324" s="9">
        <f>IFERROR(__xludf.DUMMYFUNCTION("""COMPUTED_VALUE"""),604.0)</f>
        <v>604</v>
      </c>
      <c r="F324" s="9">
        <f>IFERROR(__xludf.DUMMYFUNCTION("""COMPUTED_VALUE"""),76.0)</f>
        <v>76</v>
      </c>
      <c r="G324" s="9">
        <f>IFERROR(__xludf.DUMMYFUNCTION("""COMPUTED_VALUE"""),0.0)</f>
        <v>0</v>
      </c>
      <c r="H324" s="9"/>
      <c r="I324" s="9">
        <f>IFERROR(__xludf.DUMMYFUNCTION("""COMPUTED_VALUE"""),4.0)</f>
        <v>4</v>
      </c>
      <c r="J324" s="9">
        <f>IFERROR(__xludf.DUMMYFUNCTION("""COMPUTED_VALUE"""),2.0)</f>
        <v>2</v>
      </c>
      <c r="K324" s="9">
        <f>IFERROR(__xludf.DUMMYFUNCTION("""COMPUTED_VALUE"""),0.0)</f>
        <v>0</v>
      </c>
      <c r="L324" s="9">
        <f>IFERROR(__xludf.DUMMYFUNCTION("""COMPUTED_VALUE"""),0.0)</f>
        <v>0</v>
      </c>
      <c r="M324" s="9">
        <f>IFERROR(__xludf.DUMMYFUNCTION("""COMPUTED_VALUE"""),6.0)</f>
        <v>6</v>
      </c>
      <c r="N324" s="9">
        <f>IFERROR(__xludf.DUMMYFUNCTION("""COMPUTED_VALUE"""),4.0)</f>
        <v>4</v>
      </c>
      <c r="O324" s="9">
        <f>IFERROR(__xludf.DUMMYFUNCTION("""COMPUTED_VALUE"""),2.0)</f>
        <v>2</v>
      </c>
      <c r="P324" s="9">
        <f>IFERROR(__xludf.DUMMYFUNCTION("""COMPUTED_VALUE"""),2.0)</f>
        <v>2</v>
      </c>
      <c r="Q324" s="9">
        <f>IFERROR(__xludf.DUMMYFUNCTION("""COMPUTED_VALUE"""),2.0)</f>
        <v>2</v>
      </c>
      <c r="R324" s="9">
        <f>IFERROR(__xludf.DUMMYFUNCTION("""COMPUTED_VALUE"""),2.0)</f>
        <v>2</v>
      </c>
      <c r="S324" s="9">
        <f>IFERROR(__xludf.DUMMYFUNCTION("""COMPUTED_VALUE"""),3.0)</f>
        <v>3</v>
      </c>
      <c r="T324" s="9">
        <f>IFERROR(__xludf.DUMMYFUNCTION("""COMPUTED_VALUE"""),1.0)</f>
        <v>1</v>
      </c>
      <c r="U324" s="9">
        <f>IFERROR(__xludf.DUMMYFUNCTION("""COMPUTED_VALUE"""),0.0)</f>
        <v>0</v>
      </c>
      <c r="V324" s="9">
        <f>IFERROR(__xludf.DUMMYFUNCTION("""COMPUTED_VALUE"""),6.0)</f>
        <v>6</v>
      </c>
      <c r="W324" s="9">
        <f>IFERROR(__xludf.DUMMYFUNCTION("""COMPUTED_VALUE"""),0.0)</f>
        <v>0</v>
      </c>
      <c r="X324" s="9">
        <f>IFERROR(__xludf.DUMMYFUNCTION("""COMPUTED_VALUE"""),4.0)</f>
        <v>4</v>
      </c>
      <c r="Y324" s="9">
        <f>IFERROR(__xludf.DUMMYFUNCTION("""COMPUTED_VALUE"""),7.0)</f>
        <v>7</v>
      </c>
      <c r="Z324" s="9">
        <f>IFERROR(__xludf.DUMMYFUNCTION("""COMPUTED_VALUE"""),1.0)</f>
        <v>1</v>
      </c>
      <c r="AA324" s="9">
        <f>IFERROR(__xludf.DUMMYFUNCTION("""COMPUTED_VALUE"""),2.0)</f>
        <v>2</v>
      </c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  <c r="TB324" s="9"/>
      <c r="TC324" s="9"/>
      <c r="TD324" s="9"/>
      <c r="TE324" s="9"/>
      <c r="TF324" s="9"/>
      <c r="TG324" s="9"/>
      <c r="TH324" s="9"/>
      <c r="TI324" s="9"/>
      <c r="TJ324" s="9"/>
      <c r="TK324" s="9"/>
      <c r="TL324" s="9"/>
      <c r="TM324" s="9"/>
      <c r="TN324" s="9"/>
      <c r="TO324" s="9"/>
      <c r="TP324" s="9"/>
      <c r="TQ324" s="9"/>
      <c r="TR324" s="9"/>
      <c r="TS324" s="9"/>
      <c r="TT324" s="9"/>
      <c r="TU324" s="9"/>
      <c r="TV324" s="9"/>
      <c r="TW324" s="9"/>
      <c r="TX324" s="9"/>
      <c r="TY324" s="9"/>
      <c r="TZ324" s="9"/>
      <c r="UA324" s="9"/>
      <c r="UB324" s="9"/>
      <c r="UC324" s="9"/>
      <c r="UD324" s="9"/>
      <c r="UE324" s="9"/>
      <c r="UF324" s="9"/>
      <c r="UG324" s="9"/>
      <c r="UH324" s="9"/>
      <c r="UI324" s="9"/>
      <c r="UJ324" s="9"/>
    </row>
    <row r="325">
      <c r="A325" s="8">
        <f>IFERROR(__xludf.DUMMYFUNCTION("""COMPUTED_VALUE"""),45443.0)</f>
        <v>45443</v>
      </c>
      <c r="B325" s="9">
        <f>IFERROR(__xludf.DUMMYFUNCTION("""COMPUTED_VALUE"""),9.0)</f>
        <v>9</v>
      </c>
      <c r="C325" s="9">
        <f>IFERROR(__xludf.DUMMYFUNCTION("""COMPUTED_VALUE"""),39.0)</f>
        <v>39</v>
      </c>
      <c r="D325" s="9">
        <f>IFERROR(__xludf.DUMMYFUNCTION("""COMPUTED_VALUE"""),4.0)</f>
        <v>4</v>
      </c>
      <c r="E325" s="9">
        <f>IFERROR(__xludf.DUMMYFUNCTION("""COMPUTED_VALUE"""),785.0)</f>
        <v>785</v>
      </c>
      <c r="F325" s="9">
        <f>IFERROR(__xludf.DUMMYFUNCTION("""COMPUTED_VALUE"""),87.0)</f>
        <v>87</v>
      </c>
      <c r="G325" s="9">
        <f>IFERROR(__xludf.DUMMYFUNCTION("""COMPUTED_VALUE"""),0.0)</f>
        <v>0</v>
      </c>
      <c r="H325" s="9"/>
      <c r="I325" s="9">
        <f>IFERROR(__xludf.DUMMYFUNCTION("""COMPUTED_VALUE"""),9.0)</f>
        <v>9</v>
      </c>
      <c r="J325" s="9">
        <f>IFERROR(__xludf.DUMMYFUNCTION("""COMPUTED_VALUE"""),0.0)</f>
        <v>0</v>
      </c>
      <c r="K325" s="9">
        <f>IFERROR(__xludf.DUMMYFUNCTION("""COMPUTED_VALUE"""),0.0)</f>
        <v>0</v>
      </c>
      <c r="L325" s="9">
        <f>IFERROR(__xludf.DUMMYFUNCTION("""COMPUTED_VALUE"""),0.0)</f>
        <v>0</v>
      </c>
      <c r="M325" s="9">
        <f>IFERROR(__xludf.DUMMYFUNCTION("""COMPUTED_VALUE"""),9.0)</f>
        <v>9</v>
      </c>
      <c r="N325" s="9">
        <f>IFERROR(__xludf.DUMMYFUNCTION("""COMPUTED_VALUE"""),8.0)</f>
        <v>8</v>
      </c>
      <c r="O325" s="9">
        <f>IFERROR(__xludf.DUMMYFUNCTION("""COMPUTED_VALUE"""),0.0)</f>
        <v>0</v>
      </c>
      <c r="P325" s="9">
        <f>IFERROR(__xludf.DUMMYFUNCTION("""COMPUTED_VALUE"""),1.0)</f>
        <v>1</v>
      </c>
      <c r="Q325" s="9">
        <f>IFERROR(__xludf.DUMMYFUNCTION("""COMPUTED_VALUE"""),6.0)</f>
        <v>6</v>
      </c>
      <c r="R325" s="9">
        <f>IFERROR(__xludf.DUMMYFUNCTION("""COMPUTED_VALUE"""),1.0)</f>
        <v>1</v>
      </c>
      <c r="S325" s="9">
        <f>IFERROR(__xludf.DUMMYFUNCTION("""COMPUTED_VALUE"""),5.0)</f>
        <v>5</v>
      </c>
      <c r="T325" s="9">
        <f>IFERROR(__xludf.DUMMYFUNCTION("""COMPUTED_VALUE"""),0.0)</f>
        <v>0</v>
      </c>
      <c r="U325" s="9">
        <f>IFERROR(__xludf.DUMMYFUNCTION("""COMPUTED_VALUE"""),0.0)</f>
        <v>0</v>
      </c>
      <c r="V325" s="9">
        <f>IFERROR(__xludf.DUMMYFUNCTION("""COMPUTED_VALUE"""),7.0)</f>
        <v>7</v>
      </c>
      <c r="W325" s="9">
        <f>IFERROR(__xludf.DUMMYFUNCTION("""COMPUTED_VALUE"""),0.0)</f>
        <v>0</v>
      </c>
      <c r="X325" s="9">
        <f>IFERROR(__xludf.DUMMYFUNCTION("""COMPUTED_VALUE"""),7.0)</f>
        <v>7</v>
      </c>
      <c r="Y325" s="9">
        <f>IFERROR(__xludf.DUMMYFUNCTION("""COMPUTED_VALUE"""),7.0)</f>
        <v>7</v>
      </c>
      <c r="Z325" s="9">
        <f>IFERROR(__xludf.DUMMYFUNCTION("""COMPUTED_VALUE"""),0.0)</f>
        <v>0</v>
      </c>
      <c r="AA325" s="9">
        <f>IFERROR(__xludf.DUMMYFUNCTION("""COMPUTED_VALUE"""),0.0)</f>
        <v>0</v>
      </c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</row>
    <row r="326">
      <c r="A326" s="8">
        <f>IFERROR(__xludf.DUMMYFUNCTION("""COMPUTED_VALUE"""),45444.0)</f>
        <v>45444</v>
      </c>
      <c r="B326" s="9">
        <f>IFERROR(__xludf.DUMMYFUNCTION("""COMPUTED_VALUE"""),0.0)</f>
        <v>0</v>
      </c>
      <c r="C326" s="9">
        <f>IFERROR(__xludf.DUMMYFUNCTION("""COMPUTED_VALUE"""),0.0)</f>
        <v>0</v>
      </c>
      <c r="D326" s="9">
        <f>IFERROR(__xludf.DUMMYFUNCTION("""COMPUTED_VALUE"""),0.0)</f>
        <v>0</v>
      </c>
      <c r="E326" s="9">
        <f>IFERROR(__xludf.DUMMYFUNCTION("""COMPUTED_VALUE"""),0.0)</f>
        <v>0</v>
      </c>
      <c r="F326" s="9">
        <f>IFERROR(__xludf.DUMMYFUNCTION("""COMPUTED_VALUE"""),0.0)</f>
        <v>0</v>
      </c>
      <c r="G326" s="9">
        <f>IFERROR(__xludf.DUMMYFUNCTION("""COMPUTED_VALUE"""),0.0)</f>
        <v>0</v>
      </c>
      <c r="H326" s="9"/>
      <c r="I326" s="9">
        <f>IFERROR(__xludf.DUMMYFUNCTION("""COMPUTED_VALUE"""),0.0)</f>
        <v>0</v>
      </c>
      <c r="J326" s="9">
        <f>IFERROR(__xludf.DUMMYFUNCTION("""COMPUTED_VALUE"""),0.0)</f>
        <v>0</v>
      </c>
      <c r="K326" s="9">
        <f>IFERROR(__xludf.DUMMYFUNCTION("""COMPUTED_VALUE"""),0.0)</f>
        <v>0</v>
      </c>
      <c r="L326" s="9">
        <f>IFERROR(__xludf.DUMMYFUNCTION("""COMPUTED_VALUE"""),0.0)</f>
        <v>0</v>
      </c>
      <c r="M326" s="9">
        <f>IFERROR(__xludf.DUMMYFUNCTION("""COMPUTED_VALUE"""),0.0)</f>
        <v>0</v>
      </c>
      <c r="N326" s="9">
        <f>IFERROR(__xludf.DUMMYFUNCTION("""COMPUTED_VALUE"""),0.0)</f>
        <v>0</v>
      </c>
      <c r="O326" s="9">
        <f>IFERROR(__xludf.DUMMYFUNCTION("""COMPUTED_VALUE"""),0.0)</f>
        <v>0</v>
      </c>
      <c r="P326" s="9">
        <f>IFERROR(__xludf.DUMMYFUNCTION("""COMPUTED_VALUE"""),0.0)</f>
        <v>0</v>
      </c>
      <c r="Q326" s="9">
        <f>IFERROR(__xludf.DUMMYFUNCTION("""COMPUTED_VALUE"""),0.0)</f>
        <v>0</v>
      </c>
      <c r="R326" s="9">
        <f>IFERROR(__xludf.DUMMYFUNCTION("""COMPUTED_VALUE"""),0.0)</f>
        <v>0</v>
      </c>
      <c r="S326" s="9">
        <f>IFERROR(__xludf.DUMMYFUNCTION("""COMPUTED_VALUE"""),0.0)</f>
        <v>0</v>
      </c>
      <c r="T326" s="9">
        <f>IFERROR(__xludf.DUMMYFUNCTION("""COMPUTED_VALUE"""),0.0)</f>
        <v>0</v>
      </c>
      <c r="U326" s="9">
        <f>IFERROR(__xludf.DUMMYFUNCTION("""COMPUTED_VALUE"""),0.0)</f>
        <v>0</v>
      </c>
      <c r="V326" s="9">
        <f>IFERROR(__xludf.DUMMYFUNCTION("""COMPUTED_VALUE"""),0.0)</f>
        <v>0</v>
      </c>
      <c r="W326" s="9">
        <f>IFERROR(__xludf.DUMMYFUNCTION("""COMPUTED_VALUE"""),0.0)</f>
        <v>0</v>
      </c>
      <c r="X326" s="9">
        <f>IFERROR(__xludf.DUMMYFUNCTION("""COMPUTED_VALUE"""),0.0)</f>
        <v>0</v>
      </c>
      <c r="Y326" s="9">
        <f>IFERROR(__xludf.DUMMYFUNCTION("""COMPUTED_VALUE"""),0.0)</f>
        <v>0</v>
      </c>
      <c r="Z326" s="9">
        <f>IFERROR(__xludf.DUMMYFUNCTION("""COMPUTED_VALUE"""),0.0)</f>
        <v>0</v>
      </c>
      <c r="AA326" s="9">
        <f>IFERROR(__xludf.DUMMYFUNCTION("""COMPUTED_VALUE"""),0.0)</f>
        <v>0</v>
      </c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</row>
    <row r="327">
      <c r="A327" s="8">
        <f>IFERROR(__xludf.DUMMYFUNCTION("""COMPUTED_VALUE"""),45445.0)</f>
        <v>45445</v>
      </c>
      <c r="B327" s="9">
        <f>IFERROR(__xludf.DUMMYFUNCTION("""COMPUTED_VALUE"""),0.0)</f>
        <v>0</v>
      </c>
      <c r="C327" s="9">
        <f>IFERROR(__xludf.DUMMYFUNCTION("""COMPUTED_VALUE"""),0.0)</f>
        <v>0</v>
      </c>
      <c r="D327" s="9">
        <f>IFERROR(__xludf.DUMMYFUNCTION("""COMPUTED_VALUE"""),0.0)</f>
        <v>0</v>
      </c>
      <c r="E327" s="9">
        <f>IFERROR(__xludf.DUMMYFUNCTION("""COMPUTED_VALUE"""),0.0)</f>
        <v>0</v>
      </c>
      <c r="F327" s="9">
        <f>IFERROR(__xludf.DUMMYFUNCTION("""COMPUTED_VALUE"""),0.0)</f>
        <v>0</v>
      </c>
      <c r="G327" s="9">
        <f>IFERROR(__xludf.DUMMYFUNCTION("""COMPUTED_VALUE"""),0.0)</f>
        <v>0</v>
      </c>
      <c r="H327" s="9"/>
      <c r="I327" s="9">
        <f>IFERROR(__xludf.DUMMYFUNCTION("""COMPUTED_VALUE"""),0.0)</f>
        <v>0</v>
      </c>
      <c r="J327" s="9">
        <f>IFERROR(__xludf.DUMMYFUNCTION("""COMPUTED_VALUE"""),0.0)</f>
        <v>0</v>
      </c>
      <c r="K327" s="9">
        <f>IFERROR(__xludf.DUMMYFUNCTION("""COMPUTED_VALUE"""),0.0)</f>
        <v>0</v>
      </c>
      <c r="L327" s="9">
        <f>IFERROR(__xludf.DUMMYFUNCTION("""COMPUTED_VALUE"""),0.0)</f>
        <v>0</v>
      </c>
      <c r="M327" s="9">
        <f>IFERROR(__xludf.DUMMYFUNCTION("""COMPUTED_VALUE"""),0.0)</f>
        <v>0</v>
      </c>
      <c r="N327" s="9">
        <f>IFERROR(__xludf.DUMMYFUNCTION("""COMPUTED_VALUE"""),0.0)</f>
        <v>0</v>
      </c>
      <c r="O327" s="9">
        <f>IFERROR(__xludf.DUMMYFUNCTION("""COMPUTED_VALUE"""),0.0)</f>
        <v>0</v>
      </c>
      <c r="P327" s="9">
        <f>IFERROR(__xludf.DUMMYFUNCTION("""COMPUTED_VALUE"""),0.0)</f>
        <v>0</v>
      </c>
      <c r="Q327" s="9">
        <f>IFERROR(__xludf.DUMMYFUNCTION("""COMPUTED_VALUE"""),0.0)</f>
        <v>0</v>
      </c>
      <c r="R327" s="9">
        <f>IFERROR(__xludf.DUMMYFUNCTION("""COMPUTED_VALUE"""),0.0)</f>
        <v>0</v>
      </c>
      <c r="S327" s="9">
        <f>IFERROR(__xludf.DUMMYFUNCTION("""COMPUTED_VALUE"""),0.0)</f>
        <v>0</v>
      </c>
      <c r="T327" s="9">
        <f>IFERROR(__xludf.DUMMYFUNCTION("""COMPUTED_VALUE"""),0.0)</f>
        <v>0</v>
      </c>
      <c r="U327" s="9">
        <f>IFERROR(__xludf.DUMMYFUNCTION("""COMPUTED_VALUE"""),0.0)</f>
        <v>0</v>
      </c>
      <c r="V327" s="9">
        <f>IFERROR(__xludf.DUMMYFUNCTION("""COMPUTED_VALUE"""),0.0)</f>
        <v>0</v>
      </c>
      <c r="W327" s="9">
        <f>IFERROR(__xludf.DUMMYFUNCTION("""COMPUTED_VALUE"""),0.0)</f>
        <v>0</v>
      </c>
      <c r="X327" s="9">
        <f>IFERROR(__xludf.DUMMYFUNCTION("""COMPUTED_VALUE"""),0.0)</f>
        <v>0</v>
      </c>
      <c r="Y327" s="9">
        <f>IFERROR(__xludf.DUMMYFUNCTION("""COMPUTED_VALUE"""),0.0)</f>
        <v>0</v>
      </c>
      <c r="Z327" s="9">
        <f>IFERROR(__xludf.DUMMYFUNCTION("""COMPUTED_VALUE"""),0.0)</f>
        <v>0</v>
      </c>
      <c r="AA327" s="9">
        <f>IFERROR(__xludf.DUMMYFUNCTION("""COMPUTED_VALUE"""),0.0)</f>
        <v>0</v>
      </c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</row>
    <row r="328">
      <c r="A328" s="8">
        <f>IFERROR(__xludf.DUMMYFUNCTION("""COMPUTED_VALUE"""),45446.0)</f>
        <v>45446</v>
      </c>
      <c r="B328" s="9">
        <f>IFERROR(__xludf.DUMMYFUNCTION("""COMPUTED_VALUE"""),6.0)</f>
        <v>6</v>
      </c>
      <c r="C328" s="9">
        <f>IFERROR(__xludf.DUMMYFUNCTION("""COMPUTED_VALUE"""),22.0)</f>
        <v>22</v>
      </c>
      <c r="D328" s="9">
        <f>IFERROR(__xludf.DUMMYFUNCTION("""COMPUTED_VALUE"""),4.0)</f>
        <v>4</v>
      </c>
      <c r="E328" s="9">
        <f>IFERROR(__xludf.DUMMYFUNCTION("""COMPUTED_VALUE"""),334.0)</f>
        <v>334</v>
      </c>
      <c r="F328" s="9">
        <f>IFERROR(__xludf.DUMMYFUNCTION("""COMPUTED_VALUE"""),56.0)</f>
        <v>56</v>
      </c>
      <c r="G328" s="9">
        <f>IFERROR(__xludf.DUMMYFUNCTION("""COMPUTED_VALUE"""),0.0)</f>
        <v>0</v>
      </c>
      <c r="H328" s="9"/>
      <c r="I328" s="9">
        <f>IFERROR(__xludf.DUMMYFUNCTION("""COMPUTED_VALUE"""),4.0)</f>
        <v>4</v>
      </c>
      <c r="J328" s="9">
        <f>IFERROR(__xludf.DUMMYFUNCTION("""COMPUTED_VALUE"""),1.0)</f>
        <v>1</v>
      </c>
      <c r="K328" s="9">
        <f>IFERROR(__xludf.DUMMYFUNCTION("""COMPUTED_VALUE"""),0.0)</f>
        <v>0</v>
      </c>
      <c r="L328" s="9">
        <f>IFERROR(__xludf.DUMMYFUNCTION("""COMPUTED_VALUE"""),0.0)</f>
        <v>0</v>
      </c>
      <c r="M328" s="9">
        <f>IFERROR(__xludf.DUMMYFUNCTION("""COMPUTED_VALUE"""),5.0)</f>
        <v>5</v>
      </c>
      <c r="N328" s="9">
        <f>IFERROR(__xludf.DUMMYFUNCTION("""COMPUTED_VALUE"""),4.0)</f>
        <v>4</v>
      </c>
      <c r="O328" s="9">
        <f>IFERROR(__xludf.DUMMYFUNCTION("""COMPUTED_VALUE"""),0.0)</f>
        <v>0</v>
      </c>
      <c r="P328" s="9">
        <f>IFERROR(__xludf.DUMMYFUNCTION("""COMPUTED_VALUE"""),1.0)</f>
        <v>1</v>
      </c>
      <c r="Q328" s="9">
        <f>IFERROR(__xludf.DUMMYFUNCTION("""COMPUTED_VALUE"""),1.0)</f>
        <v>1</v>
      </c>
      <c r="R328" s="9">
        <f>IFERROR(__xludf.DUMMYFUNCTION("""COMPUTED_VALUE"""),1.0)</f>
        <v>1</v>
      </c>
      <c r="S328" s="9">
        <f>IFERROR(__xludf.DUMMYFUNCTION("""COMPUTED_VALUE"""),1.0)</f>
        <v>1</v>
      </c>
      <c r="T328" s="9">
        <f>IFERROR(__xludf.DUMMYFUNCTION("""COMPUTED_VALUE"""),1.0)</f>
        <v>1</v>
      </c>
      <c r="U328" s="9">
        <f>IFERROR(__xludf.DUMMYFUNCTION("""COMPUTED_VALUE"""),0.0)</f>
        <v>0</v>
      </c>
      <c r="V328" s="9">
        <f>IFERROR(__xludf.DUMMYFUNCTION("""COMPUTED_VALUE"""),2.0)</f>
        <v>2</v>
      </c>
      <c r="W328" s="9">
        <f>IFERROR(__xludf.DUMMYFUNCTION("""COMPUTED_VALUE"""),0.0)</f>
        <v>0</v>
      </c>
      <c r="X328" s="9">
        <f>IFERROR(__xludf.DUMMYFUNCTION("""COMPUTED_VALUE"""),2.0)</f>
        <v>2</v>
      </c>
      <c r="Y328" s="9">
        <f>IFERROR(__xludf.DUMMYFUNCTION("""COMPUTED_VALUE"""),4.0)</f>
        <v>4</v>
      </c>
      <c r="Z328" s="9">
        <f>IFERROR(__xludf.DUMMYFUNCTION("""COMPUTED_VALUE"""),1.0)</f>
        <v>1</v>
      </c>
      <c r="AA328" s="9">
        <f>IFERROR(__xludf.DUMMYFUNCTION("""COMPUTED_VALUE"""),0.0)</f>
        <v>0</v>
      </c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</row>
    <row r="329">
      <c r="A329" s="8">
        <f>IFERROR(__xludf.DUMMYFUNCTION("""COMPUTED_VALUE"""),45447.0)</f>
        <v>45447</v>
      </c>
      <c r="B329" s="9">
        <f>IFERROR(__xludf.DUMMYFUNCTION("""COMPUTED_VALUE"""),14.0)</f>
        <v>14</v>
      </c>
      <c r="C329" s="9">
        <f>IFERROR(__xludf.DUMMYFUNCTION("""COMPUTED_VALUE"""),43.0)</f>
        <v>43</v>
      </c>
      <c r="D329" s="9">
        <f>IFERROR(__xludf.DUMMYFUNCTION("""COMPUTED_VALUE"""),3.0)</f>
        <v>3</v>
      </c>
      <c r="E329" s="9">
        <f>IFERROR(__xludf.DUMMYFUNCTION("""COMPUTED_VALUE"""),678.0)</f>
        <v>678</v>
      </c>
      <c r="F329" s="9">
        <f>IFERROR(__xludf.DUMMYFUNCTION("""COMPUTED_VALUE"""),48.0)</f>
        <v>48</v>
      </c>
      <c r="G329" s="9">
        <f>IFERROR(__xludf.DUMMYFUNCTION("""COMPUTED_VALUE"""),0.0)</f>
        <v>0</v>
      </c>
      <c r="H329" s="9"/>
      <c r="I329" s="9">
        <f>IFERROR(__xludf.DUMMYFUNCTION("""COMPUTED_VALUE"""),9.0)</f>
        <v>9</v>
      </c>
      <c r="J329" s="9">
        <f>IFERROR(__xludf.DUMMYFUNCTION("""COMPUTED_VALUE"""),1.0)</f>
        <v>1</v>
      </c>
      <c r="K329" s="9">
        <f>IFERROR(__xludf.DUMMYFUNCTION("""COMPUTED_VALUE"""),1.0)</f>
        <v>1</v>
      </c>
      <c r="L329" s="9">
        <f>IFERROR(__xludf.DUMMYFUNCTION("""COMPUTED_VALUE"""),0.0)</f>
        <v>0</v>
      </c>
      <c r="M329" s="9">
        <f>IFERROR(__xludf.DUMMYFUNCTION("""COMPUTED_VALUE"""),11.0)</f>
        <v>11</v>
      </c>
      <c r="N329" s="9">
        <f>IFERROR(__xludf.DUMMYFUNCTION("""COMPUTED_VALUE"""),7.0)</f>
        <v>7</v>
      </c>
      <c r="O329" s="9">
        <f>IFERROR(__xludf.DUMMYFUNCTION("""COMPUTED_VALUE"""),0.0)</f>
        <v>0</v>
      </c>
      <c r="P329" s="9">
        <f>IFERROR(__xludf.DUMMYFUNCTION("""COMPUTED_VALUE"""),7.0)</f>
        <v>7</v>
      </c>
      <c r="Q329" s="9">
        <f>IFERROR(__xludf.DUMMYFUNCTION("""COMPUTED_VALUE"""),3.0)</f>
        <v>3</v>
      </c>
      <c r="R329" s="9">
        <f>IFERROR(__xludf.DUMMYFUNCTION("""COMPUTED_VALUE"""),6.0)</f>
        <v>6</v>
      </c>
      <c r="S329" s="9">
        <f>IFERROR(__xludf.DUMMYFUNCTION("""COMPUTED_VALUE"""),5.0)</f>
        <v>5</v>
      </c>
      <c r="T329" s="9">
        <f>IFERROR(__xludf.DUMMYFUNCTION("""COMPUTED_VALUE"""),0.0)</f>
        <v>0</v>
      </c>
      <c r="U329" s="9">
        <f>IFERROR(__xludf.DUMMYFUNCTION("""COMPUTED_VALUE"""),0.0)</f>
        <v>0</v>
      </c>
      <c r="V329" s="9">
        <f>IFERROR(__xludf.DUMMYFUNCTION("""COMPUTED_VALUE"""),9.0)</f>
        <v>9</v>
      </c>
      <c r="W329" s="9">
        <f>IFERROR(__xludf.DUMMYFUNCTION("""COMPUTED_VALUE"""),0.0)</f>
        <v>0</v>
      </c>
      <c r="X329" s="9">
        <f>IFERROR(__xludf.DUMMYFUNCTION("""COMPUTED_VALUE"""),1.0)</f>
        <v>1</v>
      </c>
      <c r="Y329" s="9">
        <f>IFERROR(__xludf.DUMMYFUNCTION("""COMPUTED_VALUE"""),9.0)</f>
        <v>9</v>
      </c>
      <c r="Z329" s="9">
        <f>IFERROR(__xludf.DUMMYFUNCTION("""COMPUTED_VALUE"""),0.0)</f>
        <v>0</v>
      </c>
      <c r="AA329" s="9">
        <f>IFERROR(__xludf.DUMMYFUNCTION("""COMPUTED_VALUE"""),0.0)</f>
        <v>0</v>
      </c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</row>
    <row r="330">
      <c r="A330" s="8">
        <f>IFERROR(__xludf.DUMMYFUNCTION("""COMPUTED_VALUE"""),45448.0)</f>
        <v>45448</v>
      </c>
      <c r="B330" s="9">
        <f>IFERROR(__xludf.DUMMYFUNCTION("""COMPUTED_VALUE"""),8.0)</f>
        <v>8</v>
      </c>
      <c r="C330" s="9">
        <f>IFERROR(__xludf.DUMMYFUNCTION("""COMPUTED_VALUE"""),27.0)</f>
        <v>27</v>
      </c>
      <c r="D330" s="9">
        <f>IFERROR(__xludf.DUMMYFUNCTION("""COMPUTED_VALUE"""),3.0)</f>
        <v>3</v>
      </c>
      <c r="E330" s="9">
        <f>IFERROR(__xludf.DUMMYFUNCTION("""COMPUTED_VALUE"""),491.0)</f>
        <v>491</v>
      </c>
      <c r="F330" s="9">
        <f>IFERROR(__xludf.DUMMYFUNCTION("""COMPUTED_VALUE"""),61.0)</f>
        <v>61</v>
      </c>
      <c r="G330" s="9">
        <f>IFERROR(__xludf.DUMMYFUNCTION("""COMPUTED_VALUE"""),0.0)</f>
        <v>0</v>
      </c>
      <c r="H330" s="9"/>
      <c r="I330" s="9">
        <f>IFERROR(__xludf.DUMMYFUNCTION("""COMPUTED_VALUE"""),8.0)</f>
        <v>8</v>
      </c>
      <c r="J330" s="9">
        <f>IFERROR(__xludf.DUMMYFUNCTION("""COMPUTED_VALUE"""),0.0)</f>
        <v>0</v>
      </c>
      <c r="K330" s="9">
        <f>IFERROR(__xludf.DUMMYFUNCTION("""COMPUTED_VALUE"""),0.0)</f>
        <v>0</v>
      </c>
      <c r="L330" s="9">
        <f>IFERROR(__xludf.DUMMYFUNCTION("""COMPUTED_VALUE"""),0.0)</f>
        <v>0</v>
      </c>
      <c r="M330" s="9">
        <f>IFERROR(__xludf.DUMMYFUNCTION("""COMPUTED_VALUE"""),8.0)</f>
        <v>8</v>
      </c>
      <c r="N330" s="9">
        <f>IFERROR(__xludf.DUMMYFUNCTION("""COMPUTED_VALUE"""),8.0)</f>
        <v>8</v>
      </c>
      <c r="O330" s="9">
        <f>IFERROR(__xludf.DUMMYFUNCTION("""COMPUTED_VALUE"""),0.0)</f>
        <v>0</v>
      </c>
      <c r="P330" s="9">
        <f>IFERROR(__xludf.DUMMYFUNCTION("""COMPUTED_VALUE"""),0.0)</f>
        <v>0</v>
      </c>
      <c r="Q330" s="9">
        <f>IFERROR(__xludf.DUMMYFUNCTION("""COMPUTED_VALUE"""),5.0)</f>
        <v>5</v>
      </c>
      <c r="R330" s="9">
        <f>IFERROR(__xludf.DUMMYFUNCTION("""COMPUTED_VALUE"""),0.0)</f>
        <v>0</v>
      </c>
      <c r="S330" s="9">
        <f>IFERROR(__xludf.DUMMYFUNCTION("""COMPUTED_VALUE"""),2.0)</f>
        <v>2</v>
      </c>
      <c r="T330" s="9">
        <f>IFERROR(__xludf.DUMMYFUNCTION("""COMPUTED_VALUE"""),0.0)</f>
        <v>0</v>
      </c>
      <c r="U330" s="9">
        <f>IFERROR(__xludf.DUMMYFUNCTION("""COMPUTED_VALUE"""),0.0)</f>
        <v>0</v>
      </c>
      <c r="V330" s="9">
        <f>IFERROR(__xludf.DUMMYFUNCTION("""COMPUTED_VALUE"""),5.0)</f>
        <v>5</v>
      </c>
      <c r="W330" s="9">
        <f>IFERROR(__xludf.DUMMYFUNCTION("""COMPUTED_VALUE"""),0.0)</f>
        <v>0</v>
      </c>
      <c r="X330" s="9">
        <f>IFERROR(__xludf.DUMMYFUNCTION("""COMPUTED_VALUE"""),4.0)</f>
        <v>4</v>
      </c>
      <c r="Y330" s="9">
        <f>IFERROR(__xludf.DUMMYFUNCTION("""COMPUTED_VALUE"""),5.0)</f>
        <v>5</v>
      </c>
      <c r="Z330" s="9">
        <f>IFERROR(__xludf.DUMMYFUNCTION("""COMPUTED_VALUE"""),0.0)</f>
        <v>0</v>
      </c>
      <c r="AA330" s="9">
        <f>IFERROR(__xludf.DUMMYFUNCTION("""COMPUTED_VALUE"""),0.0)</f>
        <v>0</v>
      </c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</row>
    <row r="331">
      <c r="A331" s="8">
        <f>IFERROR(__xludf.DUMMYFUNCTION("""COMPUTED_VALUE"""),45449.0)</f>
        <v>45449</v>
      </c>
      <c r="B331" s="9">
        <f>IFERROR(__xludf.DUMMYFUNCTION("""COMPUTED_VALUE"""),6.0)</f>
        <v>6</v>
      </c>
      <c r="C331" s="9">
        <f>IFERROR(__xludf.DUMMYFUNCTION("""COMPUTED_VALUE"""),20.0)</f>
        <v>20</v>
      </c>
      <c r="D331" s="9">
        <f>IFERROR(__xludf.DUMMYFUNCTION("""COMPUTED_VALUE"""),3.0)</f>
        <v>3</v>
      </c>
      <c r="E331" s="9">
        <f>IFERROR(__xludf.DUMMYFUNCTION("""COMPUTED_VALUE"""),392.0)</f>
        <v>392</v>
      </c>
      <c r="F331" s="9">
        <f>IFERROR(__xludf.DUMMYFUNCTION("""COMPUTED_VALUE"""),65.0)</f>
        <v>65</v>
      </c>
      <c r="G331" s="9">
        <f>IFERROR(__xludf.DUMMYFUNCTION("""COMPUTED_VALUE"""),0.0)</f>
        <v>0</v>
      </c>
      <c r="H331" s="9"/>
      <c r="I331" s="9">
        <f>IFERROR(__xludf.DUMMYFUNCTION("""COMPUTED_VALUE"""),4.0)</f>
        <v>4</v>
      </c>
      <c r="J331" s="9">
        <f>IFERROR(__xludf.DUMMYFUNCTION("""COMPUTED_VALUE"""),1.0)</f>
        <v>1</v>
      </c>
      <c r="K331" s="9">
        <f>IFERROR(__xludf.DUMMYFUNCTION("""COMPUTED_VALUE"""),0.0)</f>
        <v>0</v>
      </c>
      <c r="L331" s="9">
        <f>IFERROR(__xludf.DUMMYFUNCTION("""COMPUTED_VALUE"""),0.0)</f>
        <v>0</v>
      </c>
      <c r="M331" s="9">
        <f>IFERROR(__xludf.DUMMYFUNCTION("""COMPUTED_VALUE"""),5.0)</f>
        <v>5</v>
      </c>
      <c r="N331" s="9">
        <f>IFERROR(__xludf.DUMMYFUNCTION("""COMPUTED_VALUE"""),5.0)</f>
        <v>5</v>
      </c>
      <c r="O331" s="9">
        <f>IFERROR(__xludf.DUMMYFUNCTION("""COMPUTED_VALUE"""),0.0)</f>
        <v>0</v>
      </c>
      <c r="P331" s="9">
        <f>IFERROR(__xludf.DUMMYFUNCTION("""COMPUTED_VALUE"""),1.0)</f>
        <v>1</v>
      </c>
      <c r="Q331" s="9">
        <f>IFERROR(__xludf.DUMMYFUNCTION("""COMPUTED_VALUE"""),5.0)</f>
        <v>5</v>
      </c>
      <c r="R331" s="9">
        <f>IFERROR(__xludf.DUMMYFUNCTION("""COMPUTED_VALUE"""),1.0)</f>
        <v>1</v>
      </c>
      <c r="S331" s="9">
        <f>IFERROR(__xludf.DUMMYFUNCTION("""COMPUTED_VALUE"""),1.0)</f>
        <v>1</v>
      </c>
      <c r="T331" s="9">
        <f>IFERROR(__xludf.DUMMYFUNCTION("""COMPUTED_VALUE"""),0.0)</f>
        <v>0</v>
      </c>
      <c r="U331" s="9">
        <f>IFERROR(__xludf.DUMMYFUNCTION("""COMPUTED_VALUE"""),0.0)</f>
        <v>0</v>
      </c>
      <c r="V331" s="9">
        <f>IFERROR(__xludf.DUMMYFUNCTION("""COMPUTED_VALUE"""),6.0)</f>
        <v>6</v>
      </c>
      <c r="W331" s="9">
        <f>IFERROR(__xludf.DUMMYFUNCTION("""COMPUTED_VALUE"""),0.0)</f>
        <v>0</v>
      </c>
      <c r="X331" s="9">
        <f>IFERROR(__xludf.DUMMYFUNCTION("""COMPUTED_VALUE"""),1.0)</f>
        <v>1</v>
      </c>
      <c r="Y331" s="9">
        <f>IFERROR(__xludf.DUMMYFUNCTION("""COMPUTED_VALUE"""),6.0)</f>
        <v>6</v>
      </c>
      <c r="Z331" s="9">
        <f>IFERROR(__xludf.DUMMYFUNCTION("""COMPUTED_VALUE"""),0.0)</f>
        <v>0</v>
      </c>
      <c r="AA331" s="9">
        <f>IFERROR(__xludf.DUMMYFUNCTION("""COMPUTED_VALUE"""),0.0)</f>
        <v>0</v>
      </c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</row>
    <row r="332">
      <c r="A332" s="8">
        <f>IFERROR(__xludf.DUMMYFUNCTION("""COMPUTED_VALUE"""),45450.0)</f>
        <v>45450</v>
      </c>
      <c r="B332" s="9">
        <f>IFERROR(__xludf.DUMMYFUNCTION("""COMPUTED_VALUE"""),5.0)</f>
        <v>5</v>
      </c>
      <c r="C332" s="9">
        <f>IFERROR(__xludf.DUMMYFUNCTION("""COMPUTED_VALUE"""),23.0)</f>
        <v>23</v>
      </c>
      <c r="D332" s="9">
        <f>IFERROR(__xludf.DUMMYFUNCTION("""COMPUTED_VALUE"""),5.0)</f>
        <v>5</v>
      </c>
      <c r="E332" s="9">
        <f>IFERROR(__xludf.DUMMYFUNCTION("""COMPUTED_VALUE"""),468.0)</f>
        <v>468</v>
      </c>
      <c r="F332" s="9">
        <f>IFERROR(__xludf.DUMMYFUNCTION("""COMPUTED_VALUE"""),94.0)</f>
        <v>94</v>
      </c>
      <c r="G332" s="9">
        <f>IFERROR(__xludf.DUMMYFUNCTION("""COMPUTED_VALUE"""),0.0)</f>
        <v>0</v>
      </c>
      <c r="H332" s="9"/>
      <c r="I332" s="9">
        <f>IFERROR(__xludf.DUMMYFUNCTION("""COMPUTED_VALUE"""),5.0)</f>
        <v>5</v>
      </c>
      <c r="J332" s="9">
        <f>IFERROR(__xludf.DUMMYFUNCTION("""COMPUTED_VALUE"""),0.0)</f>
        <v>0</v>
      </c>
      <c r="K332" s="9">
        <f>IFERROR(__xludf.DUMMYFUNCTION("""COMPUTED_VALUE"""),0.0)</f>
        <v>0</v>
      </c>
      <c r="L332" s="9">
        <f>IFERROR(__xludf.DUMMYFUNCTION("""COMPUTED_VALUE"""),0.0)</f>
        <v>0</v>
      </c>
      <c r="M332" s="9">
        <f>IFERROR(__xludf.DUMMYFUNCTION("""COMPUTED_VALUE"""),5.0)</f>
        <v>5</v>
      </c>
      <c r="N332" s="9">
        <f>IFERROR(__xludf.DUMMYFUNCTION("""COMPUTED_VALUE"""),3.0)</f>
        <v>3</v>
      </c>
      <c r="O332" s="9">
        <f>IFERROR(__xludf.DUMMYFUNCTION("""COMPUTED_VALUE"""),0.0)</f>
        <v>0</v>
      </c>
      <c r="P332" s="9">
        <f>IFERROR(__xludf.DUMMYFUNCTION("""COMPUTED_VALUE"""),2.0)</f>
        <v>2</v>
      </c>
      <c r="Q332" s="9">
        <f>IFERROR(__xludf.DUMMYFUNCTION("""COMPUTED_VALUE"""),3.0)</f>
        <v>3</v>
      </c>
      <c r="R332" s="9">
        <f>IFERROR(__xludf.DUMMYFUNCTION("""COMPUTED_VALUE"""),1.0)</f>
        <v>1</v>
      </c>
      <c r="S332" s="9">
        <f>IFERROR(__xludf.DUMMYFUNCTION("""COMPUTED_VALUE"""),4.0)</f>
        <v>4</v>
      </c>
      <c r="T332" s="9">
        <f>IFERROR(__xludf.DUMMYFUNCTION("""COMPUTED_VALUE"""),0.0)</f>
        <v>0</v>
      </c>
      <c r="U332" s="9">
        <f>IFERROR(__xludf.DUMMYFUNCTION("""COMPUTED_VALUE"""),0.0)</f>
        <v>0</v>
      </c>
      <c r="V332" s="9">
        <f>IFERROR(__xludf.DUMMYFUNCTION("""COMPUTED_VALUE"""),4.0)</f>
        <v>4</v>
      </c>
      <c r="W332" s="9">
        <f>IFERROR(__xludf.DUMMYFUNCTION("""COMPUTED_VALUE"""),0.0)</f>
        <v>0</v>
      </c>
      <c r="X332" s="9">
        <f>IFERROR(__xludf.DUMMYFUNCTION("""COMPUTED_VALUE"""),3.0)</f>
        <v>3</v>
      </c>
      <c r="Y332" s="9">
        <f>IFERROR(__xludf.DUMMYFUNCTION("""COMPUTED_VALUE"""),4.0)</f>
        <v>4</v>
      </c>
      <c r="Z332" s="9">
        <f>IFERROR(__xludf.DUMMYFUNCTION("""COMPUTED_VALUE"""),0.0)</f>
        <v>0</v>
      </c>
      <c r="AA332" s="9">
        <f>IFERROR(__xludf.DUMMYFUNCTION("""COMPUTED_VALUE"""),0.0)</f>
        <v>0</v>
      </c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</row>
    <row r="333">
      <c r="A333" s="8">
        <f>IFERROR(__xludf.DUMMYFUNCTION("""COMPUTED_VALUE"""),45451.0)</f>
        <v>45451</v>
      </c>
      <c r="B333" s="9">
        <f>IFERROR(__xludf.DUMMYFUNCTION("""COMPUTED_VALUE"""),4.0)</f>
        <v>4</v>
      </c>
      <c r="C333" s="9">
        <f>IFERROR(__xludf.DUMMYFUNCTION("""COMPUTED_VALUE"""),13.0)</f>
        <v>13</v>
      </c>
      <c r="D333" s="9">
        <f>IFERROR(__xludf.DUMMYFUNCTION("""COMPUTED_VALUE"""),3.0)</f>
        <v>3</v>
      </c>
      <c r="E333" s="9">
        <f>IFERROR(__xludf.DUMMYFUNCTION("""COMPUTED_VALUE"""),213.0)</f>
        <v>213</v>
      </c>
      <c r="F333" s="9">
        <f>IFERROR(__xludf.DUMMYFUNCTION("""COMPUTED_VALUE"""),53.0)</f>
        <v>53</v>
      </c>
      <c r="G333" s="9">
        <f>IFERROR(__xludf.DUMMYFUNCTION("""COMPUTED_VALUE"""),0.0)</f>
        <v>0</v>
      </c>
      <c r="H333" s="9"/>
      <c r="I333" s="9">
        <f>IFERROR(__xludf.DUMMYFUNCTION("""COMPUTED_VALUE"""),2.0)</f>
        <v>2</v>
      </c>
      <c r="J333" s="9">
        <f>IFERROR(__xludf.DUMMYFUNCTION("""COMPUTED_VALUE"""),1.0)</f>
        <v>1</v>
      </c>
      <c r="K333" s="9">
        <f>IFERROR(__xludf.DUMMYFUNCTION("""COMPUTED_VALUE"""),0.0)</f>
        <v>0</v>
      </c>
      <c r="L333" s="9">
        <f>IFERROR(__xludf.DUMMYFUNCTION("""COMPUTED_VALUE"""),0.0)</f>
        <v>0</v>
      </c>
      <c r="M333" s="9">
        <f>IFERROR(__xludf.DUMMYFUNCTION("""COMPUTED_VALUE"""),3.0)</f>
        <v>3</v>
      </c>
      <c r="N333" s="9">
        <f>IFERROR(__xludf.DUMMYFUNCTION("""COMPUTED_VALUE"""),2.0)</f>
        <v>2</v>
      </c>
      <c r="O333" s="9">
        <f>IFERROR(__xludf.DUMMYFUNCTION("""COMPUTED_VALUE"""),0.0)</f>
        <v>0</v>
      </c>
      <c r="P333" s="9">
        <f>IFERROR(__xludf.DUMMYFUNCTION("""COMPUTED_VALUE"""),1.0)</f>
        <v>1</v>
      </c>
      <c r="Q333" s="9">
        <f>IFERROR(__xludf.DUMMYFUNCTION("""COMPUTED_VALUE"""),2.0)</f>
        <v>2</v>
      </c>
      <c r="R333" s="9">
        <f>IFERROR(__xludf.DUMMYFUNCTION("""COMPUTED_VALUE"""),1.0)</f>
        <v>1</v>
      </c>
      <c r="S333" s="9">
        <f>IFERROR(__xludf.DUMMYFUNCTION("""COMPUTED_VALUE"""),0.0)</f>
        <v>0</v>
      </c>
      <c r="T333" s="9">
        <f>IFERROR(__xludf.DUMMYFUNCTION("""COMPUTED_VALUE"""),0.0)</f>
        <v>0</v>
      </c>
      <c r="U333" s="9">
        <f>IFERROR(__xludf.DUMMYFUNCTION("""COMPUTED_VALUE"""),0.0)</f>
        <v>0</v>
      </c>
      <c r="V333" s="9">
        <f>IFERROR(__xludf.DUMMYFUNCTION("""COMPUTED_VALUE"""),3.0)</f>
        <v>3</v>
      </c>
      <c r="W333" s="9">
        <f>IFERROR(__xludf.DUMMYFUNCTION("""COMPUTED_VALUE"""),0.0)</f>
        <v>0</v>
      </c>
      <c r="X333" s="9">
        <f>IFERROR(__xludf.DUMMYFUNCTION("""COMPUTED_VALUE"""),1.0)</f>
        <v>1</v>
      </c>
      <c r="Y333" s="9">
        <f>IFERROR(__xludf.DUMMYFUNCTION("""COMPUTED_VALUE"""),3.0)</f>
        <v>3</v>
      </c>
      <c r="Z333" s="9">
        <f>IFERROR(__xludf.DUMMYFUNCTION("""COMPUTED_VALUE"""),0.0)</f>
        <v>0</v>
      </c>
      <c r="AA333" s="9">
        <f>IFERROR(__xludf.DUMMYFUNCTION("""COMPUTED_VALUE"""),0.0)</f>
        <v>0</v>
      </c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</row>
    <row r="334">
      <c r="A334" s="8">
        <f>IFERROR(__xludf.DUMMYFUNCTION("""COMPUTED_VALUE"""),45452.0)</f>
        <v>45452</v>
      </c>
      <c r="B334" s="9">
        <f>IFERROR(__xludf.DUMMYFUNCTION("""COMPUTED_VALUE"""),0.0)</f>
        <v>0</v>
      </c>
      <c r="C334" s="9">
        <f>IFERROR(__xludf.DUMMYFUNCTION("""COMPUTED_VALUE"""),0.0)</f>
        <v>0</v>
      </c>
      <c r="D334" s="9">
        <f>IFERROR(__xludf.DUMMYFUNCTION("""COMPUTED_VALUE"""),0.0)</f>
        <v>0</v>
      </c>
      <c r="E334" s="9">
        <f>IFERROR(__xludf.DUMMYFUNCTION("""COMPUTED_VALUE"""),0.0)</f>
        <v>0</v>
      </c>
      <c r="F334" s="9">
        <f>IFERROR(__xludf.DUMMYFUNCTION("""COMPUTED_VALUE"""),0.0)</f>
        <v>0</v>
      </c>
      <c r="G334" s="9">
        <f>IFERROR(__xludf.DUMMYFUNCTION("""COMPUTED_VALUE"""),0.0)</f>
        <v>0</v>
      </c>
      <c r="H334" s="9"/>
      <c r="I334" s="9">
        <f>IFERROR(__xludf.DUMMYFUNCTION("""COMPUTED_VALUE"""),0.0)</f>
        <v>0</v>
      </c>
      <c r="J334" s="9">
        <f>IFERROR(__xludf.DUMMYFUNCTION("""COMPUTED_VALUE"""),0.0)</f>
        <v>0</v>
      </c>
      <c r="K334" s="9">
        <f>IFERROR(__xludf.DUMMYFUNCTION("""COMPUTED_VALUE"""),0.0)</f>
        <v>0</v>
      </c>
      <c r="L334" s="9">
        <f>IFERROR(__xludf.DUMMYFUNCTION("""COMPUTED_VALUE"""),0.0)</f>
        <v>0</v>
      </c>
      <c r="M334" s="9">
        <f>IFERROR(__xludf.DUMMYFUNCTION("""COMPUTED_VALUE"""),0.0)</f>
        <v>0</v>
      </c>
      <c r="N334" s="9">
        <f>IFERROR(__xludf.DUMMYFUNCTION("""COMPUTED_VALUE"""),0.0)</f>
        <v>0</v>
      </c>
      <c r="O334" s="9">
        <f>IFERROR(__xludf.DUMMYFUNCTION("""COMPUTED_VALUE"""),0.0)</f>
        <v>0</v>
      </c>
      <c r="P334" s="9">
        <f>IFERROR(__xludf.DUMMYFUNCTION("""COMPUTED_VALUE"""),0.0)</f>
        <v>0</v>
      </c>
      <c r="Q334" s="9">
        <f>IFERROR(__xludf.DUMMYFUNCTION("""COMPUTED_VALUE"""),0.0)</f>
        <v>0</v>
      </c>
      <c r="R334" s="9">
        <f>IFERROR(__xludf.DUMMYFUNCTION("""COMPUTED_VALUE"""),0.0)</f>
        <v>0</v>
      </c>
      <c r="S334" s="9">
        <f>IFERROR(__xludf.DUMMYFUNCTION("""COMPUTED_VALUE"""),0.0)</f>
        <v>0</v>
      </c>
      <c r="T334" s="9">
        <f>IFERROR(__xludf.DUMMYFUNCTION("""COMPUTED_VALUE"""),0.0)</f>
        <v>0</v>
      </c>
      <c r="U334" s="9">
        <f>IFERROR(__xludf.DUMMYFUNCTION("""COMPUTED_VALUE"""),0.0)</f>
        <v>0</v>
      </c>
      <c r="V334" s="9">
        <f>IFERROR(__xludf.DUMMYFUNCTION("""COMPUTED_VALUE"""),0.0)</f>
        <v>0</v>
      </c>
      <c r="W334" s="9">
        <f>IFERROR(__xludf.DUMMYFUNCTION("""COMPUTED_VALUE"""),0.0)</f>
        <v>0</v>
      </c>
      <c r="X334" s="9">
        <f>IFERROR(__xludf.DUMMYFUNCTION("""COMPUTED_VALUE"""),0.0)</f>
        <v>0</v>
      </c>
      <c r="Y334" s="9">
        <f>IFERROR(__xludf.DUMMYFUNCTION("""COMPUTED_VALUE"""),0.0)</f>
        <v>0</v>
      </c>
      <c r="Z334" s="9">
        <f>IFERROR(__xludf.DUMMYFUNCTION("""COMPUTED_VALUE"""),0.0)</f>
        <v>0</v>
      </c>
      <c r="AA334" s="9">
        <f>IFERROR(__xludf.DUMMYFUNCTION("""COMPUTED_VALUE"""),0.0)</f>
        <v>0</v>
      </c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</row>
    <row r="335">
      <c r="A335" s="8">
        <f>IFERROR(__xludf.DUMMYFUNCTION("""COMPUTED_VALUE"""),45453.0)</f>
        <v>45453</v>
      </c>
      <c r="B335" s="9">
        <f>IFERROR(__xludf.DUMMYFUNCTION("""COMPUTED_VALUE"""),14.0)</f>
        <v>14</v>
      </c>
      <c r="C335" s="9">
        <f>IFERROR(__xludf.DUMMYFUNCTION("""COMPUTED_VALUE"""),61.0)</f>
        <v>61</v>
      </c>
      <c r="D335" s="9">
        <f>IFERROR(__xludf.DUMMYFUNCTION("""COMPUTED_VALUE"""),4.0)</f>
        <v>4</v>
      </c>
      <c r="E335" s="9">
        <f>IFERROR(__xludf.DUMMYFUNCTION("""COMPUTED_VALUE"""),1101.0)</f>
        <v>1101</v>
      </c>
      <c r="F335" s="9">
        <f>IFERROR(__xludf.DUMMYFUNCTION("""COMPUTED_VALUE"""),79.0)</f>
        <v>79</v>
      </c>
      <c r="G335" s="9">
        <f>IFERROR(__xludf.DUMMYFUNCTION("""COMPUTED_VALUE"""),0.0)</f>
        <v>0</v>
      </c>
      <c r="H335" s="9"/>
      <c r="I335" s="9">
        <f>IFERROR(__xludf.DUMMYFUNCTION("""COMPUTED_VALUE"""),8.0)</f>
        <v>8</v>
      </c>
      <c r="J335" s="9">
        <f>IFERROR(__xludf.DUMMYFUNCTION("""COMPUTED_VALUE"""),1.0)</f>
        <v>1</v>
      </c>
      <c r="K335" s="9">
        <f>IFERROR(__xludf.DUMMYFUNCTION("""COMPUTED_VALUE"""),0.0)</f>
        <v>0</v>
      </c>
      <c r="L335" s="9">
        <f>IFERROR(__xludf.DUMMYFUNCTION("""COMPUTED_VALUE"""),1.0)</f>
        <v>1</v>
      </c>
      <c r="M335" s="9">
        <f>IFERROR(__xludf.DUMMYFUNCTION("""COMPUTED_VALUE"""),10.0)</f>
        <v>10</v>
      </c>
      <c r="N335" s="9">
        <f>IFERROR(__xludf.DUMMYFUNCTION("""COMPUTED_VALUE"""),9.0)</f>
        <v>9</v>
      </c>
      <c r="O335" s="9">
        <f>IFERROR(__xludf.DUMMYFUNCTION("""COMPUTED_VALUE"""),0.0)</f>
        <v>0</v>
      </c>
      <c r="P335" s="9">
        <f>IFERROR(__xludf.DUMMYFUNCTION("""COMPUTED_VALUE"""),5.0)</f>
        <v>5</v>
      </c>
      <c r="Q335" s="9">
        <f>IFERROR(__xludf.DUMMYFUNCTION("""COMPUTED_VALUE"""),5.0)</f>
        <v>5</v>
      </c>
      <c r="R335" s="9">
        <f>IFERROR(__xludf.DUMMYFUNCTION("""COMPUTED_VALUE"""),5.0)</f>
        <v>5</v>
      </c>
      <c r="S335" s="9">
        <f>IFERROR(__xludf.DUMMYFUNCTION("""COMPUTED_VALUE"""),8.0)</f>
        <v>8</v>
      </c>
      <c r="T335" s="9">
        <f>IFERROR(__xludf.DUMMYFUNCTION("""COMPUTED_VALUE"""),0.0)</f>
        <v>0</v>
      </c>
      <c r="U335" s="9">
        <f>IFERROR(__xludf.DUMMYFUNCTION("""COMPUTED_VALUE"""),0.0)</f>
        <v>0</v>
      </c>
      <c r="V335" s="9">
        <f>IFERROR(__xludf.DUMMYFUNCTION("""COMPUTED_VALUE"""),10.0)</f>
        <v>10</v>
      </c>
      <c r="W335" s="9">
        <f>IFERROR(__xludf.DUMMYFUNCTION("""COMPUTED_VALUE"""),0.0)</f>
        <v>0</v>
      </c>
      <c r="X335" s="9">
        <f>IFERROR(__xludf.DUMMYFUNCTION("""COMPUTED_VALUE"""),10.0)</f>
        <v>10</v>
      </c>
      <c r="Y335" s="9">
        <f>IFERROR(__xludf.DUMMYFUNCTION("""COMPUTED_VALUE"""),10.0)</f>
        <v>10</v>
      </c>
      <c r="Z335" s="9">
        <f>IFERROR(__xludf.DUMMYFUNCTION("""COMPUTED_VALUE"""),0.0)</f>
        <v>0</v>
      </c>
      <c r="AA335" s="9">
        <f>IFERROR(__xludf.DUMMYFUNCTION("""COMPUTED_VALUE"""),0.0)</f>
        <v>0</v>
      </c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</row>
    <row r="336">
      <c r="A336" s="8">
        <f>IFERROR(__xludf.DUMMYFUNCTION("""COMPUTED_VALUE"""),45454.0)</f>
        <v>45454</v>
      </c>
      <c r="B336" s="9">
        <f>IFERROR(__xludf.DUMMYFUNCTION("""COMPUTED_VALUE"""),10.0)</f>
        <v>10</v>
      </c>
      <c r="C336" s="9">
        <f>IFERROR(__xludf.DUMMYFUNCTION("""COMPUTED_VALUE"""),31.0)</f>
        <v>31</v>
      </c>
      <c r="D336" s="9">
        <f>IFERROR(__xludf.DUMMYFUNCTION("""COMPUTED_VALUE"""),3.0)</f>
        <v>3</v>
      </c>
      <c r="E336" s="9">
        <f>IFERROR(__xludf.DUMMYFUNCTION("""COMPUTED_VALUE"""),521.0)</f>
        <v>521</v>
      </c>
      <c r="F336" s="9">
        <f>IFERROR(__xludf.DUMMYFUNCTION("""COMPUTED_VALUE"""),52.0)</f>
        <v>52</v>
      </c>
      <c r="G336" s="9">
        <f>IFERROR(__xludf.DUMMYFUNCTION("""COMPUTED_VALUE"""),0.0)</f>
        <v>0</v>
      </c>
      <c r="H336" s="9"/>
      <c r="I336" s="9">
        <f>IFERROR(__xludf.DUMMYFUNCTION("""COMPUTED_VALUE"""),8.0)</f>
        <v>8</v>
      </c>
      <c r="J336" s="9">
        <f>IFERROR(__xludf.DUMMYFUNCTION("""COMPUTED_VALUE"""),1.0)</f>
        <v>1</v>
      </c>
      <c r="K336" s="9">
        <f>IFERROR(__xludf.DUMMYFUNCTION("""COMPUTED_VALUE"""),0.0)</f>
        <v>0</v>
      </c>
      <c r="L336" s="9">
        <f>IFERROR(__xludf.DUMMYFUNCTION("""COMPUTED_VALUE"""),0.0)</f>
        <v>0</v>
      </c>
      <c r="M336" s="9">
        <f>IFERROR(__xludf.DUMMYFUNCTION("""COMPUTED_VALUE"""),9.0)</f>
        <v>9</v>
      </c>
      <c r="N336" s="9">
        <f>IFERROR(__xludf.DUMMYFUNCTION("""COMPUTED_VALUE"""),9.0)</f>
        <v>9</v>
      </c>
      <c r="O336" s="9">
        <f>IFERROR(__xludf.DUMMYFUNCTION("""COMPUTED_VALUE"""),0.0)</f>
        <v>0</v>
      </c>
      <c r="P336" s="9">
        <f>IFERROR(__xludf.DUMMYFUNCTION("""COMPUTED_VALUE"""),1.0)</f>
        <v>1</v>
      </c>
      <c r="Q336" s="9">
        <f>IFERROR(__xludf.DUMMYFUNCTION("""COMPUTED_VALUE"""),4.0)</f>
        <v>4</v>
      </c>
      <c r="R336" s="9">
        <f>IFERROR(__xludf.DUMMYFUNCTION("""COMPUTED_VALUE"""),1.0)</f>
        <v>1</v>
      </c>
      <c r="S336" s="9">
        <f>IFERROR(__xludf.DUMMYFUNCTION("""COMPUTED_VALUE"""),2.0)</f>
        <v>2</v>
      </c>
      <c r="T336" s="9">
        <f>IFERROR(__xludf.DUMMYFUNCTION("""COMPUTED_VALUE"""),0.0)</f>
        <v>0</v>
      </c>
      <c r="U336" s="9">
        <f>IFERROR(__xludf.DUMMYFUNCTION("""COMPUTED_VALUE"""),0.0)</f>
        <v>0</v>
      </c>
      <c r="V336" s="9">
        <f>IFERROR(__xludf.DUMMYFUNCTION("""COMPUTED_VALUE"""),5.0)</f>
        <v>5</v>
      </c>
      <c r="W336" s="9">
        <f>IFERROR(__xludf.DUMMYFUNCTION("""COMPUTED_VALUE"""),0.0)</f>
        <v>0</v>
      </c>
      <c r="X336" s="9">
        <f>IFERROR(__xludf.DUMMYFUNCTION("""COMPUTED_VALUE"""),5.0)</f>
        <v>5</v>
      </c>
      <c r="Y336" s="9">
        <f>IFERROR(__xludf.DUMMYFUNCTION("""COMPUTED_VALUE"""),5.0)</f>
        <v>5</v>
      </c>
      <c r="Z336" s="9">
        <f>IFERROR(__xludf.DUMMYFUNCTION("""COMPUTED_VALUE"""),0.0)</f>
        <v>0</v>
      </c>
      <c r="AA336" s="9">
        <f>IFERROR(__xludf.DUMMYFUNCTION("""COMPUTED_VALUE"""),0.0)</f>
        <v>0</v>
      </c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</row>
    <row r="337">
      <c r="A337" s="8">
        <f>IFERROR(__xludf.DUMMYFUNCTION("""COMPUTED_VALUE"""),45455.0)</f>
        <v>45455</v>
      </c>
      <c r="B337" s="9">
        <f>IFERROR(__xludf.DUMMYFUNCTION("""COMPUTED_VALUE"""),14.0)</f>
        <v>14</v>
      </c>
      <c r="C337" s="9">
        <f>IFERROR(__xludf.DUMMYFUNCTION("""COMPUTED_VALUE"""),59.0)</f>
        <v>59</v>
      </c>
      <c r="D337" s="9">
        <f>IFERROR(__xludf.DUMMYFUNCTION("""COMPUTED_VALUE"""),4.0)</f>
        <v>4</v>
      </c>
      <c r="E337" s="9">
        <f>IFERROR(__xludf.DUMMYFUNCTION("""COMPUTED_VALUE"""),1024.0)</f>
        <v>1024</v>
      </c>
      <c r="F337" s="9">
        <f>IFERROR(__xludf.DUMMYFUNCTION("""COMPUTED_VALUE"""),73.0)</f>
        <v>73</v>
      </c>
      <c r="G337" s="9">
        <f>IFERROR(__xludf.DUMMYFUNCTION("""COMPUTED_VALUE"""),0.0)</f>
        <v>0</v>
      </c>
      <c r="H337" s="9"/>
      <c r="I337" s="9">
        <f>IFERROR(__xludf.DUMMYFUNCTION("""COMPUTED_VALUE"""),18.0)</f>
        <v>18</v>
      </c>
      <c r="J337" s="9">
        <f>IFERROR(__xludf.DUMMYFUNCTION("""COMPUTED_VALUE"""),2.0)</f>
        <v>2</v>
      </c>
      <c r="K337" s="9">
        <f>IFERROR(__xludf.DUMMYFUNCTION("""COMPUTED_VALUE"""),1.0)</f>
        <v>1</v>
      </c>
      <c r="L337" s="9">
        <f>IFERROR(__xludf.DUMMYFUNCTION("""COMPUTED_VALUE"""),0.0)</f>
        <v>0</v>
      </c>
      <c r="M337" s="9">
        <f>IFERROR(__xludf.DUMMYFUNCTION("""COMPUTED_VALUE"""),21.0)</f>
        <v>21</v>
      </c>
      <c r="N337" s="9">
        <f>IFERROR(__xludf.DUMMYFUNCTION("""COMPUTED_VALUE"""),12.0)</f>
        <v>12</v>
      </c>
      <c r="O337" s="9">
        <f>IFERROR(__xludf.DUMMYFUNCTION("""COMPUTED_VALUE"""),0.0)</f>
        <v>0</v>
      </c>
      <c r="P337" s="9">
        <f>IFERROR(__xludf.DUMMYFUNCTION("""COMPUTED_VALUE"""),1.0)</f>
        <v>1</v>
      </c>
      <c r="Q337" s="9">
        <f>IFERROR(__xludf.DUMMYFUNCTION("""COMPUTED_VALUE"""),7.0)</f>
        <v>7</v>
      </c>
      <c r="R337" s="9">
        <f>IFERROR(__xludf.DUMMYFUNCTION("""COMPUTED_VALUE"""),1.0)</f>
        <v>1</v>
      </c>
      <c r="S337" s="9">
        <f>IFERROR(__xludf.DUMMYFUNCTION("""COMPUTED_VALUE"""),6.0)</f>
        <v>6</v>
      </c>
      <c r="T337" s="9">
        <f>IFERROR(__xludf.DUMMYFUNCTION("""COMPUTED_VALUE"""),0.0)</f>
        <v>0</v>
      </c>
      <c r="U337" s="9">
        <f>IFERROR(__xludf.DUMMYFUNCTION("""COMPUTED_VALUE"""),0.0)</f>
        <v>0</v>
      </c>
      <c r="V337" s="9">
        <f>IFERROR(__xludf.DUMMYFUNCTION("""COMPUTED_VALUE"""),8.0)</f>
        <v>8</v>
      </c>
      <c r="W337" s="9">
        <f>IFERROR(__xludf.DUMMYFUNCTION("""COMPUTED_VALUE"""),0.0)</f>
        <v>0</v>
      </c>
      <c r="X337" s="9">
        <f>IFERROR(__xludf.DUMMYFUNCTION("""COMPUTED_VALUE"""),11.0)</f>
        <v>11</v>
      </c>
      <c r="Y337" s="9">
        <f>IFERROR(__xludf.DUMMYFUNCTION("""COMPUTED_VALUE"""),9.0)</f>
        <v>9</v>
      </c>
      <c r="Z337" s="9">
        <f>IFERROR(__xludf.DUMMYFUNCTION("""COMPUTED_VALUE"""),0.0)</f>
        <v>0</v>
      </c>
      <c r="AA337" s="9">
        <f>IFERROR(__xludf.DUMMYFUNCTION("""COMPUTED_VALUE"""),0.0)</f>
        <v>0</v>
      </c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</row>
    <row r="338">
      <c r="A338" s="8">
        <f>IFERROR(__xludf.DUMMYFUNCTION("""COMPUTED_VALUE"""),45456.0)</f>
        <v>45456</v>
      </c>
      <c r="B338" s="9">
        <f>IFERROR(__xludf.DUMMYFUNCTION("""COMPUTED_VALUE"""),9.0)</f>
        <v>9</v>
      </c>
      <c r="C338" s="9">
        <f>IFERROR(__xludf.DUMMYFUNCTION("""COMPUTED_VALUE"""),43.0)</f>
        <v>43</v>
      </c>
      <c r="D338" s="9">
        <f>IFERROR(__xludf.DUMMYFUNCTION("""COMPUTED_VALUE"""),5.0)</f>
        <v>5</v>
      </c>
      <c r="E338" s="9">
        <f>IFERROR(__xludf.DUMMYFUNCTION("""COMPUTED_VALUE"""),807.0)</f>
        <v>807</v>
      </c>
      <c r="F338" s="9">
        <f>IFERROR(__xludf.DUMMYFUNCTION("""COMPUTED_VALUE"""),90.0)</f>
        <v>90</v>
      </c>
      <c r="G338" s="9">
        <f>IFERROR(__xludf.DUMMYFUNCTION("""COMPUTED_VALUE"""),0.0)</f>
        <v>0</v>
      </c>
      <c r="H338" s="9"/>
      <c r="I338" s="9">
        <f>IFERROR(__xludf.DUMMYFUNCTION("""COMPUTED_VALUE"""),9.0)</f>
        <v>9</v>
      </c>
      <c r="J338" s="9">
        <f>IFERROR(__xludf.DUMMYFUNCTION("""COMPUTED_VALUE"""),0.0)</f>
        <v>0</v>
      </c>
      <c r="K338" s="9">
        <f>IFERROR(__xludf.DUMMYFUNCTION("""COMPUTED_VALUE"""),0.0)</f>
        <v>0</v>
      </c>
      <c r="L338" s="9">
        <f>IFERROR(__xludf.DUMMYFUNCTION("""COMPUTED_VALUE"""),0.0)</f>
        <v>0</v>
      </c>
      <c r="M338" s="9">
        <f>IFERROR(__xludf.DUMMYFUNCTION("""COMPUTED_VALUE"""),9.0)</f>
        <v>9</v>
      </c>
      <c r="N338" s="9">
        <f>IFERROR(__xludf.DUMMYFUNCTION("""COMPUTED_VALUE"""),5.0)</f>
        <v>5</v>
      </c>
      <c r="O338" s="9">
        <f>IFERROR(__xludf.DUMMYFUNCTION("""COMPUTED_VALUE"""),0.0)</f>
        <v>0</v>
      </c>
      <c r="P338" s="9">
        <f>IFERROR(__xludf.DUMMYFUNCTION("""COMPUTED_VALUE"""),4.0)</f>
        <v>4</v>
      </c>
      <c r="Q338" s="9">
        <f>IFERROR(__xludf.DUMMYFUNCTION("""COMPUTED_VALUE"""),3.0)</f>
        <v>3</v>
      </c>
      <c r="R338" s="9">
        <f>IFERROR(__xludf.DUMMYFUNCTION("""COMPUTED_VALUE"""),2.0)</f>
        <v>2</v>
      </c>
      <c r="S338" s="9">
        <f>IFERROR(__xludf.DUMMYFUNCTION("""COMPUTED_VALUE"""),13.0)</f>
        <v>13</v>
      </c>
      <c r="T338" s="9">
        <f>IFERROR(__xludf.DUMMYFUNCTION("""COMPUTED_VALUE"""),0.0)</f>
        <v>0</v>
      </c>
      <c r="U338" s="9">
        <f>IFERROR(__xludf.DUMMYFUNCTION("""COMPUTED_VALUE"""),0.0)</f>
        <v>0</v>
      </c>
      <c r="V338" s="9">
        <f>IFERROR(__xludf.DUMMYFUNCTION("""COMPUTED_VALUE"""),5.0)</f>
        <v>5</v>
      </c>
      <c r="W338" s="9">
        <f>IFERROR(__xludf.DUMMYFUNCTION("""COMPUTED_VALUE"""),0.0)</f>
        <v>0</v>
      </c>
      <c r="X338" s="9">
        <f>IFERROR(__xludf.DUMMYFUNCTION("""COMPUTED_VALUE"""),6.0)</f>
        <v>6</v>
      </c>
      <c r="Y338" s="9">
        <f>IFERROR(__xludf.DUMMYFUNCTION("""COMPUTED_VALUE"""),5.0)</f>
        <v>5</v>
      </c>
      <c r="Z338" s="9">
        <f>IFERROR(__xludf.DUMMYFUNCTION("""COMPUTED_VALUE"""),0.0)</f>
        <v>0</v>
      </c>
      <c r="AA338" s="9">
        <f>IFERROR(__xludf.DUMMYFUNCTION("""COMPUTED_VALUE"""),0.0)</f>
        <v>0</v>
      </c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  <c r="PG338" s="9"/>
      <c r="PH338" s="9"/>
      <c r="PI338" s="9"/>
      <c r="PJ338" s="9"/>
      <c r="PK338" s="9"/>
      <c r="PL338" s="9"/>
      <c r="PM338" s="9"/>
      <c r="PN338" s="9"/>
      <c r="PO338" s="9"/>
      <c r="PP338" s="9"/>
      <c r="PQ338" s="9"/>
      <c r="PR338" s="9"/>
      <c r="PS338" s="9"/>
      <c r="PT338" s="9"/>
      <c r="PU338" s="9"/>
      <c r="PV338" s="9"/>
      <c r="PW338" s="9"/>
      <c r="PX338" s="9"/>
      <c r="PY338" s="9"/>
      <c r="PZ338" s="9"/>
      <c r="QA338" s="9"/>
      <c r="QB338" s="9"/>
      <c r="QC338" s="9"/>
      <c r="QD338" s="9"/>
      <c r="QE338" s="9"/>
      <c r="QF338" s="9"/>
      <c r="QG338" s="9"/>
      <c r="QH338" s="9"/>
      <c r="QI338" s="9"/>
      <c r="QJ338" s="9"/>
      <c r="QK338" s="9"/>
      <c r="QL338" s="9"/>
      <c r="QM338" s="9"/>
      <c r="QN338" s="9"/>
      <c r="QO338" s="9"/>
      <c r="QP338" s="9"/>
      <c r="QQ338" s="9"/>
      <c r="QR338" s="9"/>
      <c r="QS338" s="9"/>
      <c r="QT338" s="9"/>
      <c r="QU338" s="9"/>
      <c r="QV338" s="9"/>
      <c r="QW338" s="9"/>
      <c r="QX338" s="9"/>
      <c r="QY338" s="9"/>
      <c r="QZ338" s="9"/>
      <c r="RA338" s="9"/>
      <c r="RB338" s="9"/>
      <c r="RC338" s="9"/>
      <c r="RD338" s="9"/>
      <c r="RE338" s="9"/>
      <c r="RF338" s="9"/>
      <c r="RG338" s="9"/>
      <c r="RH338" s="9"/>
      <c r="RI338" s="9"/>
      <c r="RJ338" s="9"/>
      <c r="RK338" s="9"/>
      <c r="RL338" s="9"/>
      <c r="RM338" s="9"/>
      <c r="RN338" s="9"/>
      <c r="RO338" s="9"/>
      <c r="RP338" s="9"/>
      <c r="RQ338" s="9"/>
      <c r="RR338" s="9"/>
      <c r="RS338" s="9"/>
      <c r="RT338" s="9"/>
      <c r="RU338" s="9"/>
      <c r="RV338" s="9"/>
      <c r="RW338" s="9"/>
      <c r="RX338" s="9"/>
      <c r="RY338" s="9"/>
      <c r="RZ338" s="9"/>
      <c r="SA338" s="9"/>
      <c r="SB338" s="9"/>
      <c r="SC338" s="9"/>
      <c r="SD338" s="9"/>
      <c r="SE338" s="9"/>
      <c r="SF338" s="9"/>
      <c r="SG338" s="9"/>
      <c r="SH338" s="9"/>
      <c r="SI338" s="9"/>
      <c r="SJ338" s="9"/>
      <c r="SK338" s="9"/>
      <c r="SL338" s="9"/>
      <c r="SM338" s="9"/>
      <c r="SN338" s="9"/>
      <c r="SO338" s="9"/>
      <c r="SP338" s="9"/>
      <c r="SQ338" s="9"/>
      <c r="SR338" s="9"/>
      <c r="SS338" s="9"/>
      <c r="ST338" s="9"/>
      <c r="SU338" s="9"/>
      <c r="SV338" s="9"/>
      <c r="SW338" s="9"/>
      <c r="SX338" s="9"/>
      <c r="SY338" s="9"/>
      <c r="SZ338" s="9"/>
      <c r="TA338" s="9"/>
      <c r="TB338" s="9"/>
      <c r="TC338" s="9"/>
      <c r="TD338" s="9"/>
      <c r="TE338" s="9"/>
      <c r="TF338" s="9"/>
      <c r="TG338" s="9"/>
      <c r="TH338" s="9"/>
      <c r="TI338" s="9"/>
      <c r="TJ338" s="9"/>
      <c r="TK338" s="9"/>
      <c r="TL338" s="9"/>
      <c r="TM338" s="9"/>
      <c r="TN338" s="9"/>
      <c r="TO338" s="9"/>
      <c r="TP338" s="9"/>
      <c r="TQ338" s="9"/>
      <c r="TR338" s="9"/>
      <c r="TS338" s="9"/>
      <c r="TT338" s="9"/>
      <c r="TU338" s="9"/>
      <c r="TV338" s="9"/>
      <c r="TW338" s="9"/>
      <c r="TX338" s="9"/>
      <c r="TY338" s="9"/>
      <c r="TZ338" s="9"/>
      <c r="UA338" s="9"/>
      <c r="UB338" s="9"/>
      <c r="UC338" s="9"/>
      <c r="UD338" s="9"/>
      <c r="UE338" s="9"/>
      <c r="UF338" s="9"/>
      <c r="UG338" s="9"/>
      <c r="UH338" s="9"/>
      <c r="UI338" s="9"/>
      <c r="UJ338" s="9"/>
    </row>
    <row r="339">
      <c r="A339" s="8">
        <f>IFERROR(__xludf.DUMMYFUNCTION("""COMPUTED_VALUE"""),45457.0)</f>
        <v>45457</v>
      </c>
      <c r="B339" s="9">
        <f>IFERROR(__xludf.DUMMYFUNCTION("""COMPUTED_VALUE"""),25.0)</f>
        <v>25</v>
      </c>
      <c r="C339" s="9">
        <f>IFERROR(__xludf.DUMMYFUNCTION("""COMPUTED_VALUE"""),100.0)</f>
        <v>100</v>
      </c>
      <c r="D339" s="9">
        <f>IFERROR(__xludf.DUMMYFUNCTION("""COMPUTED_VALUE"""),4.0)</f>
        <v>4</v>
      </c>
      <c r="E339" s="9">
        <f>IFERROR(__xludf.DUMMYFUNCTION("""COMPUTED_VALUE"""),1569.0)</f>
        <v>1569</v>
      </c>
      <c r="F339" s="9">
        <f>IFERROR(__xludf.DUMMYFUNCTION("""COMPUTED_VALUE"""),63.0)</f>
        <v>63</v>
      </c>
      <c r="G339" s="9">
        <f>IFERROR(__xludf.DUMMYFUNCTION("""COMPUTED_VALUE"""),0.0)</f>
        <v>0</v>
      </c>
      <c r="H339" s="9"/>
      <c r="I339" s="9">
        <f>IFERROR(__xludf.DUMMYFUNCTION("""COMPUTED_VALUE"""),12.0)</f>
        <v>12</v>
      </c>
      <c r="J339" s="9">
        <f>IFERROR(__xludf.DUMMYFUNCTION("""COMPUTED_VALUE"""),5.0)</f>
        <v>5</v>
      </c>
      <c r="K339" s="9">
        <f>IFERROR(__xludf.DUMMYFUNCTION("""COMPUTED_VALUE"""),1.0)</f>
        <v>1</v>
      </c>
      <c r="L339" s="9">
        <f>IFERROR(__xludf.DUMMYFUNCTION("""COMPUTED_VALUE"""),0.0)</f>
        <v>0</v>
      </c>
      <c r="M339" s="9">
        <f>IFERROR(__xludf.DUMMYFUNCTION("""COMPUTED_VALUE"""),18.0)</f>
        <v>18</v>
      </c>
      <c r="N339" s="9">
        <f>IFERROR(__xludf.DUMMYFUNCTION("""COMPUTED_VALUE"""),18.0)</f>
        <v>18</v>
      </c>
      <c r="O339" s="9">
        <f>IFERROR(__xludf.DUMMYFUNCTION("""COMPUTED_VALUE"""),0.0)</f>
        <v>0</v>
      </c>
      <c r="P339" s="9">
        <f>IFERROR(__xludf.DUMMYFUNCTION("""COMPUTED_VALUE"""),6.0)</f>
        <v>6</v>
      </c>
      <c r="Q339" s="9">
        <f>IFERROR(__xludf.DUMMYFUNCTION("""COMPUTED_VALUE"""),8.0)</f>
        <v>8</v>
      </c>
      <c r="R339" s="9">
        <f>IFERROR(__xludf.DUMMYFUNCTION("""COMPUTED_VALUE"""),4.0)</f>
        <v>4</v>
      </c>
      <c r="S339" s="9">
        <f>IFERROR(__xludf.DUMMYFUNCTION("""COMPUTED_VALUE"""),7.0)</f>
        <v>7</v>
      </c>
      <c r="T339" s="9">
        <f>IFERROR(__xludf.DUMMYFUNCTION("""COMPUTED_VALUE"""),0.0)</f>
        <v>0</v>
      </c>
      <c r="U339" s="9">
        <f>IFERROR(__xludf.DUMMYFUNCTION("""COMPUTED_VALUE"""),0.0)</f>
        <v>0</v>
      </c>
      <c r="V339" s="9">
        <f>IFERROR(__xludf.DUMMYFUNCTION("""COMPUTED_VALUE"""),12.0)</f>
        <v>12</v>
      </c>
      <c r="W339" s="9">
        <f>IFERROR(__xludf.DUMMYFUNCTION("""COMPUTED_VALUE"""),0.0)</f>
        <v>0</v>
      </c>
      <c r="X339" s="9">
        <f>IFERROR(__xludf.DUMMYFUNCTION("""COMPUTED_VALUE"""),15.0)</f>
        <v>15</v>
      </c>
      <c r="Y339" s="9">
        <f>IFERROR(__xludf.DUMMYFUNCTION("""COMPUTED_VALUE"""),16.0)</f>
        <v>16</v>
      </c>
      <c r="Z339" s="9">
        <f>IFERROR(__xludf.DUMMYFUNCTION("""COMPUTED_VALUE"""),0.0)</f>
        <v>0</v>
      </c>
      <c r="AA339" s="9">
        <f>IFERROR(__xludf.DUMMYFUNCTION("""COMPUTED_VALUE"""),0.0)</f>
        <v>0</v>
      </c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</row>
    <row r="340">
      <c r="A340" s="8">
        <f>IFERROR(__xludf.DUMMYFUNCTION("""COMPUTED_VALUE"""),45458.0)</f>
        <v>45458</v>
      </c>
      <c r="B340" s="9">
        <f>IFERROR(__xludf.DUMMYFUNCTION("""COMPUTED_VALUE"""),5.0)</f>
        <v>5</v>
      </c>
      <c r="C340" s="9">
        <f>IFERROR(__xludf.DUMMYFUNCTION("""COMPUTED_VALUE"""),16.0)</f>
        <v>16</v>
      </c>
      <c r="D340" s="9">
        <f>IFERROR(__xludf.DUMMYFUNCTION("""COMPUTED_VALUE"""),3.0)</f>
        <v>3</v>
      </c>
      <c r="E340" s="9">
        <f>IFERROR(__xludf.DUMMYFUNCTION("""COMPUTED_VALUE"""),246.0)</f>
        <v>246</v>
      </c>
      <c r="F340" s="9">
        <f>IFERROR(__xludf.DUMMYFUNCTION("""COMPUTED_VALUE"""),49.0)</f>
        <v>49</v>
      </c>
      <c r="G340" s="9">
        <f>IFERROR(__xludf.DUMMYFUNCTION("""COMPUTED_VALUE"""),0.0)</f>
        <v>0</v>
      </c>
      <c r="H340" s="9"/>
      <c r="I340" s="9">
        <f>IFERROR(__xludf.DUMMYFUNCTION("""COMPUTED_VALUE"""),5.0)</f>
        <v>5</v>
      </c>
      <c r="J340" s="9">
        <f>IFERROR(__xludf.DUMMYFUNCTION("""COMPUTED_VALUE"""),0.0)</f>
        <v>0</v>
      </c>
      <c r="K340" s="9">
        <f>IFERROR(__xludf.DUMMYFUNCTION("""COMPUTED_VALUE"""),0.0)</f>
        <v>0</v>
      </c>
      <c r="L340" s="9">
        <f>IFERROR(__xludf.DUMMYFUNCTION("""COMPUTED_VALUE"""),0.0)</f>
        <v>0</v>
      </c>
      <c r="M340" s="9">
        <f>IFERROR(__xludf.DUMMYFUNCTION("""COMPUTED_VALUE"""),5.0)</f>
        <v>5</v>
      </c>
      <c r="N340" s="9">
        <f>IFERROR(__xludf.DUMMYFUNCTION("""COMPUTED_VALUE"""),2.0)</f>
        <v>2</v>
      </c>
      <c r="O340" s="9">
        <f>IFERROR(__xludf.DUMMYFUNCTION("""COMPUTED_VALUE"""),0.0)</f>
        <v>0</v>
      </c>
      <c r="P340" s="9">
        <f>IFERROR(__xludf.DUMMYFUNCTION("""COMPUTED_VALUE"""),3.0)</f>
        <v>3</v>
      </c>
      <c r="Q340" s="9">
        <f>IFERROR(__xludf.DUMMYFUNCTION("""COMPUTED_VALUE"""),1.0)</f>
        <v>1</v>
      </c>
      <c r="R340" s="9">
        <f>IFERROR(__xludf.DUMMYFUNCTION("""COMPUTED_VALUE"""),2.0)</f>
        <v>2</v>
      </c>
      <c r="S340" s="9">
        <f>IFERROR(__xludf.DUMMYFUNCTION("""COMPUTED_VALUE"""),1.0)</f>
        <v>1</v>
      </c>
      <c r="T340" s="9">
        <f>IFERROR(__xludf.DUMMYFUNCTION("""COMPUTED_VALUE"""),0.0)</f>
        <v>0</v>
      </c>
      <c r="U340" s="9">
        <f>IFERROR(__xludf.DUMMYFUNCTION("""COMPUTED_VALUE"""),0.0)</f>
        <v>0</v>
      </c>
      <c r="V340" s="9">
        <f>IFERROR(__xludf.DUMMYFUNCTION("""COMPUTED_VALUE"""),3.0)</f>
        <v>3</v>
      </c>
      <c r="W340" s="9">
        <f>IFERROR(__xludf.DUMMYFUNCTION("""COMPUTED_VALUE"""),0.0)</f>
        <v>0</v>
      </c>
      <c r="X340" s="9">
        <f>IFERROR(__xludf.DUMMYFUNCTION("""COMPUTED_VALUE"""),1.0)</f>
        <v>1</v>
      </c>
      <c r="Y340" s="9">
        <f>IFERROR(__xludf.DUMMYFUNCTION("""COMPUTED_VALUE"""),4.0)</f>
        <v>4</v>
      </c>
      <c r="Z340" s="9">
        <f>IFERROR(__xludf.DUMMYFUNCTION("""COMPUTED_VALUE"""),0.0)</f>
        <v>0</v>
      </c>
      <c r="AA340" s="9">
        <f>IFERROR(__xludf.DUMMYFUNCTION("""COMPUTED_VALUE"""),0.0)</f>
        <v>0</v>
      </c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  <c r="PG340" s="9"/>
      <c r="PH340" s="9"/>
      <c r="PI340" s="9"/>
      <c r="PJ340" s="9"/>
      <c r="PK340" s="9"/>
      <c r="PL340" s="9"/>
      <c r="PM340" s="9"/>
      <c r="PN340" s="9"/>
      <c r="PO340" s="9"/>
      <c r="PP340" s="9"/>
      <c r="PQ340" s="9"/>
      <c r="PR340" s="9"/>
      <c r="PS340" s="9"/>
      <c r="PT340" s="9"/>
      <c r="PU340" s="9"/>
      <c r="PV340" s="9"/>
      <c r="PW340" s="9"/>
      <c r="PX340" s="9"/>
      <c r="PY340" s="9"/>
      <c r="PZ340" s="9"/>
      <c r="QA340" s="9"/>
      <c r="QB340" s="9"/>
      <c r="QC340" s="9"/>
      <c r="QD340" s="9"/>
      <c r="QE340" s="9"/>
      <c r="QF340" s="9"/>
      <c r="QG340" s="9"/>
      <c r="QH340" s="9"/>
      <c r="QI340" s="9"/>
      <c r="QJ340" s="9"/>
      <c r="QK340" s="9"/>
      <c r="QL340" s="9"/>
      <c r="QM340" s="9"/>
      <c r="QN340" s="9"/>
      <c r="QO340" s="9"/>
      <c r="QP340" s="9"/>
      <c r="QQ340" s="9"/>
      <c r="QR340" s="9"/>
      <c r="QS340" s="9"/>
      <c r="QT340" s="9"/>
      <c r="QU340" s="9"/>
      <c r="QV340" s="9"/>
      <c r="QW340" s="9"/>
      <c r="QX340" s="9"/>
      <c r="QY340" s="9"/>
      <c r="QZ340" s="9"/>
      <c r="RA340" s="9"/>
      <c r="RB340" s="9"/>
      <c r="RC340" s="9"/>
      <c r="RD340" s="9"/>
      <c r="RE340" s="9"/>
      <c r="RF340" s="9"/>
      <c r="RG340" s="9"/>
      <c r="RH340" s="9"/>
      <c r="RI340" s="9"/>
      <c r="RJ340" s="9"/>
      <c r="RK340" s="9"/>
      <c r="RL340" s="9"/>
      <c r="RM340" s="9"/>
      <c r="RN340" s="9"/>
      <c r="RO340" s="9"/>
      <c r="RP340" s="9"/>
      <c r="RQ340" s="9"/>
      <c r="RR340" s="9"/>
      <c r="RS340" s="9"/>
      <c r="RT340" s="9"/>
      <c r="RU340" s="9"/>
      <c r="RV340" s="9"/>
      <c r="RW340" s="9"/>
      <c r="RX340" s="9"/>
      <c r="RY340" s="9"/>
      <c r="RZ340" s="9"/>
      <c r="SA340" s="9"/>
      <c r="SB340" s="9"/>
      <c r="SC340" s="9"/>
      <c r="SD340" s="9"/>
      <c r="SE340" s="9"/>
      <c r="SF340" s="9"/>
      <c r="SG340" s="9"/>
      <c r="SH340" s="9"/>
      <c r="SI340" s="9"/>
      <c r="SJ340" s="9"/>
      <c r="SK340" s="9"/>
      <c r="SL340" s="9"/>
      <c r="SM340" s="9"/>
      <c r="SN340" s="9"/>
      <c r="SO340" s="9"/>
      <c r="SP340" s="9"/>
      <c r="SQ340" s="9"/>
      <c r="SR340" s="9"/>
      <c r="SS340" s="9"/>
      <c r="ST340" s="9"/>
      <c r="SU340" s="9"/>
      <c r="SV340" s="9"/>
      <c r="SW340" s="9"/>
      <c r="SX340" s="9"/>
      <c r="SY340" s="9"/>
      <c r="SZ340" s="9"/>
      <c r="TA340" s="9"/>
      <c r="TB340" s="9"/>
      <c r="TC340" s="9"/>
      <c r="TD340" s="9"/>
      <c r="TE340" s="9"/>
      <c r="TF340" s="9"/>
      <c r="TG340" s="9"/>
      <c r="TH340" s="9"/>
      <c r="TI340" s="9"/>
      <c r="TJ340" s="9"/>
      <c r="TK340" s="9"/>
      <c r="TL340" s="9"/>
      <c r="TM340" s="9"/>
      <c r="TN340" s="9"/>
      <c r="TO340" s="9"/>
      <c r="TP340" s="9"/>
      <c r="TQ340" s="9"/>
      <c r="TR340" s="9"/>
      <c r="TS340" s="9"/>
      <c r="TT340" s="9"/>
      <c r="TU340" s="9"/>
      <c r="TV340" s="9"/>
      <c r="TW340" s="9"/>
      <c r="TX340" s="9"/>
      <c r="TY340" s="9"/>
      <c r="TZ340" s="9"/>
      <c r="UA340" s="9"/>
      <c r="UB340" s="9"/>
      <c r="UC340" s="9"/>
      <c r="UD340" s="9"/>
      <c r="UE340" s="9"/>
      <c r="UF340" s="9"/>
      <c r="UG340" s="9"/>
      <c r="UH340" s="9"/>
      <c r="UI340" s="9"/>
      <c r="UJ340" s="9"/>
    </row>
    <row r="341">
      <c r="A341" s="8">
        <f>IFERROR(__xludf.DUMMYFUNCTION("""COMPUTED_VALUE"""),45459.0)</f>
        <v>45459</v>
      </c>
      <c r="B341" s="9">
        <f>IFERROR(__xludf.DUMMYFUNCTION("""COMPUTED_VALUE"""),0.0)</f>
        <v>0</v>
      </c>
      <c r="C341" s="9">
        <f>IFERROR(__xludf.DUMMYFUNCTION("""COMPUTED_VALUE"""),0.0)</f>
        <v>0</v>
      </c>
      <c r="D341" s="9">
        <f>IFERROR(__xludf.DUMMYFUNCTION("""COMPUTED_VALUE"""),0.0)</f>
        <v>0</v>
      </c>
      <c r="E341" s="9">
        <f>IFERROR(__xludf.DUMMYFUNCTION("""COMPUTED_VALUE"""),0.0)</f>
        <v>0</v>
      </c>
      <c r="F341" s="9">
        <f>IFERROR(__xludf.DUMMYFUNCTION("""COMPUTED_VALUE"""),0.0)</f>
        <v>0</v>
      </c>
      <c r="G341" s="9">
        <f>IFERROR(__xludf.DUMMYFUNCTION("""COMPUTED_VALUE"""),0.0)</f>
        <v>0</v>
      </c>
      <c r="H341" s="9"/>
      <c r="I341" s="9">
        <f>IFERROR(__xludf.DUMMYFUNCTION("""COMPUTED_VALUE"""),0.0)</f>
        <v>0</v>
      </c>
      <c r="J341" s="9">
        <f>IFERROR(__xludf.DUMMYFUNCTION("""COMPUTED_VALUE"""),0.0)</f>
        <v>0</v>
      </c>
      <c r="K341" s="9">
        <f>IFERROR(__xludf.DUMMYFUNCTION("""COMPUTED_VALUE"""),0.0)</f>
        <v>0</v>
      </c>
      <c r="L341" s="9">
        <f>IFERROR(__xludf.DUMMYFUNCTION("""COMPUTED_VALUE"""),0.0)</f>
        <v>0</v>
      </c>
      <c r="M341" s="9">
        <f>IFERROR(__xludf.DUMMYFUNCTION("""COMPUTED_VALUE"""),0.0)</f>
        <v>0</v>
      </c>
      <c r="N341" s="9">
        <f>IFERROR(__xludf.DUMMYFUNCTION("""COMPUTED_VALUE"""),0.0)</f>
        <v>0</v>
      </c>
      <c r="O341" s="9">
        <f>IFERROR(__xludf.DUMMYFUNCTION("""COMPUTED_VALUE"""),0.0)</f>
        <v>0</v>
      </c>
      <c r="P341" s="9">
        <f>IFERROR(__xludf.DUMMYFUNCTION("""COMPUTED_VALUE"""),0.0)</f>
        <v>0</v>
      </c>
      <c r="Q341" s="9">
        <f>IFERROR(__xludf.DUMMYFUNCTION("""COMPUTED_VALUE"""),0.0)</f>
        <v>0</v>
      </c>
      <c r="R341" s="9">
        <f>IFERROR(__xludf.DUMMYFUNCTION("""COMPUTED_VALUE"""),0.0)</f>
        <v>0</v>
      </c>
      <c r="S341" s="9">
        <f>IFERROR(__xludf.DUMMYFUNCTION("""COMPUTED_VALUE"""),0.0)</f>
        <v>0</v>
      </c>
      <c r="T341" s="9">
        <f>IFERROR(__xludf.DUMMYFUNCTION("""COMPUTED_VALUE"""),0.0)</f>
        <v>0</v>
      </c>
      <c r="U341" s="9">
        <f>IFERROR(__xludf.DUMMYFUNCTION("""COMPUTED_VALUE"""),0.0)</f>
        <v>0</v>
      </c>
      <c r="V341" s="9">
        <f>IFERROR(__xludf.DUMMYFUNCTION("""COMPUTED_VALUE"""),0.0)</f>
        <v>0</v>
      </c>
      <c r="W341" s="9">
        <f>IFERROR(__xludf.DUMMYFUNCTION("""COMPUTED_VALUE"""),0.0)</f>
        <v>0</v>
      </c>
      <c r="X341" s="9">
        <f>IFERROR(__xludf.DUMMYFUNCTION("""COMPUTED_VALUE"""),0.0)</f>
        <v>0</v>
      </c>
      <c r="Y341" s="9">
        <f>IFERROR(__xludf.DUMMYFUNCTION("""COMPUTED_VALUE"""),0.0)</f>
        <v>0</v>
      </c>
      <c r="Z341" s="9">
        <f>IFERROR(__xludf.DUMMYFUNCTION("""COMPUTED_VALUE"""),0.0)</f>
        <v>0</v>
      </c>
      <c r="AA341" s="9">
        <f>IFERROR(__xludf.DUMMYFUNCTION("""COMPUTED_VALUE"""),0.0)</f>
        <v>0</v>
      </c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</row>
    <row r="342">
      <c r="A342" s="8">
        <f>IFERROR(__xludf.DUMMYFUNCTION("""COMPUTED_VALUE"""),45460.0)</f>
        <v>45460</v>
      </c>
      <c r="B342" s="9">
        <f>IFERROR(__xludf.DUMMYFUNCTION("""COMPUTED_VALUE"""),5.0)</f>
        <v>5</v>
      </c>
      <c r="C342" s="9">
        <f>IFERROR(__xludf.DUMMYFUNCTION("""COMPUTED_VALUE"""),31.0)</f>
        <v>31</v>
      </c>
      <c r="D342" s="9">
        <f>IFERROR(__xludf.DUMMYFUNCTION("""COMPUTED_VALUE"""),6.0)</f>
        <v>6</v>
      </c>
      <c r="E342" s="9">
        <f>IFERROR(__xludf.DUMMYFUNCTION("""COMPUTED_VALUE"""),783.0)</f>
        <v>783</v>
      </c>
      <c r="F342" s="9">
        <f>IFERROR(__xludf.DUMMYFUNCTION("""COMPUTED_VALUE"""),157.0)</f>
        <v>157</v>
      </c>
      <c r="G342" s="9">
        <f>IFERROR(__xludf.DUMMYFUNCTION("""COMPUTED_VALUE"""),0.0)</f>
        <v>0</v>
      </c>
      <c r="H342" s="9"/>
      <c r="I342" s="9">
        <f>IFERROR(__xludf.DUMMYFUNCTION("""COMPUTED_VALUE"""),5.0)</f>
        <v>5</v>
      </c>
      <c r="J342" s="9">
        <f>IFERROR(__xludf.DUMMYFUNCTION("""COMPUTED_VALUE"""),0.0)</f>
        <v>0</v>
      </c>
      <c r="K342" s="9">
        <f>IFERROR(__xludf.DUMMYFUNCTION("""COMPUTED_VALUE"""),0.0)</f>
        <v>0</v>
      </c>
      <c r="L342" s="9">
        <f>IFERROR(__xludf.DUMMYFUNCTION("""COMPUTED_VALUE"""),0.0)</f>
        <v>0</v>
      </c>
      <c r="M342" s="9">
        <f>IFERROR(__xludf.DUMMYFUNCTION("""COMPUTED_VALUE"""),5.0)</f>
        <v>5</v>
      </c>
      <c r="N342" s="9">
        <f>IFERROR(__xludf.DUMMYFUNCTION("""COMPUTED_VALUE"""),4.0)</f>
        <v>4</v>
      </c>
      <c r="O342" s="9">
        <f>IFERROR(__xludf.DUMMYFUNCTION("""COMPUTED_VALUE"""),0.0)</f>
        <v>0</v>
      </c>
      <c r="P342" s="9">
        <f>IFERROR(__xludf.DUMMYFUNCTION("""COMPUTED_VALUE"""),1.0)</f>
        <v>1</v>
      </c>
      <c r="Q342" s="9">
        <f>IFERROR(__xludf.DUMMYFUNCTION("""COMPUTED_VALUE"""),2.0)</f>
        <v>2</v>
      </c>
      <c r="R342" s="9">
        <f>IFERROR(__xludf.DUMMYFUNCTION("""COMPUTED_VALUE"""),0.0)</f>
        <v>0</v>
      </c>
      <c r="S342" s="9">
        <f>IFERROR(__xludf.DUMMYFUNCTION("""COMPUTED_VALUE"""),4.0)</f>
        <v>4</v>
      </c>
      <c r="T342" s="9">
        <f>IFERROR(__xludf.DUMMYFUNCTION("""COMPUTED_VALUE"""),0.0)</f>
        <v>0</v>
      </c>
      <c r="U342" s="9">
        <f>IFERROR(__xludf.DUMMYFUNCTION("""COMPUTED_VALUE"""),0.0)</f>
        <v>0</v>
      </c>
      <c r="V342" s="9">
        <f>IFERROR(__xludf.DUMMYFUNCTION("""COMPUTED_VALUE"""),2.0)</f>
        <v>2</v>
      </c>
      <c r="W342" s="9">
        <f>IFERROR(__xludf.DUMMYFUNCTION("""COMPUTED_VALUE"""),0.0)</f>
        <v>0</v>
      </c>
      <c r="X342" s="9">
        <f>IFERROR(__xludf.DUMMYFUNCTION("""COMPUTED_VALUE"""),15.0)</f>
        <v>15</v>
      </c>
      <c r="Y342" s="9">
        <f>IFERROR(__xludf.DUMMYFUNCTION("""COMPUTED_VALUE"""),2.0)</f>
        <v>2</v>
      </c>
      <c r="Z342" s="9">
        <f>IFERROR(__xludf.DUMMYFUNCTION("""COMPUTED_VALUE"""),0.0)</f>
        <v>0</v>
      </c>
      <c r="AA342" s="9">
        <f>IFERROR(__xludf.DUMMYFUNCTION("""COMPUTED_VALUE"""),0.0)</f>
        <v>0</v>
      </c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  <c r="PG342" s="9"/>
      <c r="PH342" s="9"/>
      <c r="PI342" s="9"/>
      <c r="PJ342" s="9"/>
      <c r="PK342" s="9"/>
      <c r="PL342" s="9"/>
      <c r="PM342" s="9"/>
      <c r="PN342" s="9"/>
      <c r="PO342" s="9"/>
      <c r="PP342" s="9"/>
      <c r="PQ342" s="9"/>
      <c r="PR342" s="9"/>
      <c r="PS342" s="9"/>
      <c r="PT342" s="9"/>
      <c r="PU342" s="9"/>
      <c r="PV342" s="9"/>
      <c r="PW342" s="9"/>
      <c r="PX342" s="9"/>
      <c r="PY342" s="9"/>
      <c r="PZ342" s="9"/>
      <c r="QA342" s="9"/>
      <c r="QB342" s="9"/>
      <c r="QC342" s="9"/>
      <c r="QD342" s="9"/>
      <c r="QE342" s="9"/>
      <c r="QF342" s="9"/>
      <c r="QG342" s="9"/>
      <c r="QH342" s="9"/>
      <c r="QI342" s="9"/>
      <c r="QJ342" s="9"/>
      <c r="QK342" s="9"/>
      <c r="QL342" s="9"/>
      <c r="QM342" s="9"/>
      <c r="QN342" s="9"/>
      <c r="QO342" s="9"/>
      <c r="QP342" s="9"/>
      <c r="QQ342" s="9"/>
      <c r="QR342" s="9"/>
      <c r="QS342" s="9"/>
      <c r="QT342" s="9"/>
      <c r="QU342" s="9"/>
      <c r="QV342" s="9"/>
      <c r="QW342" s="9"/>
      <c r="QX342" s="9"/>
      <c r="QY342" s="9"/>
      <c r="QZ342" s="9"/>
      <c r="RA342" s="9"/>
      <c r="RB342" s="9"/>
      <c r="RC342" s="9"/>
      <c r="RD342" s="9"/>
      <c r="RE342" s="9"/>
      <c r="RF342" s="9"/>
      <c r="RG342" s="9"/>
      <c r="RH342" s="9"/>
      <c r="RI342" s="9"/>
      <c r="RJ342" s="9"/>
      <c r="RK342" s="9"/>
      <c r="RL342" s="9"/>
      <c r="RM342" s="9"/>
      <c r="RN342" s="9"/>
      <c r="RO342" s="9"/>
      <c r="RP342" s="9"/>
      <c r="RQ342" s="9"/>
      <c r="RR342" s="9"/>
      <c r="RS342" s="9"/>
      <c r="RT342" s="9"/>
      <c r="RU342" s="9"/>
      <c r="RV342" s="9"/>
      <c r="RW342" s="9"/>
      <c r="RX342" s="9"/>
      <c r="RY342" s="9"/>
      <c r="RZ342" s="9"/>
      <c r="SA342" s="9"/>
      <c r="SB342" s="9"/>
      <c r="SC342" s="9"/>
      <c r="SD342" s="9"/>
      <c r="SE342" s="9"/>
      <c r="SF342" s="9"/>
      <c r="SG342" s="9"/>
      <c r="SH342" s="9"/>
      <c r="SI342" s="9"/>
      <c r="SJ342" s="9"/>
      <c r="SK342" s="9"/>
      <c r="SL342" s="9"/>
      <c r="SM342" s="9"/>
      <c r="SN342" s="9"/>
      <c r="SO342" s="9"/>
      <c r="SP342" s="9"/>
      <c r="SQ342" s="9"/>
      <c r="SR342" s="9"/>
      <c r="SS342" s="9"/>
      <c r="ST342" s="9"/>
      <c r="SU342" s="9"/>
      <c r="SV342" s="9"/>
      <c r="SW342" s="9"/>
      <c r="SX342" s="9"/>
      <c r="SY342" s="9"/>
      <c r="SZ342" s="9"/>
      <c r="TA342" s="9"/>
      <c r="TB342" s="9"/>
      <c r="TC342" s="9"/>
      <c r="TD342" s="9"/>
      <c r="TE342" s="9"/>
      <c r="TF342" s="9"/>
      <c r="TG342" s="9"/>
      <c r="TH342" s="9"/>
      <c r="TI342" s="9"/>
      <c r="TJ342" s="9"/>
      <c r="TK342" s="9"/>
      <c r="TL342" s="9"/>
      <c r="TM342" s="9"/>
      <c r="TN342" s="9"/>
      <c r="TO342" s="9"/>
      <c r="TP342" s="9"/>
      <c r="TQ342" s="9"/>
      <c r="TR342" s="9"/>
      <c r="TS342" s="9"/>
      <c r="TT342" s="9"/>
      <c r="TU342" s="9"/>
      <c r="TV342" s="9"/>
      <c r="TW342" s="9"/>
      <c r="TX342" s="9"/>
      <c r="TY342" s="9"/>
      <c r="TZ342" s="9"/>
      <c r="UA342" s="9"/>
      <c r="UB342" s="9"/>
      <c r="UC342" s="9"/>
      <c r="UD342" s="9"/>
      <c r="UE342" s="9"/>
      <c r="UF342" s="9"/>
      <c r="UG342" s="9"/>
      <c r="UH342" s="9"/>
      <c r="UI342" s="9"/>
      <c r="UJ342" s="9"/>
    </row>
    <row r="343">
      <c r="A343" s="8">
        <f>IFERROR(__xludf.DUMMYFUNCTION("""COMPUTED_VALUE"""),45461.0)</f>
        <v>45461</v>
      </c>
      <c r="B343" s="9">
        <f>IFERROR(__xludf.DUMMYFUNCTION("""COMPUTED_VALUE"""),16.0)</f>
        <v>16</v>
      </c>
      <c r="C343" s="9">
        <f>IFERROR(__xludf.DUMMYFUNCTION("""COMPUTED_VALUE"""),52.0)</f>
        <v>52</v>
      </c>
      <c r="D343" s="9">
        <f>IFERROR(__xludf.DUMMYFUNCTION("""COMPUTED_VALUE"""),3.0)</f>
        <v>3</v>
      </c>
      <c r="E343" s="9">
        <f>IFERROR(__xludf.DUMMYFUNCTION("""COMPUTED_VALUE"""),900.0)</f>
        <v>900</v>
      </c>
      <c r="F343" s="9">
        <f>IFERROR(__xludf.DUMMYFUNCTION("""COMPUTED_VALUE"""),56.0)</f>
        <v>56</v>
      </c>
      <c r="G343" s="9">
        <f>IFERROR(__xludf.DUMMYFUNCTION("""COMPUTED_VALUE"""),0.0)</f>
        <v>0</v>
      </c>
      <c r="H343" s="9"/>
      <c r="I343" s="9">
        <f>IFERROR(__xludf.DUMMYFUNCTION("""COMPUTED_VALUE"""),12.0)</f>
        <v>12</v>
      </c>
      <c r="J343" s="9">
        <f>IFERROR(__xludf.DUMMYFUNCTION("""COMPUTED_VALUE"""),2.0)</f>
        <v>2</v>
      </c>
      <c r="K343" s="9">
        <f>IFERROR(__xludf.DUMMYFUNCTION("""COMPUTED_VALUE"""),0.0)</f>
        <v>0</v>
      </c>
      <c r="L343" s="9">
        <f>IFERROR(__xludf.DUMMYFUNCTION("""COMPUTED_VALUE"""),0.0)</f>
        <v>0</v>
      </c>
      <c r="M343" s="9">
        <f>IFERROR(__xludf.DUMMYFUNCTION("""COMPUTED_VALUE"""),14.0)</f>
        <v>14</v>
      </c>
      <c r="N343" s="9">
        <f>IFERROR(__xludf.DUMMYFUNCTION("""COMPUTED_VALUE"""),12.0)</f>
        <v>12</v>
      </c>
      <c r="O343" s="9">
        <f>IFERROR(__xludf.DUMMYFUNCTION("""COMPUTED_VALUE"""),0.0)</f>
        <v>0</v>
      </c>
      <c r="P343" s="9">
        <f>IFERROR(__xludf.DUMMYFUNCTION("""COMPUTED_VALUE"""),4.0)</f>
        <v>4</v>
      </c>
      <c r="Q343" s="9">
        <f>IFERROR(__xludf.DUMMYFUNCTION("""COMPUTED_VALUE"""),8.0)</f>
        <v>8</v>
      </c>
      <c r="R343" s="9">
        <f>IFERROR(__xludf.DUMMYFUNCTION("""COMPUTED_VALUE"""),2.0)</f>
        <v>2</v>
      </c>
      <c r="S343" s="9">
        <f>IFERROR(__xludf.DUMMYFUNCTION("""COMPUTED_VALUE"""),2.0)</f>
        <v>2</v>
      </c>
      <c r="T343" s="9">
        <f>IFERROR(__xludf.DUMMYFUNCTION("""COMPUTED_VALUE"""),0.0)</f>
        <v>0</v>
      </c>
      <c r="U343" s="9">
        <f>IFERROR(__xludf.DUMMYFUNCTION("""COMPUTED_VALUE"""),0.0)</f>
        <v>0</v>
      </c>
      <c r="V343" s="9">
        <f>IFERROR(__xludf.DUMMYFUNCTION("""COMPUTED_VALUE"""),10.0)</f>
        <v>10</v>
      </c>
      <c r="W343" s="9">
        <f>IFERROR(__xludf.DUMMYFUNCTION("""COMPUTED_VALUE"""),0.0)</f>
        <v>0</v>
      </c>
      <c r="X343" s="9">
        <f>IFERROR(__xludf.DUMMYFUNCTION("""COMPUTED_VALUE"""),7.0)</f>
        <v>7</v>
      </c>
      <c r="Y343" s="9">
        <f>IFERROR(__xludf.DUMMYFUNCTION("""COMPUTED_VALUE"""),11.0)</f>
        <v>11</v>
      </c>
      <c r="Z343" s="9">
        <f>IFERROR(__xludf.DUMMYFUNCTION("""COMPUTED_VALUE"""),0.0)</f>
        <v>0</v>
      </c>
      <c r="AA343" s="9">
        <f>IFERROR(__xludf.DUMMYFUNCTION("""COMPUTED_VALUE"""),0.0)</f>
        <v>0</v>
      </c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</row>
    <row r="344">
      <c r="A344" s="8">
        <f>IFERROR(__xludf.DUMMYFUNCTION("""COMPUTED_VALUE"""),45462.0)</f>
        <v>45462</v>
      </c>
      <c r="B344" s="9">
        <f>IFERROR(__xludf.DUMMYFUNCTION("""COMPUTED_VALUE"""),16.0)</f>
        <v>16</v>
      </c>
      <c r="C344" s="9">
        <f>IFERROR(__xludf.DUMMYFUNCTION("""COMPUTED_VALUE"""),59.0)</f>
        <v>59</v>
      </c>
      <c r="D344" s="9">
        <f>IFERROR(__xludf.DUMMYFUNCTION("""COMPUTED_VALUE"""),4.0)</f>
        <v>4</v>
      </c>
      <c r="E344" s="9">
        <f>IFERROR(__xludf.DUMMYFUNCTION("""COMPUTED_VALUE"""),1110.0)</f>
        <v>1110</v>
      </c>
      <c r="F344" s="9">
        <f>IFERROR(__xludf.DUMMYFUNCTION("""COMPUTED_VALUE"""),69.0)</f>
        <v>69</v>
      </c>
      <c r="G344" s="9">
        <f>IFERROR(__xludf.DUMMYFUNCTION("""COMPUTED_VALUE"""),0.0)</f>
        <v>0</v>
      </c>
      <c r="H344" s="9"/>
      <c r="I344" s="9">
        <f>IFERROR(__xludf.DUMMYFUNCTION("""COMPUTED_VALUE"""),14.0)</f>
        <v>14</v>
      </c>
      <c r="J344" s="9">
        <f>IFERROR(__xludf.DUMMYFUNCTION("""COMPUTED_VALUE"""),1.0)</f>
        <v>1</v>
      </c>
      <c r="K344" s="9">
        <f>IFERROR(__xludf.DUMMYFUNCTION("""COMPUTED_VALUE"""),0.0)</f>
        <v>0</v>
      </c>
      <c r="L344" s="9">
        <f>IFERROR(__xludf.DUMMYFUNCTION("""COMPUTED_VALUE"""),0.0)</f>
        <v>0</v>
      </c>
      <c r="M344" s="9">
        <f>IFERROR(__xludf.DUMMYFUNCTION("""COMPUTED_VALUE"""),15.0)</f>
        <v>15</v>
      </c>
      <c r="N344" s="9">
        <f>IFERROR(__xludf.DUMMYFUNCTION("""COMPUTED_VALUE"""),12.0)</f>
        <v>12</v>
      </c>
      <c r="O344" s="9">
        <f>IFERROR(__xludf.DUMMYFUNCTION("""COMPUTED_VALUE"""),0.0)</f>
        <v>0</v>
      </c>
      <c r="P344" s="9">
        <f>IFERROR(__xludf.DUMMYFUNCTION("""COMPUTED_VALUE"""),3.0)</f>
        <v>3</v>
      </c>
      <c r="Q344" s="9">
        <f>IFERROR(__xludf.DUMMYFUNCTION("""COMPUTED_VALUE"""),5.0)</f>
        <v>5</v>
      </c>
      <c r="R344" s="9">
        <f>IFERROR(__xludf.DUMMYFUNCTION("""COMPUTED_VALUE"""),3.0)</f>
        <v>3</v>
      </c>
      <c r="S344" s="9">
        <f>IFERROR(__xludf.DUMMYFUNCTION("""COMPUTED_VALUE"""),5.0)</f>
        <v>5</v>
      </c>
      <c r="T344" s="9">
        <f>IFERROR(__xludf.DUMMYFUNCTION("""COMPUTED_VALUE"""),2.0)</f>
        <v>2</v>
      </c>
      <c r="U344" s="9">
        <f>IFERROR(__xludf.DUMMYFUNCTION("""COMPUTED_VALUE"""),0.0)</f>
        <v>0</v>
      </c>
      <c r="V344" s="9">
        <f>IFERROR(__xludf.DUMMYFUNCTION("""COMPUTED_VALUE"""),8.0)</f>
        <v>8</v>
      </c>
      <c r="W344" s="9">
        <f>IFERROR(__xludf.DUMMYFUNCTION("""COMPUTED_VALUE"""),0.0)</f>
        <v>0</v>
      </c>
      <c r="X344" s="9">
        <f>IFERROR(__xludf.DUMMYFUNCTION("""COMPUTED_VALUE"""),8.0)</f>
        <v>8</v>
      </c>
      <c r="Y344" s="9">
        <f>IFERROR(__xludf.DUMMYFUNCTION("""COMPUTED_VALUE"""),12.0)</f>
        <v>12</v>
      </c>
      <c r="Z344" s="9">
        <f>IFERROR(__xludf.DUMMYFUNCTION("""COMPUTED_VALUE"""),2.0)</f>
        <v>2</v>
      </c>
      <c r="AA344" s="9">
        <f>IFERROR(__xludf.DUMMYFUNCTION("""COMPUTED_VALUE"""),0.0)</f>
        <v>0</v>
      </c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  <c r="TB344" s="9"/>
      <c r="TC344" s="9"/>
      <c r="TD344" s="9"/>
      <c r="TE344" s="9"/>
      <c r="TF344" s="9"/>
      <c r="TG344" s="9"/>
      <c r="TH344" s="9"/>
      <c r="TI344" s="9"/>
      <c r="TJ344" s="9"/>
      <c r="TK344" s="9"/>
      <c r="TL344" s="9"/>
      <c r="TM344" s="9"/>
      <c r="TN344" s="9"/>
      <c r="TO344" s="9"/>
      <c r="TP344" s="9"/>
      <c r="TQ344" s="9"/>
      <c r="TR344" s="9"/>
      <c r="TS344" s="9"/>
      <c r="TT344" s="9"/>
      <c r="TU344" s="9"/>
      <c r="TV344" s="9"/>
      <c r="TW344" s="9"/>
      <c r="TX344" s="9"/>
      <c r="TY344" s="9"/>
      <c r="TZ344" s="9"/>
      <c r="UA344" s="9"/>
      <c r="UB344" s="9"/>
      <c r="UC344" s="9"/>
      <c r="UD344" s="9"/>
      <c r="UE344" s="9"/>
      <c r="UF344" s="9"/>
      <c r="UG344" s="9"/>
      <c r="UH344" s="9"/>
      <c r="UI344" s="9"/>
      <c r="UJ344" s="9"/>
    </row>
    <row r="345">
      <c r="A345" s="8">
        <f>IFERROR(__xludf.DUMMYFUNCTION("""COMPUTED_VALUE"""),45463.0)</f>
        <v>45463</v>
      </c>
      <c r="B345" s="9">
        <f>IFERROR(__xludf.DUMMYFUNCTION("""COMPUTED_VALUE"""),16.0)</f>
        <v>16</v>
      </c>
      <c r="C345" s="9">
        <f>IFERROR(__xludf.DUMMYFUNCTION("""COMPUTED_VALUE"""),67.0)</f>
        <v>67</v>
      </c>
      <c r="D345" s="9">
        <f>IFERROR(__xludf.DUMMYFUNCTION("""COMPUTED_VALUE"""),4.0)</f>
        <v>4</v>
      </c>
      <c r="E345" s="9">
        <f>IFERROR(__xludf.DUMMYFUNCTION("""COMPUTED_VALUE"""),1294.0)</f>
        <v>1294</v>
      </c>
      <c r="F345" s="9">
        <f>IFERROR(__xludf.DUMMYFUNCTION("""COMPUTED_VALUE"""),81.0)</f>
        <v>81</v>
      </c>
      <c r="G345" s="9">
        <f>IFERROR(__xludf.DUMMYFUNCTION("""COMPUTED_VALUE"""),0.0)</f>
        <v>0</v>
      </c>
      <c r="H345" s="9"/>
      <c r="I345" s="9">
        <f>IFERROR(__xludf.DUMMYFUNCTION("""COMPUTED_VALUE"""),16.0)</f>
        <v>16</v>
      </c>
      <c r="J345" s="9">
        <f>IFERROR(__xludf.DUMMYFUNCTION("""COMPUTED_VALUE"""),0.0)</f>
        <v>0</v>
      </c>
      <c r="K345" s="9">
        <f>IFERROR(__xludf.DUMMYFUNCTION("""COMPUTED_VALUE"""),0.0)</f>
        <v>0</v>
      </c>
      <c r="L345" s="9">
        <f>IFERROR(__xludf.DUMMYFUNCTION("""COMPUTED_VALUE"""),0.0)</f>
        <v>0</v>
      </c>
      <c r="M345" s="9">
        <f>IFERROR(__xludf.DUMMYFUNCTION("""COMPUTED_VALUE"""),16.0)</f>
        <v>16</v>
      </c>
      <c r="N345" s="9">
        <f>IFERROR(__xludf.DUMMYFUNCTION("""COMPUTED_VALUE"""),12.0)</f>
        <v>12</v>
      </c>
      <c r="O345" s="9">
        <f>IFERROR(__xludf.DUMMYFUNCTION("""COMPUTED_VALUE"""),0.0)</f>
        <v>0</v>
      </c>
      <c r="P345" s="9">
        <f>IFERROR(__xludf.DUMMYFUNCTION("""COMPUTED_VALUE"""),3.0)</f>
        <v>3</v>
      </c>
      <c r="Q345" s="9">
        <f>IFERROR(__xludf.DUMMYFUNCTION("""COMPUTED_VALUE"""),8.0)</f>
        <v>8</v>
      </c>
      <c r="R345" s="9">
        <f>IFERROR(__xludf.DUMMYFUNCTION("""COMPUTED_VALUE"""),2.0)</f>
        <v>2</v>
      </c>
      <c r="S345" s="9">
        <f>IFERROR(__xludf.DUMMYFUNCTION("""COMPUTED_VALUE"""),5.0)</f>
        <v>5</v>
      </c>
      <c r="T345" s="9">
        <f>IFERROR(__xludf.DUMMYFUNCTION("""COMPUTED_VALUE"""),1.0)</f>
        <v>1</v>
      </c>
      <c r="U345" s="9">
        <f>IFERROR(__xludf.DUMMYFUNCTION("""COMPUTED_VALUE"""),0.0)</f>
        <v>0</v>
      </c>
      <c r="V345" s="9">
        <f>IFERROR(__xludf.DUMMYFUNCTION("""COMPUTED_VALUE"""),10.0)</f>
        <v>10</v>
      </c>
      <c r="W345" s="9">
        <f>IFERROR(__xludf.DUMMYFUNCTION("""COMPUTED_VALUE"""),0.0)</f>
        <v>0</v>
      </c>
      <c r="X345" s="9">
        <f>IFERROR(__xludf.DUMMYFUNCTION("""COMPUTED_VALUE"""),13.0)</f>
        <v>13</v>
      </c>
      <c r="Y345" s="9">
        <f>IFERROR(__xludf.DUMMYFUNCTION("""COMPUTED_VALUE"""),13.0)</f>
        <v>13</v>
      </c>
      <c r="Z345" s="9">
        <f>IFERROR(__xludf.DUMMYFUNCTION("""COMPUTED_VALUE"""),1.0)</f>
        <v>1</v>
      </c>
      <c r="AA345" s="9">
        <f>IFERROR(__xludf.DUMMYFUNCTION("""COMPUTED_VALUE"""),0.0)</f>
        <v>0</v>
      </c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</row>
    <row r="346">
      <c r="A346" s="8">
        <f>IFERROR(__xludf.DUMMYFUNCTION("""COMPUTED_VALUE"""),45464.0)</f>
        <v>45464</v>
      </c>
      <c r="B346" s="9">
        <f>IFERROR(__xludf.DUMMYFUNCTION("""COMPUTED_VALUE"""),15.0)</f>
        <v>15</v>
      </c>
      <c r="C346" s="9">
        <f>IFERROR(__xludf.DUMMYFUNCTION("""COMPUTED_VALUE"""),61.0)</f>
        <v>61</v>
      </c>
      <c r="D346" s="9">
        <f>IFERROR(__xludf.DUMMYFUNCTION("""COMPUTED_VALUE"""),4.0)</f>
        <v>4</v>
      </c>
      <c r="E346" s="9">
        <f>IFERROR(__xludf.DUMMYFUNCTION("""COMPUTED_VALUE"""),1175.0)</f>
        <v>1175</v>
      </c>
      <c r="F346" s="9">
        <f>IFERROR(__xludf.DUMMYFUNCTION("""COMPUTED_VALUE"""),78.0)</f>
        <v>78</v>
      </c>
      <c r="G346" s="9">
        <f>IFERROR(__xludf.DUMMYFUNCTION("""COMPUTED_VALUE"""),0.0)</f>
        <v>0</v>
      </c>
      <c r="H346" s="9"/>
      <c r="I346" s="9">
        <f>IFERROR(__xludf.DUMMYFUNCTION("""COMPUTED_VALUE"""),11.0)</f>
        <v>11</v>
      </c>
      <c r="J346" s="9">
        <f>IFERROR(__xludf.DUMMYFUNCTION("""COMPUTED_VALUE"""),2.0)</f>
        <v>2</v>
      </c>
      <c r="K346" s="9">
        <f>IFERROR(__xludf.DUMMYFUNCTION("""COMPUTED_VALUE"""),0.0)</f>
        <v>0</v>
      </c>
      <c r="L346" s="9">
        <f>IFERROR(__xludf.DUMMYFUNCTION("""COMPUTED_VALUE"""),0.0)</f>
        <v>0</v>
      </c>
      <c r="M346" s="9">
        <f>IFERROR(__xludf.DUMMYFUNCTION("""COMPUTED_VALUE"""),13.0)</f>
        <v>13</v>
      </c>
      <c r="N346" s="9">
        <f>IFERROR(__xludf.DUMMYFUNCTION("""COMPUTED_VALUE"""),15.0)</f>
        <v>15</v>
      </c>
      <c r="O346" s="9">
        <f>IFERROR(__xludf.DUMMYFUNCTION("""COMPUTED_VALUE"""),0.0)</f>
        <v>0</v>
      </c>
      <c r="P346" s="9">
        <f>IFERROR(__xludf.DUMMYFUNCTION("""COMPUTED_VALUE"""),0.0)</f>
        <v>0</v>
      </c>
      <c r="Q346" s="9">
        <f>IFERROR(__xludf.DUMMYFUNCTION("""COMPUTED_VALUE"""),8.0)</f>
        <v>8</v>
      </c>
      <c r="R346" s="9">
        <f>IFERROR(__xludf.DUMMYFUNCTION("""COMPUTED_VALUE"""),0.0)</f>
        <v>0</v>
      </c>
      <c r="S346" s="9">
        <f>IFERROR(__xludf.DUMMYFUNCTION("""COMPUTED_VALUE"""),5.0)</f>
        <v>5</v>
      </c>
      <c r="T346" s="9">
        <f>IFERROR(__xludf.DUMMYFUNCTION("""COMPUTED_VALUE"""),2.0)</f>
        <v>2</v>
      </c>
      <c r="U346" s="9">
        <f>IFERROR(__xludf.DUMMYFUNCTION("""COMPUTED_VALUE"""),0.0)</f>
        <v>0</v>
      </c>
      <c r="V346" s="9">
        <f>IFERROR(__xludf.DUMMYFUNCTION("""COMPUTED_VALUE"""),8.0)</f>
        <v>8</v>
      </c>
      <c r="W346" s="9">
        <f>IFERROR(__xludf.DUMMYFUNCTION("""COMPUTED_VALUE"""),0.0)</f>
        <v>0</v>
      </c>
      <c r="X346" s="9">
        <f>IFERROR(__xludf.DUMMYFUNCTION("""COMPUTED_VALUE"""),10.0)</f>
        <v>10</v>
      </c>
      <c r="Y346" s="9">
        <f>IFERROR(__xludf.DUMMYFUNCTION("""COMPUTED_VALUE"""),11.0)</f>
        <v>11</v>
      </c>
      <c r="Z346" s="9">
        <f>IFERROR(__xludf.DUMMYFUNCTION("""COMPUTED_VALUE"""),2.0)</f>
        <v>2</v>
      </c>
      <c r="AA346" s="9">
        <f>IFERROR(__xludf.DUMMYFUNCTION("""COMPUTED_VALUE"""),0.0)</f>
        <v>0</v>
      </c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  <c r="PG346" s="9"/>
      <c r="PH346" s="9"/>
      <c r="PI346" s="9"/>
      <c r="PJ346" s="9"/>
      <c r="PK346" s="9"/>
      <c r="PL346" s="9"/>
      <c r="PM346" s="9"/>
      <c r="PN346" s="9"/>
      <c r="PO346" s="9"/>
      <c r="PP346" s="9"/>
      <c r="PQ346" s="9"/>
      <c r="PR346" s="9"/>
      <c r="PS346" s="9"/>
      <c r="PT346" s="9"/>
      <c r="PU346" s="9"/>
      <c r="PV346" s="9"/>
      <c r="PW346" s="9"/>
      <c r="PX346" s="9"/>
      <c r="PY346" s="9"/>
      <c r="PZ346" s="9"/>
      <c r="QA346" s="9"/>
      <c r="QB346" s="9"/>
      <c r="QC346" s="9"/>
      <c r="QD346" s="9"/>
      <c r="QE346" s="9"/>
      <c r="QF346" s="9"/>
      <c r="QG346" s="9"/>
      <c r="QH346" s="9"/>
      <c r="QI346" s="9"/>
      <c r="QJ346" s="9"/>
      <c r="QK346" s="9"/>
      <c r="QL346" s="9"/>
      <c r="QM346" s="9"/>
      <c r="QN346" s="9"/>
      <c r="QO346" s="9"/>
      <c r="QP346" s="9"/>
      <c r="QQ346" s="9"/>
      <c r="QR346" s="9"/>
      <c r="QS346" s="9"/>
      <c r="QT346" s="9"/>
      <c r="QU346" s="9"/>
      <c r="QV346" s="9"/>
      <c r="QW346" s="9"/>
      <c r="QX346" s="9"/>
      <c r="QY346" s="9"/>
      <c r="QZ346" s="9"/>
      <c r="RA346" s="9"/>
      <c r="RB346" s="9"/>
      <c r="RC346" s="9"/>
      <c r="RD346" s="9"/>
      <c r="RE346" s="9"/>
      <c r="RF346" s="9"/>
      <c r="RG346" s="9"/>
      <c r="RH346" s="9"/>
      <c r="RI346" s="9"/>
      <c r="RJ346" s="9"/>
      <c r="RK346" s="9"/>
      <c r="RL346" s="9"/>
      <c r="RM346" s="9"/>
      <c r="RN346" s="9"/>
      <c r="RO346" s="9"/>
      <c r="RP346" s="9"/>
      <c r="RQ346" s="9"/>
      <c r="RR346" s="9"/>
      <c r="RS346" s="9"/>
      <c r="RT346" s="9"/>
      <c r="RU346" s="9"/>
      <c r="RV346" s="9"/>
      <c r="RW346" s="9"/>
      <c r="RX346" s="9"/>
      <c r="RY346" s="9"/>
      <c r="RZ346" s="9"/>
      <c r="SA346" s="9"/>
      <c r="SB346" s="9"/>
      <c r="SC346" s="9"/>
      <c r="SD346" s="9"/>
      <c r="SE346" s="9"/>
      <c r="SF346" s="9"/>
      <c r="SG346" s="9"/>
      <c r="SH346" s="9"/>
      <c r="SI346" s="9"/>
      <c r="SJ346" s="9"/>
      <c r="SK346" s="9"/>
      <c r="SL346" s="9"/>
      <c r="SM346" s="9"/>
      <c r="SN346" s="9"/>
      <c r="SO346" s="9"/>
      <c r="SP346" s="9"/>
      <c r="SQ346" s="9"/>
      <c r="SR346" s="9"/>
      <c r="SS346" s="9"/>
      <c r="ST346" s="9"/>
      <c r="SU346" s="9"/>
      <c r="SV346" s="9"/>
      <c r="SW346" s="9"/>
      <c r="SX346" s="9"/>
      <c r="SY346" s="9"/>
      <c r="SZ346" s="9"/>
      <c r="TA346" s="9"/>
      <c r="TB346" s="9"/>
      <c r="TC346" s="9"/>
      <c r="TD346" s="9"/>
      <c r="TE346" s="9"/>
      <c r="TF346" s="9"/>
      <c r="TG346" s="9"/>
      <c r="TH346" s="9"/>
      <c r="TI346" s="9"/>
      <c r="TJ346" s="9"/>
      <c r="TK346" s="9"/>
      <c r="TL346" s="9"/>
      <c r="TM346" s="9"/>
      <c r="TN346" s="9"/>
      <c r="TO346" s="9"/>
      <c r="TP346" s="9"/>
      <c r="TQ346" s="9"/>
      <c r="TR346" s="9"/>
      <c r="TS346" s="9"/>
      <c r="TT346" s="9"/>
      <c r="TU346" s="9"/>
      <c r="TV346" s="9"/>
      <c r="TW346" s="9"/>
      <c r="TX346" s="9"/>
      <c r="TY346" s="9"/>
      <c r="TZ346" s="9"/>
      <c r="UA346" s="9"/>
      <c r="UB346" s="9"/>
      <c r="UC346" s="9"/>
      <c r="UD346" s="9"/>
      <c r="UE346" s="9"/>
      <c r="UF346" s="9"/>
      <c r="UG346" s="9"/>
      <c r="UH346" s="9"/>
      <c r="UI346" s="9"/>
      <c r="UJ346" s="9"/>
    </row>
    <row r="347">
      <c r="A347" s="8">
        <f>IFERROR(__xludf.DUMMYFUNCTION("""COMPUTED_VALUE"""),45465.0)</f>
        <v>45465</v>
      </c>
      <c r="B347" s="9">
        <f>IFERROR(__xludf.DUMMYFUNCTION("""COMPUTED_VALUE"""),10.0)</f>
        <v>10</v>
      </c>
      <c r="C347" s="9">
        <f>IFERROR(__xludf.DUMMYFUNCTION("""COMPUTED_VALUE"""),44.0)</f>
        <v>44</v>
      </c>
      <c r="D347" s="9">
        <f>IFERROR(__xludf.DUMMYFUNCTION("""COMPUTED_VALUE"""),4.0)</f>
        <v>4</v>
      </c>
      <c r="E347" s="9">
        <f>IFERROR(__xludf.DUMMYFUNCTION("""COMPUTED_VALUE"""),856.0)</f>
        <v>856</v>
      </c>
      <c r="F347" s="9">
        <f>IFERROR(__xludf.DUMMYFUNCTION("""COMPUTED_VALUE"""),86.0)</f>
        <v>86</v>
      </c>
      <c r="G347" s="9">
        <f>IFERROR(__xludf.DUMMYFUNCTION("""COMPUTED_VALUE"""),0.0)</f>
        <v>0</v>
      </c>
      <c r="H347" s="9"/>
      <c r="I347" s="9">
        <f>IFERROR(__xludf.DUMMYFUNCTION("""COMPUTED_VALUE"""),5.0)</f>
        <v>5</v>
      </c>
      <c r="J347" s="9">
        <f>IFERROR(__xludf.DUMMYFUNCTION("""COMPUTED_VALUE"""),0.0)</f>
        <v>0</v>
      </c>
      <c r="K347" s="9">
        <f>IFERROR(__xludf.DUMMYFUNCTION("""COMPUTED_VALUE"""),0.0)</f>
        <v>0</v>
      </c>
      <c r="L347" s="9">
        <f>IFERROR(__xludf.DUMMYFUNCTION("""COMPUTED_VALUE"""),1.0)</f>
        <v>1</v>
      </c>
      <c r="M347" s="9">
        <f>IFERROR(__xludf.DUMMYFUNCTION("""COMPUTED_VALUE"""),6.0)</f>
        <v>6</v>
      </c>
      <c r="N347" s="9">
        <f>IFERROR(__xludf.DUMMYFUNCTION("""COMPUTED_VALUE"""),4.0)</f>
        <v>4</v>
      </c>
      <c r="O347" s="9">
        <f>IFERROR(__xludf.DUMMYFUNCTION("""COMPUTED_VALUE"""),0.0)</f>
        <v>0</v>
      </c>
      <c r="P347" s="9">
        <f>IFERROR(__xludf.DUMMYFUNCTION("""COMPUTED_VALUE"""),5.0)</f>
        <v>5</v>
      </c>
      <c r="Q347" s="9">
        <f>IFERROR(__xludf.DUMMYFUNCTION("""COMPUTED_VALUE"""),2.0)</f>
        <v>2</v>
      </c>
      <c r="R347" s="9">
        <f>IFERROR(__xludf.DUMMYFUNCTION("""COMPUTED_VALUE"""),1.0)</f>
        <v>1</v>
      </c>
      <c r="S347" s="9">
        <f>IFERROR(__xludf.DUMMYFUNCTION("""COMPUTED_VALUE"""),2.0)</f>
        <v>2</v>
      </c>
      <c r="T347" s="9">
        <f>IFERROR(__xludf.DUMMYFUNCTION("""COMPUTED_VALUE"""),0.0)</f>
        <v>0</v>
      </c>
      <c r="U347" s="9">
        <f>IFERROR(__xludf.DUMMYFUNCTION("""COMPUTED_VALUE"""),0.0)</f>
        <v>0</v>
      </c>
      <c r="V347" s="9">
        <f>IFERROR(__xludf.DUMMYFUNCTION("""COMPUTED_VALUE"""),3.0)</f>
        <v>3</v>
      </c>
      <c r="W347" s="9">
        <f>IFERROR(__xludf.DUMMYFUNCTION("""COMPUTED_VALUE"""),0.0)</f>
        <v>0</v>
      </c>
      <c r="X347" s="9">
        <f>IFERROR(__xludf.DUMMYFUNCTION("""COMPUTED_VALUE"""),18.0)</f>
        <v>18</v>
      </c>
      <c r="Y347" s="9">
        <f>IFERROR(__xludf.DUMMYFUNCTION("""COMPUTED_VALUE"""),3.0)</f>
        <v>3</v>
      </c>
      <c r="Z347" s="9">
        <f>IFERROR(__xludf.DUMMYFUNCTION("""COMPUTED_VALUE"""),0.0)</f>
        <v>0</v>
      </c>
      <c r="AA347" s="9">
        <f>IFERROR(__xludf.DUMMYFUNCTION("""COMPUTED_VALUE"""),0.0)</f>
        <v>0</v>
      </c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</row>
    <row r="348">
      <c r="A348" s="8">
        <f>IFERROR(__xludf.DUMMYFUNCTION("""COMPUTED_VALUE"""),45466.0)</f>
        <v>45466</v>
      </c>
      <c r="B348" s="9">
        <f>IFERROR(__xludf.DUMMYFUNCTION("""COMPUTED_VALUE"""),0.0)</f>
        <v>0</v>
      </c>
      <c r="C348" s="9">
        <f>IFERROR(__xludf.DUMMYFUNCTION("""COMPUTED_VALUE"""),0.0)</f>
        <v>0</v>
      </c>
      <c r="D348" s="9">
        <f>IFERROR(__xludf.DUMMYFUNCTION("""COMPUTED_VALUE"""),0.0)</f>
        <v>0</v>
      </c>
      <c r="E348" s="9">
        <f>IFERROR(__xludf.DUMMYFUNCTION("""COMPUTED_VALUE"""),0.0)</f>
        <v>0</v>
      </c>
      <c r="F348" s="9">
        <f>IFERROR(__xludf.DUMMYFUNCTION("""COMPUTED_VALUE"""),0.0)</f>
        <v>0</v>
      </c>
      <c r="G348" s="9">
        <f>IFERROR(__xludf.DUMMYFUNCTION("""COMPUTED_VALUE"""),0.0)</f>
        <v>0</v>
      </c>
      <c r="H348" s="9"/>
      <c r="I348" s="9">
        <f>IFERROR(__xludf.DUMMYFUNCTION("""COMPUTED_VALUE"""),0.0)</f>
        <v>0</v>
      </c>
      <c r="J348" s="9">
        <f>IFERROR(__xludf.DUMMYFUNCTION("""COMPUTED_VALUE"""),0.0)</f>
        <v>0</v>
      </c>
      <c r="K348" s="9">
        <f>IFERROR(__xludf.DUMMYFUNCTION("""COMPUTED_VALUE"""),0.0)</f>
        <v>0</v>
      </c>
      <c r="L348" s="9">
        <f>IFERROR(__xludf.DUMMYFUNCTION("""COMPUTED_VALUE"""),0.0)</f>
        <v>0</v>
      </c>
      <c r="M348" s="9">
        <f>IFERROR(__xludf.DUMMYFUNCTION("""COMPUTED_VALUE"""),0.0)</f>
        <v>0</v>
      </c>
      <c r="N348" s="9">
        <f>IFERROR(__xludf.DUMMYFUNCTION("""COMPUTED_VALUE"""),0.0)</f>
        <v>0</v>
      </c>
      <c r="O348" s="9">
        <f>IFERROR(__xludf.DUMMYFUNCTION("""COMPUTED_VALUE"""),0.0)</f>
        <v>0</v>
      </c>
      <c r="P348" s="9">
        <f>IFERROR(__xludf.DUMMYFUNCTION("""COMPUTED_VALUE"""),0.0)</f>
        <v>0</v>
      </c>
      <c r="Q348" s="9">
        <f>IFERROR(__xludf.DUMMYFUNCTION("""COMPUTED_VALUE"""),0.0)</f>
        <v>0</v>
      </c>
      <c r="R348" s="9">
        <f>IFERROR(__xludf.DUMMYFUNCTION("""COMPUTED_VALUE"""),0.0)</f>
        <v>0</v>
      </c>
      <c r="S348" s="9">
        <f>IFERROR(__xludf.DUMMYFUNCTION("""COMPUTED_VALUE"""),0.0)</f>
        <v>0</v>
      </c>
      <c r="T348" s="9">
        <f>IFERROR(__xludf.DUMMYFUNCTION("""COMPUTED_VALUE"""),0.0)</f>
        <v>0</v>
      </c>
      <c r="U348" s="9">
        <f>IFERROR(__xludf.DUMMYFUNCTION("""COMPUTED_VALUE"""),0.0)</f>
        <v>0</v>
      </c>
      <c r="V348" s="9">
        <f>IFERROR(__xludf.DUMMYFUNCTION("""COMPUTED_VALUE"""),0.0)</f>
        <v>0</v>
      </c>
      <c r="W348" s="9">
        <f>IFERROR(__xludf.DUMMYFUNCTION("""COMPUTED_VALUE"""),0.0)</f>
        <v>0</v>
      </c>
      <c r="X348" s="9">
        <f>IFERROR(__xludf.DUMMYFUNCTION("""COMPUTED_VALUE"""),0.0)</f>
        <v>0</v>
      </c>
      <c r="Y348" s="9">
        <f>IFERROR(__xludf.DUMMYFUNCTION("""COMPUTED_VALUE"""),0.0)</f>
        <v>0</v>
      </c>
      <c r="Z348" s="9">
        <f>IFERROR(__xludf.DUMMYFUNCTION("""COMPUTED_VALUE"""),0.0)</f>
        <v>0</v>
      </c>
      <c r="AA348" s="9">
        <f>IFERROR(__xludf.DUMMYFUNCTION("""COMPUTED_VALUE"""),0.0)</f>
        <v>0</v>
      </c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  <c r="IN348" s="9"/>
      <c r="IO348" s="9"/>
      <c r="IP348" s="9"/>
      <c r="IQ348" s="9"/>
      <c r="IR348" s="9"/>
      <c r="IS348" s="9"/>
      <c r="IT348" s="9"/>
      <c r="IU348" s="9"/>
      <c r="IV348" s="9"/>
      <c r="IW348" s="9"/>
      <c r="IX348" s="9"/>
      <c r="IY348" s="9"/>
      <c r="IZ348" s="9"/>
      <c r="JA348" s="9"/>
      <c r="JB348" s="9"/>
      <c r="JC348" s="9"/>
      <c r="JD348" s="9"/>
      <c r="JE348" s="9"/>
      <c r="JF348" s="9"/>
      <c r="JG348" s="9"/>
      <c r="JH348" s="9"/>
      <c r="JI348" s="9"/>
      <c r="JJ348" s="9"/>
      <c r="JK348" s="9"/>
      <c r="JL348" s="9"/>
      <c r="JM348" s="9"/>
      <c r="JN348" s="9"/>
      <c r="JO348" s="9"/>
      <c r="JP348" s="9"/>
      <c r="JQ348" s="9"/>
      <c r="JR348" s="9"/>
      <c r="JS348" s="9"/>
      <c r="JT348" s="9"/>
      <c r="JU348" s="9"/>
      <c r="JV348" s="9"/>
      <c r="JW348" s="9"/>
      <c r="JX348" s="9"/>
      <c r="JY348" s="9"/>
      <c r="JZ348" s="9"/>
      <c r="KA348" s="9"/>
      <c r="KB348" s="9"/>
      <c r="KC348" s="9"/>
      <c r="KD348" s="9"/>
      <c r="KE348" s="9"/>
      <c r="KF348" s="9"/>
      <c r="KG348" s="9"/>
      <c r="KH348" s="9"/>
      <c r="KI348" s="9"/>
      <c r="KJ348" s="9"/>
      <c r="KK348" s="9"/>
      <c r="KL348" s="9"/>
      <c r="KM348" s="9"/>
      <c r="KN348" s="9"/>
      <c r="KO348" s="9"/>
      <c r="KP348" s="9"/>
      <c r="KQ348" s="9"/>
      <c r="KR348" s="9"/>
      <c r="KS348" s="9"/>
      <c r="KT348" s="9"/>
      <c r="KU348" s="9"/>
      <c r="KV348" s="9"/>
      <c r="KW348" s="9"/>
      <c r="KX348" s="9"/>
      <c r="KY348" s="9"/>
      <c r="KZ348" s="9"/>
      <c r="LA348" s="9"/>
      <c r="LB348" s="9"/>
      <c r="LC348" s="9"/>
      <c r="LD348" s="9"/>
      <c r="LE348" s="9"/>
      <c r="LF348" s="9"/>
      <c r="LG348" s="9"/>
      <c r="LH348" s="9"/>
      <c r="LI348" s="9"/>
      <c r="LJ348" s="9"/>
      <c r="LK348" s="9"/>
      <c r="LL348" s="9"/>
      <c r="LM348" s="9"/>
      <c r="LN348" s="9"/>
      <c r="LO348" s="9"/>
      <c r="LP348" s="9"/>
      <c r="LQ348" s="9"/>
      <c r="LR348" s="9"/>
      <c r="LS348" s="9"/>
      <c r="LT348" s="9"/>
      <c r="LU348" s="9"/>
      <c r="LV348" s="9"/>
      <c r="LW348" s="9"/>
      <c r="LX348" s="9"/>
      <c r="LY348" s="9"/>
      <c r="LZ348" s="9"/>
      <c r="MA348" s="9"/>
      <c r="MB348" s="9"/>
      <c r="MC348" s="9"/>
      <c r="MD348" s="9"/>
      <c r="ME348" s="9"/>
      <c r="MF348" s="9"/>
      <c r="MG348" s="9"/>
      <c r="MH348" s="9"/>
      <c r="MI348" s="9"/>
      <c r="MJ348" s="9"/>
      <c r="MK348" s="9"/>
      <c r="ML348" s="9"/>
      <c r="MM348" s="9"/>
      <c r="MN348" s="9"/>
      <c r="MO348" s="9"/>
      <c r="MP348" s="9"/>
      <c r="MQ348" s="9"/>
      <c r="MR348" s="9"/>
      <c r="MS348" s="9"/>
      <c r="MT348" s="9"/>
      <c r="MU348" s="9"/>
      <c r="MV348" s="9"/>
      <c r="MW348" s="9"/>
      <c r="MX348" s="9"/>
      <c r="MY348" s="9"/>
      <c r="MZ348" s="9"/>
      <c r="NA348" s="9"/>
      <c r="NB348" s="9"/>
      <c r="NC348" s="9"/>
      <c r="ND348" s="9"/>
      <c r="NE348" s="9"/>
      <c r="NF348" s="9"/>
      <c r="NG348" s="9"/>
      <c r="NH348" s="9"/>
      <c r="NI348" s="9"/>
      <c r="NJ348" s="9"/>
      <c r="NK348" s="9"/>
      <c r="NL348" s="9"/>
      <c r="NM348" s="9"/>
      <c r="NN348" s="9"/>
      <c r="NO348" s="9"/>
      <c r="NP348" s="9"/>
      <c r="NQ348" s="9"/>
      <c r="NR348" s="9"/>
      <c r="NS348" s="9"/>
      <c r="NT348" s="9"/>
      <c r="NU348" s="9"/>
      <c r="NV348" s="9"/>
      <c r="NW348" s="9"/>
      <c r="NX348" s="9"/>
      <c r="NY348" s="9"/>
      <c r="NZ348" s="9"/>
      <c r="OA348" s="9"/>
      <c r="OB348" s="9"/>
      <c r="OC348" s="9"/>
      <c r="OD348" s="9"/>
      <c r="OE348" s="9"/>
      <c r="OF348" s="9"/>
      <c r="OG348" s="9"/>
      <c r="OH348" s="9"/>
      <c r="OI348" s="9"/>
      <c r="OJ348" s="9"/>
      <c r="OK348" s="9"/>
      <c r="OL348" s="9"/>
      <c r="OM348" s="9"/>
      <c r="ON348" s="9"/>
      <c r="OO348" s="9"/>
      <c r="OP348" s="9"/>
      <c r="OQ348" s="9"/>
      <c r="OR348" s="9"/>
      <c r="OS348" s="9"/>
      <c r="OT348" s="9"/>
      <c r="OU348" s="9"/>
      <c r="OV348" s="9"/>
      <c r="OW348" s="9"/>
      <c r="OX348" s="9"/>
      <c r="OY348" s="9"/>
      <c r="OZ348" s="9"/>
      <c r="PA348" s="9"/>
      <c r="PB348" s="9"/>
      <c r="PC348" s="9"/>
      <c r="PD348" s="9"/>
      <c r="PE348" s="9"/>
      <c r="PF348" s="9"/>
      <c r="PG348" s="9"/>
      <c r="PH348" s="9"/>
      <c r="PI348" s="9"/>
      <c r="PJ348" s="9"/>
      <c r="PK348" s="9"/>
      <c r="PL348" s="9"/>
      <c r="PM348" s="9"/>
      <c r="PN348" s="9"/>
      <c r="PO348" s="9"/>
      <c r="PP348" s="9"/>
      <c r="PQ348" s="9"/>
      <c r="PR348" s="9"/>
      <c r="PS348" s="9"/>
      <c r="PT348" s="9"/>
      <c r="PU348" s="9"/>
      <c r="PV348" s="9"/>
      <c r="PW348" s="9"/>
      <c r="PX348" s="9"/>
      <c r="PY348" s="9"/>
      <c r="PZ348" s="9"/>
      <c r="QA348" s="9"/>
      <c r="QB348" s="9"/>
      <c r="QC348" s="9"/>
      <c r="QD348" s="9"/>
      <c r="QE348" s="9"/>
      <c r="QF348" s="9"/>
      <c r="QG348" s="9"/>
      <c r="QH348" s="9"/>
      <c r="QI348" s="9"/>
      <c r="QJ348" s="9"/>
      <c r="QK348" s="9"/>
      <c r="QL348" s="9"/>
      <c r="QM348" s="9"/>
      <c r="QN348" s="9"/>
      <c r="QO348" s="9"/>
      <c r="QP348" s="9"/>
      <c r="QQ348" s="9"/>
      <c r="QR348" s="9"/>
      <c r="QS348" s="9"/>
      <c r="QT348" s="9"/>
      <c r="QU348" s="9"/>
      <c r="QV348" s="9"/>
      <c r="QW348" s="9"/>
      <c r="QX348" s="9"/>
      <c r="QY348" s="9"/>
      <c r="QZ348" s="9"/>
      <c r="RA348" s="9"/>
      <c r="RB348" s="9"/>
      <c r="RC348" s="9"/>
      <c r="RD348" s="9"/>
      <c r="RE348" s="9"/>
      <c r="RF348" s="9"/>
      <c r="RG348" s="9"/>
      <c r="RH348" s="9"/>
      <c r="RI348" s="9"/>
      <c r="RJ348" s="9"/>
      <c r="RK348" s="9"/>
      <c r="RL348" s="9"/>
      <c r="RM348" s="9"/>
      <c r="RN348" s="9"/>
      <c r="RO348" s="9"/>
      <c r="RP348" s="9"/>
      <c r="RQ348" s="9"/>
      <c r="RR348" s="9"/>
      <c r="RS348" s="9"/>
      <c r="RT348" s="9"/>
      <c r="RU348" s="9"/>
      <c r="RV348" s="9"/>
      <c r="RW348" s="9"/>
      <c r="RX348" s="9"/>
      <c r="RY348" s="9"/>
      <c r="RZ348" s="9"/>
      <c r="SA348" s="9"/>
      <c r="SB348" s="9"/>
      <c r="SC348" s="9"/>
      <c r="SD348" s="9"/>
      <c r="SE348" s="9"/>
      <c r="SF348" s="9"/>
      <c r="SG348" s="9"/>
      <c r="SH348" s="9"/>
      <c r="SI348" s="9"/>
      <c r="SJ348" s="9"/>
      <c r="SK348" s="9"/>
      <c r="SL348" s="9"/>
      <c r="SM348" s="9"/>
      <c r="SN348" s="9"/>
      <c r="SO348" s="9"/>
      <c r="SP348" s="9"/>
      <c r="SQ348" s="9"/>
      <c r="SR348" s="9"/>
      <c r="SS348" s="9"/>
      <c r="ST348" s="9"/>
      <c r="SU348" s="9"/>
      <c r="SV348" s="9"/>
      <c r="SW348" s="9"/>
      <c r="SX348" s="9"/>
      <c r="SY348" s="9"/>
      <c r="SZ348" s="9"/>
      <c r="TA348" s="9"/>
      <c r="TB348" s="9"/>
      <c r="TC348" s="9"/>
      <c r="TD348" s="9"/>
      <c r="TE348" s="9"/>
      <c r="TF348" s="9"/>
      <c r="TG348" s="9"/>
      <c r="TH348" s="9"/>
      <c r="TI348" s="9"/>
      <c r="TJ348" s="9"/>
      <c r="TK348" s="9"/>
      <c r="TL348" s="9"/>
      <c r="TM348" s="9"/>
      <c r="TN348" s="9"/>
      <c r="TO348" s="9"/>
      <c r="TP348" s="9"/>
      <c r="TQ348" s="9"/>
      <c r="TR348" s="9"/>
      <c r="TS348" s="9"/>
      <c r="TT348" s="9"/>
      <c r="TU348" s="9"/>
      <c r="TV348" s="9"/>
      <c r="TW348" s="9"/>
      <c r="TX348" s="9"/>
      <c r="TY348" s="9"/>
      <c r="TZ348" s="9"/>
      <c r="UA348" s="9"/>
      <c r="UB348" s="9"/>
      <c r="UC348" s="9"/>
      <c r="UD348" s="9"/>
      <c r="UE348" s="9"/>
      <c r="UF348" s="9"/>
      <c r="UG348" s="9"/>
      <c r="UH348" s="9"/>
      <c r="UI348" s="9"/>
      <c r="UJ348" s="9"/>
    </row>
    <row r="349">
      <c r="A349" s="8">
        <f>IFERROR(__xludf.DUMMYFUNCTION("""COMPUTED_VALUE"""),45467.0)</f>
        <v>45467</v>
      </c>
      <c r="B349" s="9">
        <f>IFERROR(__xludf.DUMMYFUNCTION("""COMPUTED_VALUE"""),15.0)</f>
        <v>15</v>
      </c>
      <c r="C349" s="9">
        <f>IFERROR(__xludf.DUMMYFUNCTION("""COMPUTED_VALUE"""),60.0)</f>
        <v>60</v>
      </c>
      <c r="D349" s="9">
        <f>IFERROR(__xludf.DUMMYFUNCTION("""COMPUTED_VALUE"""),4.0)</f>
        <v>4</v>
      </c>
      <c r="E349" s="9">
        <f>IFERROR(__xludf.DUMMYFUNCTION("""COMPUTED_VALUE"""),1022.0)</f>
        <v>1022</v>
      </c>
      <c r="F349" s="9">
        <f>IFERROR(__xludf.DUMMYFUNCTION("""COMPUTED_VALUE"""),68.0)</f>
        <v>68</v>
      </c>
      <c r="G349" s="9">
        <f>IFERROR(__xludf.DUMMYFUNCTION("""COMPUTED_VALUE"""),0.0)</f>
        <v>0</v>
      </c>
      <c r="H349" s="9"/>
      <c r="I349" s="9">
        <f>IFERROR(__xludf.DUMMYFUNCTION("""COMPUTED_VALUE"""),13.0)</f>
        <v>13</v>
      </c>
      <c r="J349" s="9">
        <f>IFERROR(__xludf.DUMMYFUNCTION("""COMPUTED_VALUE"""),1.0)</f>
        <v>1</v>
      </c>
      <c r="K349" s="9">
        <f>IFERROR(__xludf.DUMMYFUNCTION("""COMPUTED_VALUE"""),0.0)</f>
        <v>0</v>
      </c>
      <c r="L349" s="9">
        <f>IFERROR(__xludf.DUMMYFUNCTION("""COMPUTED_VALUE"""),0.0)</f>
        <v>0</v>
      </c>
      <c r="M349" s="9">
        <f>IFERROR(__xludf.DUMMYFUNCTION("""COMPUTED_VALUE"""),14.0)</f>
        <v>14</v>
      </c>
      <c r="N349" s="9">
        <f>IFERROR(__xludf.DUMMYFUNCTION("""COMPUTED_VALUE"""),13.0)</f>
        <v>13</v>
      </c>
      <c r="O349" s="9">
        <f>IFERROR(__xludf.DUMMYFUNCTION("""COMPUTED_VALUE"""),0.0)</f>
        <v>0</v>
      </c>
      <c r="P349" s="9">
        <f>IFERROR(__xludf.DUMMYFUNCTION("""COMPUTED_VALUE"""),2.0)</f>
        <v>2</v>
      </c>
      <c r="Q349" s="9">
        <f>IFERROR(__xludf.DUMMYFUNCTION("""COMPUTED_VALUE"""),8.0)</f>
        <v>8</v>
      </c>
      <c r="R349" s="9">
        <f>IFERROR(__xludf.DUMMYFUNCTION("""COMPUTED_VALUE"""),2.0)</f>
        <v>2</v>
      </c>
      <c r="S349" s="9">
        <f>IFERROR(__xludf.DUMMYFUNCTION("""COMPUTED_VALUE"""),9.0)</f>
        <v>9</v>
      </c>
      <c r="T349" s="9">
        <f>IFERROR(__xludf.DUMMYFUNCTION("""COMPUTED_VALUE"""),0.0)</f>
        <v>0</v>
      </c>
      <c r="U349" s="9">
        <f>IFERROR(__xludf.DUMMYFUNCTION("""COMPUTED_VALUE"""),0.0)</f>
        <v>0</v>
      </c>
      <c r="V349" s="9">
        <f>IFERROR(__xludf.DUMMYFUNCTION("""COMPUTED_VALUE"""),10.0)</f>
        <v>10</v>
      </c>
      <c r="W349" s="9">
        <f>IFERROR(__xludf.DUMMYFUNCTION("""COMPUTED_VALUE"""),0.0)</f>
        <v>0</v>
      </c>
      <c r="X349" s="9">
        <f>IFERROR(__xludf.DUMMYFUNCTION("""COMPUTED_VALUE"""),6.0)</f>
        <v>6</v>
      </c>
      <c r="Y349" s="9">
        <f>IFERROR(__xludf.DUMMYFUNCTION("""COMPUTED_VALUE"""),11.0)</f>
        <v>11</v>
      </c>
      <c r="Z349" s="9">
        <f>IFERROR(__xludf.DUMMYFUNCTION("""COMPUTED_VALUE"""),0.0)</f>
        <v>0</v>
      </c>
      <c r="AA349" s="9">
        <f>IFERROR(__xludf.DUMMYFUNCTION("""COMPUTED_VALUE"""),0.0)</f>
        <v>0</v>
      </c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</row>
    <row r="350">
      <c r="A350" s="8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/>
      <c r="IP350" s="9"/>
      <c r="IQ350" s="9"/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9"/>
      <c r="JE350" s="9"/>
      <c r="JF350" s="9"/>
      <c r="JG350" s="9"/>
      <c r="JH350" s="9"/>
      <c r="JI350" s="9"/>
      <c r="JJ350" s="9"/>
      <c r="JK350" s="9"/>
      <c r="JL350" s="9"/>
      <c r="JM350" s="9"/>
      <c r="JN350" s="9"/>
      <c r="JO350" s="9"/>
      <c r="JP350" s="9"/>
      <c r="JQ350" s="9"/>
      <c r="JR350" s="9"/>
      <c r="JS350" s="9"/>
      <c r="JT350" s="9"/>
      <c r="JU350" s="9"/>
      <c r="JV350" s="9"/>
      <c r="JW350" s="9"/>
      <c r="JX350" s="9"/>
      <c r="JY350" s="9"/>
      <c r="JZ350" s="9"/>
      <c r="KA350" s="9"/>
      <c r="KB350" s="9"/>
      <c r="KC350" s="9"/>
      <c r="KD350" s="9"/>
      <c r="KE350" s="9"/>
      <c r="KF350" s="9"/>
      <c r="KG350" s="9"/>
      <c r="KH350" s="9"/>
      <c r="KI350" s="9"/>
      <c r="KJ350" s="9"/>
      <c r="KK350" s="9"/>
      <c r="KL350" s="9"/>
      <c r="KM350" s="9"/>
      <c r="KN350" s="9"/>
      <c r="KO350" s="9"/>
      <c r="KP350" s="9"/>
      <c r="KQ350" s="9"/>
      <c r="KR350" s="9"/>
      <c r="KS350" s="9"/>
      <c r="KT350" s="9"/>
      <c r="KU350" s="9"/>
      <c r="KV350" s="9"/>
      <c r="KW350" s="9"/>
      <c r="KX350" s="9"/>
      <c r="KY350" s="9"/>
      <c r="KZ350" s="9"/>
      <c r="LA350" s="9"/>
      <c r="LB350" s="9"/>
      <c r="LC350" s="9"/>
      <c r="LD350" s="9"/>
      <c r="LE350" s="9"/>
      <c r="LF350" s="9"/>
      <c r="LG350" s="9"/>
      <c r="LH350" s="9"/>
      <c r="LI350" s="9"/>
      <c r="LJ350" s="9"/>
      <c r="LK350" s="9"/>
      <c r="LL350" s="9"/>
      <c r="LM350" s="9"/>
      <c r="LN350" s="9"/>
      <c r="LO350" s="9"/>
      <c r="LP350" s="9"/>
      <c r="LQ350" s="9"/>
      <c r="LR350" s="9"/>
      <c r="LS350" s="9"/>
      <c r="LT350" s="9"/>
      <c r="LU350" s="9"/>
      <c r="LV350" s="9"/>
      <c r="LW350" s="9"/>
      <c r="LX350" s="9"/>
      <c r="LY350" s="9"/>
      <c r="LZ350" s="9"/>
      <c r="MA350" s="9"/>
      <c r="MB350" s="9"/>
      <c r="MC350" s="9"/>
      <c r="MD350" s="9"/>
      <c r="ME350" s="9"/>
      <c r="MF350" s="9"/>
      <c r="MG350" s="9"/>
      <c r="MH350" s="9"/>
      <c r="MI350" s="9"/>
      <c r="MJ350" s="9"/>
      <c r="MK350" s="9"/>
      <c r="ML350" s="9"/>
      <c r="MM350" s="9"/>
      <c r="MN350" s="9"/>
      <c r="MO350" s="9"/>
      <c r="MP350" s="9"/>
      <c r="MQ350" s="9"/>
      <c r="MR350" s="9"/>
      <c r="MS350" s="9"/>
      <c r="MT350" s="9"/>
      <c r="MU350" s="9"/>
      <c r="MV350" s="9"/>
      <c r="MW350" s="9"/>
      <c r="MX350" s="9"/>
      <c r="MY350" s="9"/>
      <c r="MZ350" s="9"/>
      <c r="NA350" s="9"/>
      <c r="NB350" s="9"/>
      <c r="NC350" s="9"/>
      <c r="ND350" s="9"/>
      <c r="NE350" s="9"/>
      <c r="NF350" s="9"/>
      <c r="NG350" s="9"/>
      <c r="NH350" s="9"/>
      <c r="NI350" s="9"/>
      <c r="NJ350" s="9"/>
      <c r="NK350" s="9"/>
      <c r="NL350" s="9"/>
      <c r="NM350" s="9"/>
      <c r="NN350" s="9"/>
      <c r="NO350" s="9"/>
      <c r="NP350" s="9"/>
      <c r="NQ350" s="9"/>
      <c r="NR350" s="9"/>
      <c r="NS350" s="9"/>
      <c r="NT350" s="9"/>
      <c r="NU350" s="9"/>
      <c r="NV350" s="9"/>
      <c r="NW350" s="9"/>
      <c r="NX350" s="9"/>
      <c r="NY350" s="9"/>
      <c r="NZ350" s="9"/>
      <c r="OA350" s="9"/>
      <c r="OB350" s="9"/>
      <c r="OC350" s="9"/>
      <c r="OD350" s="9"/>
      <c r="OE350" s="9"/>
      <c r="OF350" s="9"/>
      <c r="OG350" s="9"/>
      <c r="OH350" s="9"/>
      <c r="OI350" s="9"/>
      <c r="OJ350" s="9"/>
      <c r="OK350" s="9"/>
      <c r="OL350" s="9"/>
      <c r="OM350" s="9"/>
      <c r="ON350" s="9"/>
      <c r="OO350" s="9"/>
      <c r="OP350" s="9"/>
      <c r="OQ350" s="9"/>
      <c r="OR350" s="9"/>
      <c r="OS350" s="9"/>
      <c r="OT350" s="9"/>
      <c r="OU350" s="9"/>
      <c r="OV350" s="9"/>
      <c r="OW350" s="9"/>
      <c r="OX350" s="9"/>
      <c r="OY350" s="9"/>
      <c r="OZ350" s="9"/>
      <c r="PA350" s="9"/>
      <c r="PB350" s="9"/>
      <c r="PC350" s="9"/>
      <c r="PD350" s="9"/>
      <c r="PE350" s="9"/>
      <c r="PF350" s="9"/>
      <c r="PG350" s="9"/>
      <c r="PH350" s="9"/>
      <c r="PI350" s="9"/>
      <c r="PJ350" s="9"/>
      <c r="PK350" s="9"/>
      <c r="PL350" s="9"/>
      <c r="PM350" s="9"/>
      <c r="PN350" s="9"/>
      <c r="PO350" s="9"/>
      <c r="PP350" s="9"/>
      <c r="PQ350" s="9"/>
      <c r="PR350" s="9"/>
      <c r="PS350" s="9"/>
      <c r="PT350" s="9"/>
      <c r="PU350" s="9"/>
      <c r="PV350" s="9"/>
      <c r="PW350" s="9"/>
      <c r="PX350" s="9"/>
      <c r="PY350" s="9"/>
      <c r="PZ350" s="9"/>
      <c r="QA350" s="9"/>
      <c r="QB350" s="9"/>
      <c r="QC350" s="9"/>
      <c r="QD350" s="9"/>
      <c r="QE350" s="9"/>
      <c r="QF350" s="9"/>
      <c r="QG350" s="9"/>
      <c r="QH350" s="9"/>
      <c r="QI350" s="9"/>
      <c r="QJ350" s="9"/>
      <c r="QK350" s="9"/>
      <c r="QL350" s="9"/>
      <c r="QM350" s="9"/>
      <c r="QN350" s="9"/>
      <c r="QO350" s="9"/>
      <c r="QP350" s="9"/>
      <c r="QQ350" s="9"/>
      <c r="QR350" s="9"/>
      <c r="QS350" s="9"/>
      <c r="QT350" s="9"/>
      <c r="QU350" s="9"/>
      <c r="QV350" s="9"/>
      <c r="QW350" s="9"/>
      <c r="QX350" s="9"/>
      <c r="QY350" s="9"/>
      <c r="QZ350" s="9"/>
      <c r="RA350" s="9"/>
      <c r="RB350" s="9"/>
      <c r="RC350" s="9"/>
      <c r="RD350" s="9"/>
      <c r="RE350" s="9"/>
      <c r="RF350" s="9"/>
      <c r="RG350" s="9"/>
      <c r="RH350" s="9"/>
      <c r="RI350" s="9"/>
      <c r="RJ350" s="9"/>
      <c r="RK350" s="9"/>
      <c r="RL350" s="9"/>
      <c r="RM350" s="9"/>
      <c r="RN350" s="9"/>
      <c r="RO350" s="9"/>
      <c r="RP350" s="9"/>
      <c r="RQ350" s="9"/>
      <c r="RR350" s="9"/>
      <c r="RS350" s="9"/>
      <c r="RT350" s="9"/>
      <c r="RU350" s="9"/>
      <c r="RV350" s="9"/>
      <c r="RW350" s="9"/>
      <c r="RX350" s="9"/>
      <c r="RY350" s="9"/>
      <c r="RZ350" s="9"/>
      <c r="SA350" s="9"/>
      <c r="SB350" s="9"/>
      <c r="SC350" s="9"/>
      <c r="SD350" s="9"/>
      <c r="SE350" s="9"/>
      <c r="SF350" s="9"/>
      <c r="SG350" s="9"/>
      <c r="SH350" s="9"/>
      <c r="SI350" s="9"/>
      <c r="SJ350" s="9"/>
      <c r="SK350" s="9"/>
      <c r="SL350" s="9"/>
      <c r="SM350" s="9"/>
      <c r="SN350" s="9"/>
      <c r="SO350" s="9"/>
      <c r="SP350" s="9"/>
      <c r="SQ350" s="9"/>
      <c r="SR350" s="9"/>
      <c r="SS350" s="9"/>
      <c r="ST350" s="9"/>
      <c r="SU350" s="9"/>
      <c r="SV350" s="9"/>
      <c r="SW350" s="9"/>
      <c r="SX350" s="9"/>
      <c r="SY350" s="9"/>
      <c r="SZ350" s="9"/>
      <c r="TA350" s="9"/>
      <c r="TB350" s="9"/>
      <c r="TC350" s="9"/>
      <c r="TD350" s="9"/>
      <c r="TE350" s="9"/>
      <c r="TF350" s="9"/>
      <c r="TG350" s="9"/>
      <c r="TH350" s="9"/>
      <c r="TI350" s="9"/>
      <c r="TJ350" s="9"/>
      <c r="TK350" s="9"/>
      <c r="TL350" s="9"/>
      <c r="TM350" s="9"/>
      <c r="TN350" s="9"/>
      <c r="TO350" s="9"/>
      <c r="TP350" s="9"/>
      <c r="TQ350" s="9"/>
      <c r="TR350" s="9"/>
      <c r="TS350" s="9"/>
      <c r="TT350" s="9"/>
      <c r="TU350" s="9"/>
      <c r="TV350" s="9"/>
      <c r="TW350" s="9"/>
      <c r="TX350" s="9"/>
      <c r="TY350" s="9"/>
      <c r="TZ350" s="9"/>
      <c r="UA350" s="9"/>
      <c r="UB350" s="9"/>
      <c r="UC350" s="9"/>
      <c r="UD350" s="9"/>
      <c r="UE350" s="9"/>
      <c r="UF350" s="9"/>
      <c r="UG350" s="9"/>
      <c r="UH350" s="9"/>
      <c r="UI350" s="9"/>
      <c r="UJ350" s="9"/>
    </row>
    <row r="351">
      <c r="A351" s="8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</row>
    <row r="352">
      <c r="A352" s="8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/>
      <c r="JF352" s="9"/>
      <c r="JG352" s="9"/>
      <c r="JH352" s="9"/>
      <c r="JI352" s="9"/>
      <c r="JJ352" s="9"/>
      <c r="JK352" s="9"/>
      <c r="JL352" s="9"/>
      <c r="JM352" s="9"/>
      <c r="JN352" s="9"/>
      <c r="JO352" s="9"/>
      <c r="JP352" s="9"/>
      <c r="JQ352" s="9"/>
      <c r="JR352" s="9"/>
      <c r="JS352" s="9"/>
      <c r="JT352" s="9"/>
      <c r="JU352" s="9"/>
      <c r="JV352" s="9"/>
      <c r="JW352" s="9"/>
      <c r="JX352" s="9"/>
      <c r="JY352" s="9"/>
      <c r="JZ352" s="9"/>
      <c r="KA352" s="9"/>
      <c r="KB352" s="9"/>
      <c r="KC352" s="9"/>
      <c r="KD352" s="9"/>
      <c r="KE352" s="9"/>
      <c r="KF352" s="9"/>
      <c r="KG352" s="9"/>
      <c r="KH352" s="9"/>
      <c r="KI352" s="9"/>
      <c r="KJ352" s="9"/>
      <c r="KK352" s="9"/>
      <c r="KL352" s="9"/>
      <c r="KM352" s="9"/>
      <c r="KN352" s="9"/>
      <c r="KO352" s="9"/>
      <c r="KP352" s="9"/>
      <c r="KQ352" s="9"/>
      <c r="KR352" s="9"/>
      <c r="KS352" s="9"/>
      <c r="KT352" s="9"/>
      <c r="KU352" s="9"/>
      <c r="KV352" s="9"/>
      <c r="KW352" s="9"/>
      <c r="KX352" s="9"/>
      <c r="KY352" s="9"/>
      <c r="KZ352" s="9"/>
      <c r="LA352" s="9"/>
      <c r="LB352" s="9"/>
      <c r="LC352" s="9"/>
      <c r="LD352" s="9"/>
      <c r="LE352" s="9"/>
      <c r="LF352" s="9"/>
      <c r="LG352" s="9"/>
      <c r="LH352" s="9"/>
      <c r="LI352" s="9"/>
      <c r="LJ352" s="9"/>
      <c r="LK352" s="9"/>
      <c r="LL352" s="9"/>
      <c r="LM352" s="9"/>
      <c r="LN352" s="9"/>
      <c r="LO352" s="9"/>
      <c r="LP352" s="9"/>
      <c r="LQ352" s="9"/>
      <c r="LR352" s="9"/>
      <c r="LS352" s="9"/>
      <c r="LT352" s="9"/>
      <c r="LU352" s="9"/>
      <c r="LV352" s="9"/>
      <c r="LW352" s="9"/>
      <c r="LX352" s="9"/>
      <c r="LY352" s="9"/>
      <c r="LZ352" s="9"/>
      <c r="MA352" s="9"/>
      <c r="MB352" s="9"/>
      <c r="MC352" s="9"/>
      <c r="MD352" s="9"/>
      <c r="ME352" s="9"/>
      <c r="MF352" s="9"/>
      <c r="MG352" s="9"/>
      <c r="MH352" s="9"/>
      <c r="MI352" s="9"/>
      <c r="MJ352" s="9"/>
      <c r="MK352" s="9"/>
      <c r="ML352" s="9"/>
      <c r="MM352" s="9"/>
      <c r="MN352" s="9"/>
      <c r="MO352" s="9"/>
      <c r="MP352" s="9"/>
      <c r="MQ352" s="9"/>
      <c r="MR352" s="9"/>
      <c r="MS352" s="9"/>
      <c r="MT352" s="9"/>
      <c r="MU352" s="9"/>
      <c r="MV352" s="9"/>
      <c r="MW352" s="9"/>
      <c r="MX352" s="9"/>
      <c r="MY352" s="9"/>
      <c r="MZ352" s="9"/>
      <c r="NA352" s="9"/>
      <c r="NB352" s="9"/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9"/>
      <c r="NZ352" s="9"/>
      <c r="OA352" s="9"/>
      <c r="OB352" s="9"/>
      <c r="OC352" s="9"/>
      <c r="OD352" s="9"/>
      <c r="OE352" s="9"/>
      <c r="OF352" s="9"/>
      <c r="OG352" s="9"/>
      <c r="OH352" s="9"/>
      <c r="OI352" s="9"/>
      <c r="OJ352" s="9"/>
      <c r="OK352" s="9"/>
      <c r="OL352" s="9"/>
      <c r="OM352" s="9"/>
      <c r="ON352" s="9"/>
      <c r="OO352" s="9"/>
      <c r="OP352" s="9"/>
      <c r="OQ352" s="9"/>
      <c r="OR352" s="9"/>
      <c r="OS352" s="9"/>
      <c r="OT352" s="9"/>
      <c r="OU352" s="9"/>
      <c r="OV352" s="9"/>
      <c r="OW352" s="9"/>
      <c r="OX352" s="9"/>
      <c r="OY352" s="9"/>
      <c r="OZ352" s="9"/>
      <c r="PA352" s="9"/>
      <c r="PB352" s="9"/>
      <c r="PC352" s="9"/>
      <c r="PD352" s="9"/>
      <c r="PE352" s="9"/>
      <c r="PF352" s="9"/>
      <c r="PG352" s="9"/>
      <c r="PH352" s="9"/>
      <c r="PI352" s="9"/>
      <c r="PJ352" s="9"/>
      <c r="PK352" s="9"/>
      <c r="PL352" s="9"/>
      <c r="PM352" s="9"/>
      <c r="PN352" s="9"/>
      <c r="PO352" s="9"/>
      <c r="PP352" s="9"/>
      <c r="PQ352" s="9"/>
      <c r="PR352" s="9"/>
      <c r="PS352" s="9"/>
      <c r="PT352" s="9"/>
      <c r="PU352" s="9"/>
      <c r="PV352" s="9"/>
      <c r="PW352" s="9"/>
      <c r="PX352" s="9"/>
      <c r="PY352" s="9"/>
      <c r="PZ352" s="9"/>
      <c r="QA352" s="9"/>
      <c r="QB352" s="9"/>
      <c r="QC352" s="9"/>
      <c r="QD352" s="9"/>
      <c r="QE352" s="9"/>
      <c r="QF352" s="9"/>
      <c r="QG352" s="9"/>
      <c r="QH352" s="9"/>
      <c r="QI352" s="9"/>
      <c r="QJ352" s="9"/>
      <c r="QK352" s="9"/>
      <c r="QL352" s="9"/>
      <c r="QM352" s="9"/>
      <c r="QN352" s="9"/>
      <c r="QO352" s="9"/>
      <c r="QP352" s="9"/>
      <c r="QQ352" s="9"/>
      <c r="QR352" s="9"/>
      <c r="QS352" s="9"/>
      <c r="QT352" s="9"/>
      <c r="QU352" s="9"/>
      <c r="QV352" s="9"/>
      <c r="QW352" s="9"/>
      <c r="QX352" s="9"/>
      <c r="QY352" s="9"/>
      <c r="QZ352" s="9"/>
      <c r="RA352" s="9"/>
      <c r="RB352" s="9"/>
      <c r="RC352" s="9"/>
      <c r="RD352" s="9"/>
      <c r="RE352" s="9"/>
      <c r="RF352" s="9"/>
      <c r="RG352" s="9"/>
      <c r="RH352" s="9"/>
      <c r="RI352" s="9"/>
      <c r="RJ352" s="9"/>
      <c r="RK352" s="9"/>
      <c r="RL352" s="9"/>
      <c r="RM352" s="9"/>
      <c r="RN352" s="9"/>
      <c r="RO352" s="9"/>
      <c r="RP352" s="9"/>
      <c r="RQ352" s="9"/>
      <c r="RR352" s="9"/>
      <c r="RS352" s="9"/>
      <c r="RT352" s="9"/>
      <c r="RU352" s="9"/>
      <c r="RV352" s="9"/>
      <c r="RW352" s="9"/>
      <c r="RX352" s="9"/>
      <c r="RY352" s="9"/>
      <c r="RZ352" s="9"/>
      <c r="SA352" s="9"/>
      <c r="SB352" s="9"/>
      <c r="SC352" s="9"/>
      <c r="SD352" s="9"/>
      <c r="SE352" s="9"/>
      <c r="SF352" s="9"/>
      <c r="SG352" s="9"/>
      <c r="SH352" s="9"/>
      <c r="SI352" s="9"/>
      <c r="SJ352" s="9"/>
      <c r="SK352" s="9"/>
      <c r="SL352" s="9"/>
      <c r="SM352" s="9"/>
      <c r="SN352" s="9"/>
      <c r="SO352" s="9"/>
      <c r="SP352" s="9"/>
      <c r="SQ352" s="9"/>
      <c r="SR352" s="9"/>
      <c r="SS352" s="9"/>
      <c r="ST352" s="9"/>
      <c r="SU352" s="9"/>
      <c r="SV352" s="9"/>
      <c r="SW352" s="9"/>
      <c r="SX352" s="9"/>
      <c r="SY352" s="9"/>
      <c r="SZ352" s="9"/>
      <c r="TA352" s="9"/>
      <c r="TB352" s="9"/>
      <c r="TC352" s="9"/>
      <c r="TD352" s="9"/>
      <c r="TE352" s="9"/>
      <c r="TF352" s="9"/>
      <c r="TG352" s="9"/>
      <c r="TH352" s="9"/>
      <c r="TI352" s="9"/>
      <c r="TJ352" s="9"/>
      <c r="TK352" s="9"/>
      <c r="TL352" s="9"/>
      <c r="TM352" s="9"/>
      <c r="TN352" s="9"/>
      <c r="TO352" s="9"/>
      <c r="TP352" s="9"/>
      <c r="TQ352" s="9"/>
      <c r="TR352" s="9"/>
      <c r="TS352" s="9"/>
      <c r="TT352" s="9"/>
      <c r="TU352" s="9"/>
      <c r="TV352" s="9"/>
      <c r="TW352" s="9"/>
      <c r="TX352" s="9"/>
      <c r="TY352" s="9"/>
      <c r="TZ352" s="9"/>
      <c r="UA352" s="9"/>
      <c r="UB352" s="9"/>
      <c r="UC352" s="9"/>
      <c r="UD352" s="9"/>
      <c r="UE352" s="9"/>
      <c r="UF352" s="9"/>
      <c r="UG352" s="9"/>
      <c r="UH352" s="9"/>
      <c r="UI352" s="9"/>
      <c r="UJ352" s="9"/>
    </row>
    <row r="353">
      <c r="A353" s="8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</row>
    <row r="354">
      <c r="A354" s="8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</row>
    <row r="355">
      <c r="A355" s="8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</row>
    <row r="356">
      <c r="A356" s="8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</row>
    <row r="357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</row>
    <row r="358">
      <c r="A358" s="8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</row>
    <row r="359">
      <c r="A359" s="8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</row>
    <row r="360">
      <c r="A360" s="8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9"/>
      <c r="KB360" s="9"/>
      <c r="KC360" s="9"/>
      <c r="KD360" s="9"/>
      <c r="KE360" s="9"/>
      <c r="KF360" s="9"/>
      <c r="KG360" s="9"/>
      <c r="KH360" s="9"/>
      <c r="KI360" s="9"/>
      <c r="KJ360" s="9"/>
      <c r="KK360" s="9"/>
      <c r="KL360" s="9"/>
      <c r="KM360" s="9"/>
      <c r="KN360" s="9"/>
      <c r="KO360" s="9"/>
      <c r="KP360" s="9"/>
      <c r="KQ360" s="9"/>
      <c r="KR360" s="9"/>
      <c r="KS360" s="9"/>
      <c r="KT360" s="9"/>
      <c r="KU360" s="9"/>
      <c r="KV360" s="9"/>
      <c r="KW360" s="9"/>
      <c r="KX360" s="9"/>
      <c r="KY360" s="9"/>
      <c r="KZ360" s="9"/>
      <c r="LA360" s="9"/>
      <c r="LB360" s="9"/>
      <c r="LC360" s="9"/>
      <c r="LD360" s="9"/>
      <c r="LE360" s="9"/>
      <c r="LF360" s="9"/>
      <c r="LG360" s="9"/>
      <c r="LH360" s="9"/>
      <c r="LI360" s="9"/>
      <c r="LJ360" s="9"/>
      <c r="LK360" s="9"/>
      <c r="LL360" s="9"/>
      <c r="LM360" s="9"/>
      <c r="LN360" s="9"/>
      <c r="LO360" s="9"/>
      <c r="LP360" s="9"/>
      <c r="LQ360" s="9"/>
      <c r="LR360" s="9"/>
      <c r="LS360" s="9"/>
      <c r="LT360" s="9"/>
      <c r="LU360" s="9"/>
      <c r="LV360" s="9"/>
      <c r="LW360" s="9"/>
      <c r="LX360" s="9"/>
      <c r="LY360" s="9"/>
      <c r="LZ360" s="9"/>
      <c r="MA360" s="9"/>
      <c r="MB360" s="9"/>
      <c r="MC360" s="9"/>
      <c r="MD360" s="9"/>
      <c r="ME360" s="9"/>
      <c r="MF360" s="9"/>
      <c r="MG360" s="9"/>
      <c r="MH360" s="9"/>
      <c r="MI360" s="9"/>
      <c r="MJ360" s="9"/>
      <c r="MK360" s="9"/>
      <c r="ML360" s="9"/>
      <c r="MM360" s="9"/>
      <c r="MN360" s="9"/>
      <c r="MO360" s="9"/>
      <c r="MP360" s="9"/>
      <c r="MQ360" s="9"/>
      <c r="MR360" s="9"/>
      <c r="MS360" s="9"/>
      <c r="MT360" s="9"/>
      <c r="MU360" s="9"/>
      <c r="MV360" s="9"/>
      <c r="MW360" s="9"/>
      <c r="MX360" s="9"/>
      <c r="MY360" s="9"/>
      <c r="MZ360" s="9"/>
      <c r="NA360" s="9"/>
      <c r="NB360" s="9"/>
      <c r="NC360" s="9"/>
      <c r="ND360" s="9"/>
      <c r="NE360" s="9"/>
      <c r="NF360" s="9"/>
      <c r="NG360" s="9"/>
      <c r="NH360" s="9"/>
      <c r="NI360" s="9"/>
      <c r="NJ360" s="9"/>
      <c r="NK360" s="9"/>
      <c r="NL360" s="9"/>
      <c r="NM360" s="9"/>
      <c r="NN360" s="9"/>
      <c r="NO360" s="9"/>
      <c r="NP360" s="9"/>
      <c r="NQ360" s="9"/>
      <c r="NR360" s="9"/>
      <c r="NS360" s="9"/>
      <c r="NT360" s="9"/>
      <c r="NU360" s="9"/>
      <c r="NV360" s="9"/>
      <c r="NW360" s="9"/>
      <c r="NX360" s="9"/>
      <c r="NY360" s="9"/>
      <c r="NZ360" s="9"/>
      <c r="OA360" s="9"/>
      <c r="OB360" s="9"/>
      <c r="OC360" s="9"/>
      <c r="OD360" s="9"/>
      <c r="OE360" s="9"/>
      <c r="OF360" s="9"/>
      <c r="OG360" s="9"/>
      <c r="OH360" s="9"/>
      <c r="OI360" s="9"/>
      <c r="OJ360" s="9"/>
      <c r="OK360" s="9"/>
      <c r="OL360" s="9"/>
      <c r="OM360" s="9"/>
      <c r="ON360" s="9"/>
      <c r="OO360" s="9"/>
      <c r="OP360" s="9"/>
      <c r="OQ360" s="9"/>
      <c r="OR360" s="9"/>
      <c r="OS360" s="9"/>
      <c r="OT360" s="9"/>
      <c r="OU360" s="9"/>
      <c r="OV360" s="9"/>
      <c r="OW360" s="9"/>
      <c r="OX360" s="9"/>
      <c r="OY360" s="9"/>
      <c r="OZ360" s="9"/>
      <c r="PA360" s="9"/>
      <c r="PB360" s="9"/>
      <c r="PC360" s="9"/>
      <c r="PD360" s="9"/>
      <c r="PE360" s="9"/>
      <c r="PF360" s="9"/>
      <c r="PG360" s="9"/>
      <c r="PH360" s="9"/>
      <c r="PI360" s="9"/>
      <c r="PJ360" s="9"/>
      <c r="PK360" s="9"/>
      <c r="PL360" s="9"/>
      <c r="PM360" s="9"/>
      <c r="PN360" s="9"/>
      <c r="PO360" s="9"/>
      <c r="PP360" s="9"/>
      <c r="PQ360" s="9"/>
      <c r="PR360" s="9"/>
      <c r="PS360" s="9"/>
      <c r="PT360" s="9"/>
      <c r="PU360" s="9"/>
      <c r="PV360" s="9"/>
      <c r="PW360" s="9"/>
      <c r="PX360" s="9"/>
      <c r="PY360" s="9"/>
      <c r="PZ360" s="9"/>
      <c r="QA360" s="9"/>
      <c r="QB360" s="9"/>
      <c r="QC360" s="9"/>
      <c r="QD360" s="9"/>
      <c r="QE360" s="9"/>
      <c r="QF360" s="9"/>
      <c r="QG360" s="9"/>
      <c r="QH360" s="9"/>
      <c r="QI360" s="9"/>
      <c r="QJ360" s="9"/>
      <c r="QK360" s="9"/>
      <c r="QL360" s="9"/>
      <c r="QM360" s="9"/>
      <c r="QN360" s="9"/>
      <c r="QO360" s="9"/>
      <c r="QP360" s="9"/>
      <c r="QQ360" s="9"/>
      <c r="QR360" s="9"/>
      <c r="QS360" s="9"/>
      <c r="QT360" s="9"/>
      <c r="QU360" s="9"/>
      <c r="QV360" s="9"/>
      <c r="QW360" s="9"/>
      <c r="QX360" s="9"/>
      <c r="QY360" s="9"/>
      <c r="QZ360" s="9"/>
      <c r="RA360" s="9"/>
      <c r="RB360" s="9"/>
      <c r="RC360" s="9"/>
      <c r="RD360" s="9"/>
      <c r="RE360" s="9"/>
      <c r="RF360" s="9"/>
      <c r="RG360" s="9"/>
      <c r="RH360" s="9"/>
      <c r="RI360" s="9"/>
      <c r="RJ360" s="9"/>
      <c r="RK360" s="9"/>
      <c r="RL360" s="9"/>
      <c r="RM360" s="9"/>
      <c r="RN360" s="9"/>
      <c r="RO360" s="9"/>
      <c r="RP360" s="9"/>
      <c r="RQ360" s="9"/>
      <c r="RR360" s="9"/>
      <c r="RS360" s="9"/>
      <c r="RT360" s="9"/>
      <c r="RU360" s="9"/>
      <c r="RV360" s="9"/>
      <c r="RW360" s="9"/>
      <c r="RX360" s="9"/>
      <c r="RY360" s="9"/>
      <c r="RZ360" s="9"/>
      <c r="SA360" s="9"/>
      <c r="SB360" s="9"/>
      <c r="SC360" s="9"/>
      <c r="SD360" s="9"/>
      <c r="SE360" s="9"/>
      <c r="SF360" s="9"/>
      <c r="SG360" s="9"/>
      <c r="SH360" s="9"/>
      <c r="SI360" s="9"/>
      <c r="SJ360" s="9"/>
      <c r="SK360" s="9"/>
      <c r="SL360" s="9"/>
      <c r="SM360" s="9"/>
      <c r="SN360" s="9"/>
      <c r="SO360" s="9"/>
      <c r="SP360" s="9"/>
      <c r="SQ360" s="9"/>
      <c r="SR360" s="9"/>
      <c r="SS360" s="9"/>
      <c r="ST360" s="9"/>
      <c r="SU360" s="9"/>
      <c r="SV360" s="9"/>
      <c r="SW360" s="9"/>
      <c r="SX360" s="9"/>
      <c r="SY360" s="9"/>
      <c r="SZ360" s="9"/>
      <c r="TA360" s="9"/>
      <c r="TB360" s="9"/>
      <c r="TC360" s="9"/>
      <c r="TD360" s="9"/>
      <c r="TE360" s="9"/>
      <c r="TF360" s="9"/>
      <c r="TG360" s="9"/>
      <c r="TH360" s="9"/>
      <c r="TI360" s="9"/>
      <c r="TJ360" s="9"/>
      <c r="TK360" s="9"/>
      <c r="TL360" s="9"/>
      <c r="TM360" s="9"/>
      <c r="TN360" s="9"/>
      <c r="TO360" s="9"/>
      <c r="TP360" s="9"/>
      <c r="TQ360" s="9"/>
      <c r="TR360" s="9"/>
      <c r="TS360" s="9"/>
      <c r="TT360" s="9"/>
      <c r="TU360" s="9"/>
      <c r="TV360" s="9"/>
      <c r="TW360" s="9"/>
      <c r="TX360" s="9"/>
      <c r="TY360" s="9"/>
      <c r="TZ360" s="9"/>
      <c r="UA360" s="9"/>
      <c r="UB360" s="9"/>
      <c r="UC360" s="9"/>
      <c r="UD360" s="9"/>
      <c r="UE360" s="9"/>
      <c r="UF360" s="9"/>
      <c r="UG360" s="9"/>
      <c r="UH360" s="9"/>
      <c r="UI360" s="9"/>
      <c r="UJ360" s="9"/>
    </row>
    <row r="361">
      <c r="A361" s="8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</row>
    <row r="362">
      <c r="A362" s="8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</row>
    <row r="363">
      <c r="A363" s="8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</row>
    <row r="364">
      <c r="A364" s="8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</row>
    <row r="365">
      <c r="A365" s="8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</row>
    <row r="366">
      <c r="A366" s="8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</row>
    <row r="367">
      <c r="A367" s="8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</row>
    <row r="368">
      <c r="A368" s="8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</row>
    <row r="369">
      <c r="A369" s="8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</row>
    <row r="370">
      <c r="A370" s="8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/>
      <c r="IP370" s="9"/>
      <c r="IQ370" s="9"/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9"/>
      <c r="JE370" s="9"/>
      <c r="JF370" s="9"/>
      <c r="JG370" s="9"/>
      <c r="JH370" s="9"/>
      <c r="JI370" s="9"/>
      <c r="JJ370" s="9"/>
      <c r="JK370" s="9"/>
      <c r="JL370" s="9"/>
      <c r="JM370" s="9"/>
      <c r="JN370" s="9"/>
      <c r="JO370" s="9"/>
      <c r="JP370" s="9"/>
      <c r="JQ370" s="9"/>
      <c r="JR370" s="9"/>
      <c r="JS370" s="9"/>
      <c r="JT370" s="9"/>
      <c r="JU370" s="9"/>
      <c r="JV370" s="9"/>
      <c r="JW370" s="9"/>
      <c r="JX370" s="9"/>
      <c r="JY370" s="9"/>
      <c r="JZ370" s="9"/>
      <c r="KA370" s="9"/>
      <c r="KB370" s="9"/>
      <c r="KC370" s="9"/>
      <c r="KD370" s="9"/>
      <c r="KE370" s="9"/>
      <c r="KF370" s="9"/>
      <c r="KG370" s="9"/>
      <c r="KH370" s="9"/>
      <c r="KI370" s="9"/>
      <c r="KJ370" s="9"/>
      <c r="KK370" s="9"/>
      <c r="KL370" s="9"/>
      <c r="KM370" s="9"/>
      <c r="KN370" s="9"/>
      <c r="KO370" s="9"/>
      <c r="KP370" s="9"/>
      <c r="KQ370" s="9"/>
      <c r="KR370" s="9"/>
      <c r="KS370" s="9"/>
      <c r="KT370" s="9"/>
      <c r="KU370" s="9"/>
      <c r="KV370" s="9"/>
      <c r="KW370" s="9"/>
      <c r="KX370" s="9"/>
      <c r="KY370" s="9"/>
      <c r="KZ370" s="9"/>
      <c r="LA370" s="9"/>
      <c r="LB370" s="9"/>
      <c r="LC370" s="9"/>
      <c r="LD370" s="9"/>
      <c r="LE370" s="9"/>
      <c r="LF370" s="9"/>
      <c r="LG370" s="9"/>
      <c r="LH370" s="9"/>
      <c r="LI370" s="9"/>
      <c r="LJ370" s="9"/>
      <c r="LK370" s="9"/>
      <c r="LL370" s="9"/>
      <c r="LM370" s="9"/>
      <c r="LN370" s="9"/>
      <c r="LO370" s="9"/>
      <c r="LP370" s="9"/>
      <c r="LQ370" s="9"/>
      <c r="LR370" s="9"/>
      <c r="LS370" s="9"/>
      <c r="LT370" s="9"/>
      <c r="LU370" s="9"/>
      <c r="LV370" s="9"/>
      <c r="LW370" s="9"/>
      <c r="LX370" s="9"/>
      <c r="LY370" s="9"/>
      <c r="LZ370" s="9"/>
      <c r="MA370" s="9"/>
      <c r="MB370" s="9"/>
      <c r="MC370" s="9"/>
      <c r="MD370" s="9"/>
      <c r="ME370" s="9"/>
      <c r="MF370" s="9"/>
      <c r="MG370" s="9"/>
      <c r="MH370" s="9"/>
      <c r="MI370" s="9"/>
      <c r="MJ370" s="9"/>
      <c r="MK370" s="9"/>
      <c r="ML370" s="9"/>
      <c r="MM370" s="9"/>
      <c r="MN370" s="9"/>
      <c r="MO370" s="9"/>
      <c r="MP370" s="9"/>
      <c r="MQ370" s="9"/>
      <c r="MR370" s="9"/>
      <c r="MS370" s="9"/>
      <c r="MT370" s="9"/>
      <c r="MU370" s="9"/>
      <c r="MV370" s="9"/>
      <c r="MW370" s="9"/>
      <c r="MX370" s="9"/>
      <c r="MY370" s="9"/>
      <c r="MZ370" s="9"/>
      <c r="NA370" s="9"/>
      <c r="NB370" s="9"/>
      <c r="NC370" s="9"/>
      <c r="ND370" s="9"/>
      <c r="NE370" s="9"/>
      <c r="NF370" s="9"/>
      <c r="NG370" s="9"/>
      <c r="NH370" s="9"/>
      <c r="NI370" s="9"/>
      <c r="NJ370" s="9"/>
      <c r="NK370" s="9"/>
      <c r="NL370" s="9"/>
      <c r="NM370" s="9"/>
      <c r="NN370" s="9"/>
      <c r="NO370" s="9"/>
      <c r="NP370" s="9"/>
      <c r="NQ370" s="9"/>
      <c r="NR370" s="9"/>
      <c r="NS370" s="9"/>
      <c r="NT370" s="9"/>
      <c r="NU370" s="9"/>
      <c r="NV370" s="9"/>
      <c r="NW370" s="9"/>
      <c r="NX370" s="9"/>
      <c r="NY370" s="9"/>
      <c r="NZ370" s="9"/>
      <c r="OA370" s="9"/>
      <c r="OB370" s="9"/>
      <c r="OC370" s="9"/>
      <c r="OD370" s="9"/>
      <c r="OE370" s="9"/>
      <c r="OF370" s="9"/>
      <c r="OG370" s="9"/>
      <c r="OH370" s="9"/>
      <c r="OI370" s="9"/>
      <c r="OJ370" s="9"/>
      <c r="OK370" s="9"/>
      <c r="OL370" s="9"/>
      <c r="OM370" s="9"/>
      <c r="ON370" s="9"/>
      <c r="OO370" s="9"/>
      <c r="OP370" s="9"/>
      <c r="OQ370" s="9"/>
      <c r="OR370" s="9"/>
      <c r="OS370" s="9"/>
      <c r="OT370" s="9"/>
      <c r="OU370" s="9"/>
      <c r="OV370" s="9"/>
      <c r="OW370" s="9"/>
      <c r="OX370" s="9"/>
      <c r="OY370" s="9"/>
      <c r="OZ370" s="9"/>
      <c r="PA370" s="9"/>
      <c r="PB370" s="9"/>
      <c r="PC370" s="9"/>
      <c r="PD370" s="9"/>
      <c r="PE370" s="9"/>
      <c r="PF370" s="9"/>
      <c r="PG370" s="9"/>
      <c r="PH370" s="9"/>
      <c r="PI370" s="9"/>
      <c r="PJ370" s="9"/>
      <c r="PK370" s="9"/>
      <c r="PL370" s="9"/>
      <c r="PM370" s="9"/>
      <c r="PN370" s="9"/>
      <c r="PO370" s="9"/>
      <c r="PP370" s="9"/>
      <c r="PQ370" s="9"/>
      <c r="PR370" s="9"/>
      <c r="PS370" s="9"/>
      <c r="PT370" s="9"/>
      <c r="PU370" s="9"/>
      <c r="PV370" s="9"/>
      <c r="PW370" s="9"/>
      <c r="PX370" s="9"/>
      <c r="PY370" s="9"/>
      <c r="PZ370" s="9"/>
      <c r="QA370" s="9"/>
      <c r="QB370" s="9"/>
      <c r="QC370" s="9"/>
      <c r="QD370" s="9"/>
      <c r="QE370" s="9"/>
      <c r="QF370" s="9"/>
      <c r="QG370" s="9"/>
      <c r="QH370" s="9"/>
      <c r="QI370" s="9"/>
      <c r="QJ370" s="9"/>
      <c r="QK370" s="9"/>
      <c r="QL370" s="9"/>
      <c r="QM370" s="9"/>
      <c r="QN370" s="9"/>
      <c r="QO370" s="9"/>
      <c r="QP370" s="9"/>
      <c r="QQ370" s="9"/>
      <c r="QR370" s="9"/>
      <c r="QS370" s="9"/>
      <c r="QT370" s="9"/>
      <c r="QU370" s="9"/>
      <c r="QV370" s="9"/>
      <c r="QW370" s="9"/>
      <c r="QX370" s="9"/>
      <c r="QY370" s="9"/>
      <c r="QZ370" s="9"/>
      <c r="RA370" s="9"/>
      <c r="RB370" s="9"/>
      <c r="RC370" s="9"/>
      <c r="RD370" s="9"/>
      <c r="RE370" s="9"/>
      <c r="RF370" s="9"/>
      <c r="RG370" s="9"/>
      <c r="RH370" s="9"/>
      <c r="RI370" s="9"/>
      <c r="RJ370" s="9"/>
      <c r="RK370" s="9"/>
      <c r="RL370" s="9"/>
      <c r="RM370" s="9"/>
      <c r="RN370" s="9"/>
      <c r="RO370" s="9"/>
      <c r="RP370" s="9"/>
      <c r="RQ370" s="9"/>
      <c r="RR370" s="9"/>
      <c r="RS370" s="9"/>
      <c r="RT370" s="9"/>
      <c r="RU370" s="9"/>
      <c r="RV370" s="9"/>
      <c r="RW370" s="9"/>
      <c r="RX370" s="9"/>
      <c r="RY370" s="9"/>
      <c r="RZ370" s="9"/>
      <c r="SA370" s="9"/>
      <c r="SB370" s="9"/>
      <c r="SC370" s="9"/>
      <c r="SD370" s="9"/>
      <c r="SE370" s="9"/>
      <c r="SF370" s="9"/>
      <c r="SG370" s="9"/>
      <c r="SH370" s="9"/>
      <c r="SI370" s="9"/>
      <c r="SJ370" s="9"/>
      <c r="SK370" s="9"/>
      <c r="SL370" s="9"/>
      <c r="SM370" s="9"/>
      <c r="SN370" s="9"/>
      <c r="SO370" s="9"/>
      <c r="SP370" s="9"/>
      <c r="SQ370" s="9"/>
      <c r="SR370" s="9"/>
      <c r="SS370" s="9"/>
      <c r="ST370" s="9"/>
      <c r="SU370" s="9"/>
      <c r="SV370" s="9"/>
      <c r="SW370" s="9"/>
      <c r="SX370" s="9"/>
      <c r="SY370" s="9"/>
      <c r="SZ370" s="9"/>
      <c r="TA370" s="9"/>
      <c r="TB370" s="9"/>
      <c r="TC370" s="9"/>
      <c r="TD370" s="9"/>
      <c r="TE370" s="9"/>
      <c r="TF370" s="9"/>
      <c r="TG370" s="9"/>
      <c r="TH370" s="9"/>
      <c r="TI370" s="9"/>
      <c r="TJ370" s="9"/>
      <c r="TK370" s="9"/>
      <c r="TL370" s="9"/>
      <c r="TM370" s="9"/>
      <c r="TN370" s="9"/>
      <c r="TO370" s="9"/>
      <c r="TP370" s="9"/>
      <c r="TQ370" s="9"/>
      <c r="TR370" s="9"/>
      <c r="TS370" s="9"/>
      <c r="TT370" s="9"/>
      <c r="TU370" s="9"/>
      <c r="TV370" s="9"/>
      <c r="TW370" s="9"/>
      <c r="TX370" s="9"/>
      <c r="TY370" s="9"/>
      <c r="TZ370" s="9"/>
      <c r="UA370" s="9"/>
      <c r="UB370" s="9"/>
      <c r="UC370" s="9"/>
      <c r="UD370" s="9"/>
      <c r="UE370" s="9"/>
      <c r="UF370" s="9"/>
      <c r="UG370" s="9"/>
      <c r="UH370" s="9"/>
      <c r="UI370" s="9"/>
      <c r="UJ370" s="9"/>
    </row>
    <row r="371">
      <c r="A371" s="8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/>
      <c r="JF371" s="9"/>
      <c r="JG371" s="9"/>
      <c r="JH371" s="9"/>
      <c r="JI371" s="9"/>
      <c r="JJ371" s="9"/>
      <c r="JK371" s="9"/>
      <c r="JL371" s="9"/>
      <c r="JM371" s="9"/>
      <c r="JN371" s="9"/>
      <c r="JO371" s="9"/>
      <c r="JP371" s="9"/>
      <c r="JQ371" s="9"/>
      <c r="JR371" s="9"/>
      <c r="JS371" s="9"/>
      <c r="JT371" s="9"/>
      <c r="JU371" s="9"/>
      <c r="JV371" s="9"/>
      <c r="JW371" s="9"/>
      <c r="JX371" s="9"/>
      <c r="JY371" s="9"/>
      <c r="JZ371" s="9"/>
      <c r="KA371" s="9"/>
      <c r="KB371" s="9"/>
      <c r="KC371" s="9"/>
      <c r="KD371" s="9"/>
      <c r="KE371" s="9"/>
      <c r="KF371" s="9"/>
      <c r="KG371" s="9"/>
      <c r="KH371" s="9"/>
      <c r="KI371" s="9"/>
      <c r="KJ371" s="9"/>
      <c r="KK371" s="9"/>
      <c r="KL371" s="9"/>
      <c r="KM371" s="9"/>
      <c r="KN371" s="9"/>
      <c r="KO371" s="9"/>
      <c r="KP371" s="9"/>
      <c r="KQ371" s="9"/>
      <c r="KR371" s="9"/>
      <c r="KS371" s="9"/>
      <c r="KT371" s="9"/>
      <c r="KU371" s="9"/>
      <c r="KV371" s="9"/>
      <c r="KW371" s="9"/>
      <c r="KX371" s="9"/>
      <c r="KY371" s="9"/>
      <c r="KZ371" s="9"/>
      <c r="LA371" s="9"/>
      <c r="LB371" s="9"/>
      <c r="LC371" s="9"/>
      <c r="LD371" s="9"/>
      <c r="LE371" s="9"/>
      <c r="LF371" s="9"/>
      <c r="LG371" s="9"/>
      <c r="LH371" s="9"/>
      <c r="LI371" s="9"/>
      <c r="LJ371" s="9"/>
      <c r="LK371" s="9"/>
      <c r="LL371" s="9"/>
      <c r="LM371" s="9"/>
      <c r="LN371" s="9"/>
      <c r="LO371" s="9"/>
      <c r="LP371" s="9"/>
      <c r="LQ371" s="9"/>
      <c r="LR371" s="9"/>
      <c r="LS371" s="9"/>
      <c r="LT371" s="9"/>
      <c r="LU371" s="9"/>
      <c r="LV371" s="9"/>
      <c r="LW371" s="9"/>
      <c r="LX371" s="9"/>
      <c r="LY371" s="9"/>
      <c r="LZ371" s="9"/>
      <c r="MA371" s="9"/>
      <c r="MB371" s="9"/>
      <c r="MC371" s="9"/>
      <c r="MD371" s="9"/>
      <c r="ME371" s="9"/>
      <c r="MF371" s="9"/>
      <c r="MG371" s="9"/>
      <c r="MH371" s="9"/>
      <c r="MI371" s="9"/>
      <c r="MJ371" s="9"/>
      <c r="MK371" s="9"/>
      <c r="ML371" s="9"/>
      <c r="MM371" s="9"/>
      <c r="MN371" s="9"/>
      <c r="MO371" s="9"/>
      <c r="MP371" s="9"/>
      <c r="MQ371" s="9"/>
      <c r="MR371" s="9"/>
      <c r="MS371" s="9"/>
      <c r="MT371" s="9"/>
      <c r="MU371" s="9"/>
      <c r="MV371" s="9"/>
      <c r="MW371" s="9"/>
      <c r="MX371" s="9"/>
      <c r="MY371" s="9"/>
      <c r="MZ371" s="9"/>
      <c r="NA371" s="9"/>
      <c r="NB371" s="9"/>
      <c r="NC371" s="9"/>
      <c r="ND371" s="9"/>
      <c r="NE371" s="9"/>
      <c r="NF371" s="9"/>
      <c r="NG371" s="9"/>
      <c r="NH371" s="9"/>
      <c r="NI371" s="9"/>
      <c r="NJ371" s="9"/>
      <c r="NK371" s="9"/>
      <c r="NL371" s="9"/>
      <c r="NM371" s="9"/>
      <c r="NN371" s="9"/>
      <c r="NO371" s="9"/>
      <c r="NP371" s="9"/>
      <c r="NQ371" s="9"/>
      <c r="NR371" s="9"/>
      <c r="NS371" s="9"/>
      <c r="NT371" s="9"/>
      <c r="NU371" s="9"/>
      <c r="NV371" s="9"/>
      <c r="NW371" s="9"/>
      <c r="NX371" s="9"/>
      <c r="NY371" s="9"/>
      <c r="NZ371" s="9"/>
      <c r="OA371" s="9"/>
      <c r="OB371" s="9"/>
      <c r="OC371" s="9"/>
      <c r="OD371" s="9"/>
      <c r="OE371" s="9"/>
      <c r="OF371" s="9"/>
      <c r="OG371" s="9"/>
      <c r="OH371" s="9"/>
      <c r="OI371" s="9"/>
      <c r="OJ371" s="9"/>
      <c r="OK371" s="9"/>
      <c r="OL371" s="9"/>
      <c r="OM371" s="9"/>
      <c r="ON371" s="9"/>
      <c r="OO371" s="9"/>
      <c r="OP371" s="9"/>
      <c r="OQ371" s="9"/>
      <c r="OR371" s="9"/>
      <c r="OS371" s="9"/>
      <c r="OT371" s="9"/>
      <c r="OU371" s="9"/>
      <c r="OV371" s="9"/>
      <c r="OW371" s="9"/>
      <c r="OX371" s="9"/>
      <c r="OY371" s="9"/>
      <c r="OZ371" s="9"/>
      <c r="PA371" s="9"/>
      <c r="PB371" s="9"/>
      <c r="PC371" s="9"/>
      <c r="PD371" s="9"/>
      <c r="PE371" s="9"/>
      <c r="PF371" s="9"/>
      <c r="PG371" s="9"/>
      <c r="PH371" s="9"/>
      <c r="PI371" s="9"/>
      <c r="PJ371" s="9"/>
      <c r="PK371" s="9"/>
      <c r="PL371" s="9"/>
      <c r="PM371" s="9"/>
      <c r="PN371" s="9"/>
      <c r="PO371" s="9"/>
      <c r="PP371" s="9"/>
      <c r="PQ371" s="9"/>
      <c r="PR371" s="9"/>
      <c r="PS371" s="9"/>
      <c r="PT371" s="9"/>
      <c r="PU371" s="9"/>
      <c r="PV371" s="9"/>
      <c r="PW371" s="9"/>
      <c r="PX371" s="9"/>
      <c r="PY371" s="9"/>
      <c r="PZ371" s="9"/>
      <c r="QA371" s="9"/>
      <c r="QB371" s="9"/>
      <c r="QC371" s="9"/>
      <c r="QD371" s="9"/>
      <c r="QE371" s="9"/>
      <c r="QF371" s="9"/>
      <c r="QG371" s="9"/>
      <c r="QH371" s="9"/>
      <c r="QI371" s="9"/>
      <c r="QJ371" s="9"/>
      <c r="QK371" s="9"/>
      <c r="QL371" s="9"/>
      <c r="QM371" s="9"/>
      <c r="QN371" s="9"/>
      <c r="QO371" s="9"/>
      <c r="QP371" s="9"/>
      <c r="QQ371" s="9"/>
      <c r="QR371" s="9"/>
      <c r="QS371" s="9"/>
      <c r="QT371" s="9"/>
      <c r="QU371" s="9"/>
      <c r="QV371" s="9"/>
      <c r="QW371" s="9"/>
      <c r="QX371" s="9"/>
      <c r="QY371" s="9"/>
      <c r="QZ371" s="9"/>
      <c r="RA371" s="9"/>
      <c r="RB371" s="9"/>
      <c r="RC371" s="9"/>
      <c r="RD371" s="9"/>
      <c r="RE371" s="9"/>
      <c r="RF371" s="9"/>
      <c r="RG371" s="9"/>
      <c r="RH371" s="9"/>
      <c r="RI371" s="9"/>
      <c r="RJ371" s="9"/>
      <c r="RK371" s="9"/>
      <c r="RL371" s="9"/>
      <c r="RM371" s="9"/>
      <c r="RN371" s="9"/>
      <c r="RO371" s="9"/>
      <c r="RP371" s="9"/>
      <c r="RQ371" s="9"/>
      <c r="RR371" s="9"/>
      <c r="RS371" s="9"/>
      <c r="RT371" s="9"/>
      <c r="RU371" s="9"/>
      <c r="RV371" s="9"/>
      <c r="RW371" s="9"/>
      <c r="RX371" s="9"/>
      <c r="RY371" s="9"/>
      <c r="RZ371" s="9"/>
      <c r="SA371" s="9"/>
      <c r="SB371" s="9"/>
      <c r="SC371" s="9"/>
      <c r="SD371" s="9"/>
      <c r="SE371" s="9"/>
      <c r="SF371" s="9"/>
      <c r="SG371" s="9"/>
      <c r="SH371" s="9"/>
      <c r="SI371" s="9"/>
      <c r="SJ371" s="9"/>
      <c r="SK371" s="9"/>
      <c r="SL371" s="9"/>
      <c r="SM371" s="9"/>
      <c r="SN371" s="9"/>
      <c r="SO371" s="9"/>
      <c r="SP371" s="9"/>
      <c r="SQ371" s="9"/>
      <c r="SR371" s="9"/>
      <c r="SS371" s="9"/>
      <c r="ST371" s="9"/>
      <c r="SU371" s="9"/>
      <c r="SV371" s="9"/>
      <c r="SW371" s="9"/>
      <c r="SX371" s="9"/>
      <c r="SY371" s="9"/>
      <c r="SZ371" s="9"/>
      <c r="TA371" s="9"/>
      <c r="TB371" s="9"/>
      <c r="TC371" s="9"/>
      <c r="TD371" s="9"/>
      <c r="TE371" s="9"/>
      <c r="TF371" s="9"/>
      <c r="TG371" s="9"/>
      <c r="TH371" s="9"/>
      <c r="TI371" s="9"/>
      <c r="TJ371" s="9"/>
      <c r="TK371" s="9"/>
      <c r="TL371" s="9"/>
      <c r="TM371" s="9"/>
      <c r="TN371" s="9"/>
      <c r="TO371" s="9"/>
      <c r="TP371" s="9"/>
      <c r="TQ371" s="9"/>
      <c r="TR371" s="9"/>
      <c r="TS371" s="9"/>
      <c r="TT371" s="9"/>
      <c r="TU371" s="9"/>
      <c r="TV371" s="9"/>
      <c r="TW371" s="9"/>
      <c r="TX371" s="9"/>
      <c r="TY371" s="9"/>
      <c r="TZ371" s="9"/>
      <c r="UA371" s="9"/>
      <c r="UB371" s="9"/>
      <c r="UC371" s="9"/>
      <c r="UD371" s="9"/>
      <c r="UE371" s="9"/>
      <c r="UF371" s="9"/>
      <c r="UG371" s="9"/>
      <c r="UH371" s="9"/>
      <c r="UI371" s="9"/>
      <c r="UJ371" s="9"/>
    </row>
    <row r="372">
      <c r="A372" s="8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</row>
    <row r="373">
      <c r="A373" s="8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</row>
    <row r="374">
      <c r="A374" s="8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</row>
    <row r="375">
      <c r="A375" s="8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</row>
    <row r="376">
      <c r="A376" s="8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</row>
    <row r="377">
      <c r="A377" s="8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</row>
    <row r="378">
      <c r="A378" s="8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</row>
    <row r="379">
      <c r="A379" s="8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</row>
    <row r="380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</row>
    <row r="381">
      <c r="A381" s="8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</row>
    <row r="382">
      <c r="A382" s="8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/>
      <c r="JF382" s="9"/>
      <c r="JG382" s="9"/>
      <c r="JH382" s="9"/>
      <c r="JI382" s="9"/>
      <c r="JJ382" s="9"/>
      <c r="JK382" s="9"/>
      <c r="JL382" s="9"/>
      <c r="JM382" s="9"/>
      <c r="JN382" s="9"/>
      <c r="JO382" s="9"/>
      <c r="JP382" s="9"/>
      <c r="JQ382" s="9"/>
      <c r="JR382" s="9"/>
      <c r="JS382" s="9"/>
      <c r="JT382" s="9"/>
      <c r="JU382" s="9"/>
      <c r="JV382" s="9"/>
      <c r="JW382" s="9"/>
      <c r="JX382" s="9"/>
      <c r="JY382" s="9"/>
      <c r="JZ382" s="9"/>
      <c r="KA382" s="9"/>
      <c r="KB382" s="9"/>
      <c r="KC382" s="9"/>
      <c r="KD382" s="9"/>
      <c r="KE382" s="9"/>
      <c r="KF382" s="9"/>
      <c r="KG382" s="9"/>
      <c r="KH382" s="9"/>
      <c r="KI382" s="9"/>
      <c r="KJ382" s="9"/>
      <c r="KK382" s="9"/>
      <c r="KL382" s="9"/>
      <c r="KM382" s="9"/>
      <c r="KN382" s="9"/>
      <c r="KO382" s="9"/>
      <c r="KP382" s="9"/>
      <c r="KQ382" s="9"/>
      <c r="KR382" s="9"/>
      <c r="KS382" s="9"/>
      <c r="KT382" s="9"/>
      <c r="KU382" s="9"/>
      <c r="KV382" s="9"/>
      <c r="KW382" s="9"/>
      <c r="KX382" s="9"/>
      <c r="KY382" s="9"/>
      <c r="KZ382" s="9"/>
      <c r="LA382" s="9"/>
      <c r="LB382" s="9"/>
      <c r="LC382" s="9"/>
      <c r="LD382" s="9"/>
      <c r="LE382" s="9"/>
      <c r="LF382" s="9"/>
      <c r="LG382" s="9"/>
      <c r="LH382" s="9"/>
      <c r="LI382" s="9"/>
      <c r="LJ382" s="9"/>
      <c r="LK382" s="9"/>
      <c r="LL382" s="9"/>
      <c r="LM382" s="9"/>
      <c r="LN382" s="9"/>
      <c r="LO382" s="9"/>
      <c r="LP382" s="9"/>
      <c r="LQ382" s="9"/>
      <c r="LR382" s="9"/>
      <c r="LS382" s="9"/>
      <c r="LT382" s="9"/>
      <c r="LU382" s="9"/>
      <c r="LV382" s="9"/>
      <c r="LW382" s="9"/>
      <c r="LX382" s="9"/>
      <c r="LY382" s="9"/>
      <c r="LZ382" s="9"/>
      <c r="MA382" s="9"/>
      <c r="MB382" s="9"/>
      <c r="MC382" s="9"/>
      <c r="MD382" s="9"/>
      <c r="ME382" s="9"/>
      <c r="MF382" s="9"/>
      <c r="MG382" s="9"/>
      <c r="MH382" s="9"/>
      <c r="MI382" s="9"/>
      <c r="MJ382" s="9"/>
      <c r="MK382" s="9"/>
      <c r="ML382" s="9"/>
      <c r="MM382" s="9"/>
      <c r="MN382" s="9"/>
      <c r="MO382" s="9"/>
      <c r="MP382" s="9"/>
      <c r="MQ382" s="9"/>
      <c r="MR382" s="9"/>
      <c r="MS382" s="9"/>
      <c r="MT382" s="9"/>
      <c r="MU382" s="9"/>
      <c r="MV382" s="9"/>
      <c r="MW382" s="9"/>
      <c r="MX382" s="9"/>
      <c r="MY382" s="9"/>
      <c r="MZ382" s="9"/>
      <c r="NA382" s="9"/>
      <c r="NB382" s="9"/>
      <c r="NC382" s="9"/>
      <c r="ND382" s="9"/>
      <c r="NE382" s="9"/>
      <c r="NF382" s="9"/>
      <c r="NG382" s="9"/>
      <c r="NH382" s="9"/>
      <c r="NI382" s="9"/>
      <c r="NJ382" s="9"/>
      <c r="NK382" s="9"/>
      <c r="NL382" s="9"/>
      <c r="NM382" s="9"/>
      <c r="NN382" s="9"/>
      <c r="NO382" s="9"/>
      <c r="NP382" s="9"/>
      <c r="NQ382" s="9"/>
      <c r="NR382" s="9"/>
      <c r="NS382" s="9"/>
      <c r="NT382" s="9"/>
      <c r="NU382" s="9"/>
      <c r="NV382" s="9"/>
      <c r="NW382" s="9"/>
      <c r="NX382" s="9"/>
      <c r="NY382" s="9"/>
      <c r="NZ382" s="9"/>
      <c r="OA382" s="9"/>
      <c r="OB382" s="9"/>
      <c r="OC382" s="9"/>
      <c r="OD382" s="9"/>
      <c r="OE382" s="9"/>
      <c r="OF382" s="9"/>
      <c r="OG382" s="9"/>
      <c r="OH382" s="9"/>
      <c r="OI382" s="9"/>
      <c r="OJ382" s="9"/>
      <c r="OK382" s="9"/>
      <c r="OL382" s="9"/>
      <c r="OM382" s="9"/>
      <c r="ON382" s="9"/>
      <c r="OO382" s="9"/>
      <c r="OP382" s="9"/>
      <c r="OQ382" s="9"/>
      <c r="OR382" s="9"/>
      <c r="OS382" s="9"/>
      <c r="OT382" s="9"/>
      <c r="OU382" s="9"/>
      <c r="OV382" s="9"/>
      <c r="OW382" s="9"/>
      <c r="OX382" s="9"/>
      <c r="OY382" s="9"/>
      <c r="OZ382" s="9"/>
      <c r="PA382" s="9"/>
      <c r="PB382" s="9"/>
      <c r="PC382" s="9"/>
      <c r="PD382" s="9"/>
      <c r="PE382" s="9"/>
      <c r="PF382" s="9"/>
      <c r="PG382" s="9"/>
      <c r="PH382" s="9"/>
      <c r="PI382" s="9"/>
      <c r="PJ382" s="9"/>
      <c r="PK382" s="9"/>
      <c r="PL382" s="9"/>
      <c r="PM382" s="9"/>
      <c r="PN382" s="9"/>
      <c r="PO382" s="9"/>
      <c r="PP382" s="9"/>
      <c r="PQ382" s="9"/>
      <c r="PR382" s="9"/>
      <c r="PS382" s="9"/>
      <c r="PT382" s="9"/>
      <c r="PU382" s="9"/>
      <c r="PV382" s="9"/>
      <c r="PW382" s="9"/>
      <c r="PX382" s="9"/>
      <c r="PY382" s="9"/>
      <c r="PZ382" s="9"/>
      <c r="QA382" s="9"/>
      <c r="QB382" s="9"/>
      <c r="QC382" s="9"/>
      <c r="QD382" s="9"/>
      <c r="QE382" s="9"/>
      <c r="QF382" s="9"/>
      <c r="QG382" s="9"/>
      <c r="QH382" s="9"/>
      <c r="QI382" s="9"/>
      <c r="QJ382" s="9"/>
      <c r="QK382" s="9"/>
      <c r="QL382" s="9"/>
      <c r="QM382" s="9"/>
      <c r="QN382" s="9"/>
      <c r="QO382" s="9"/>
      <c r="QP382" s="9"/>
      <c r="QQ382" s="9"/>
      <c r="QR382" s="9"/>
      <c r="QS382" s="9"/>
      <c r="QT382" s="9"/>
      <c r="QU382" s="9"/>
      <c r="QV382" s="9"/>
      <c r="QW382" s="9"/>
      <c r="QX382" s="9"/>
      <c r="QY382" s="9"/>
      <c r="QZ382" s="9"/>
      <c r="RA382" s="9"/>
      <c r="RB382" s="9"/>
      <c r="RC382" s="9"/>
      <c r="RD382" s="9"/>
      <c r="RE382" s="9"/>
      <c r="RF382" s="9"/>
      <c r="RG382" s="9"/>
      <c r="RH382" s="9"/>
      <c r="RI382" s="9"/>
      <c r="RJ382" s="9"/>
      <c r="RK382" s="9"/>
      <c r="RL382" s="9"/>
      <c r="RM382" s="9"/>
      <c r="RN382" s="9"/>
      <c r="RO382" s="9"/>
      <c r="RP382" s="9"/>
      <c r="RQ382" s="9"/>
      <c r="RR382" s="9"/>
      <c r="RS382" s="9"/>
      <c r="RT382" s="9"/>
      <c r="RU382" s="9"/>
      <c r="RV382" s="9"/>
      <c r="RW382" s="9"/>
      <c r="RX382" s="9"/>
      <c r="RY382" s="9"/>
      <c r="RZ382" s="9"/>
      <c r="SA382" s="9"/>
      <c r="SB382" s="9"/>
      <c r="SC382" s="9"/>
      <c r="SD382" s="9"/>
      <c r="SE382" s="9"/>
      <c r="SF382" s="9"/>
      <c r="SG382" s="9"/>
      <c r="SH382" s="9"/>
      <c r="SI382" s="9"/>
      <c r="SJ382" s="9"/>
      <c r="SK382" s="9"/>
      <c r="SL382" s="9"/>
      <c r="SM382" s="9"/>
      <c r="SN382" s="9"/>
      <c r="SO382" s="9"/>
      <c r="SP382" s="9"/>
      <c r="SQ382" s="9"/>
      <c r="SR382" s="9"/>
      <c r="SS382" s="9"/>
      <c r="ST382" s="9"/>
      <c r="SU382" s="9"/>
      <c r="SV382" s="9"/>
      <c r="SW382" s="9"/>
      <c r="SX382" s="9"/>
      <c r="SY382" s="9"/>
      <c r="SZ382" s="9"/>
      <c r="TA382" s="9"/>
      <c r="TB382" s="9"/>
      <c r="TC382" s="9"/>
      <c r="TD382" s="9"/>
      <c r="TE382" s="9"/>
      <c r="TF382" s="9"/>
      <c r="TG382" s="9"/>
      <c r="TH382" s="9"/>
      <c r="TI382" s="9"/>
      <c r="TJ382" s="9"/>
      <c r="TK382" s="9"/>
      <c r="TL382" s="9"/>
      <c r="TM382" s="9"/>
      <c r="TN382" s="9"/>
      <c r="TO382" s="9"/>
      <c r="TP382" s="9"/>
      <c r="TQ382" s="9"/>
      <c r="TR382" s="9"/>
      <c r="TS382" s="9"/>
      <c r="TT382" s="9"/>
      <c r="TU382" s="9"/>
      <c r="TV382" s="9"/>
      <c r="TW382" s="9"/>
      <c r="TX382" s="9"/>
      <c r="TY382" s="9"/>
      <c r="TZ382" s="9"/>
      <c r="UA382" s="9"/>
      <c r="UB382" s="9"/>
      <c r="UC382" s="9"/>
      <c r="UD382" s="9"/>
      <c r="UE382" s="9"/>
      <c r="UF382" s="9"/>
      <c r="UG382" s="9"/>
      <c r="UH382" s="9"/>
      <c r="UI382" s="9"/>
      <c r="UJ382" s="9"/>
    </row>
    <row r="383">
      <c r="A383" s="8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</row>
    <row r="384">
      <c r="A384" s="8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/>
      <c r="IP384" s="9"/>
      <c r="IQ384" s="9"/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9"/>
      <c r="JE384" s="9"/>
      <c r="JF384" s="9"/>
      <c r="JG384" s="9"/>
      <c r="JH384" s="9"/>
      <c r="JI384" s="9"/>
      <c r="JJ384" s="9"/>
      <c r="JK384" s="9"/>
      <c r="JL384" s="9"/>
      <c r="JM384" s="9"/>
      <c r="JN384" s="9"/>
      <c r="JO384" s="9"/>
      <c r="JP384" s="9"/>
      <c r="JQ384" s="9"/>
      <c r="JR384" s="9"/>
      <c r="JS384" s="9"/>
      <c r="JT384" s="9"/>
      <c r="JU384" s="9"/>
      <c r="JV384" s="9"/>
      <c r="JW384" s="9"/>
      <c r="JX384" s="9"/>
      <c r="JY384" s="9"/>
      <c r="JZ384" s="9"/>
      <c r="KA384" s="9"/>
      <c r="KB384" s="9"/>
      <c r="KC384" s="9"/>
      <c r="KD384" s="9"/>
      <c r="KE384" s="9"/>
      <c r="KF384" s="9"/>
      <c r="KG384" s="9"/>
      <c r="KH384" s="9"/>
      <c r="KI384" s="9"/>
      <c r="KJ384" s="9"/>
      <c r="KK384" s="9"/>
      <c r="KL384" s="9"/>
      <c r="KM384" s="9"/>
      <c r="KN384" s="9"/>
      <c r="KO384" s="9"/>
      <c r="KP384" s="9"/>
      <c r="KQ384" s="9"/>
      <c r="KR384" s="9"/>
      <c r="KS384" s="9"/>
      <c r="KT384" s="9"/>
      <c r="KU384" s="9"/>
      <c r="KV384" s="9"/>
      <c r="KW384" s="9"/>
      <c r="KX384" s="9"/>
      <c r="KY384" s="9"/>
      <c r="KZ384" s="9"/>
      <c r="LA384" s="9"/>
      <c r="LB384" s="9"/>
      <c r="LC384" s="9"/>
      <c r="LD384" s="9"/>
      <c r="LE384" s="9"/>
      <c r="LF384" s="9"/>
      <c r="LG384" s="9"/>
      <c r="LH384" s="9"/>
      <c r="LI384" s="9"/>
      <c r="LJ384" s="9"/>
      <c r="LK384" s="9"/>
      <c r="LL384" s="9"/>
      <c r="LM384" s="9"/>
      <c r="LN384" s="9"/>
      <c r="LO384" s="9"/>
      <c r="LP384" s="9"/>
      <c r="LQ384" s="9"/>
      <c r="LR384" s="9"/>
      <c r="LS384" s="9"/>
      <c r="LT384" s="9"/>
      <c r="LU384" s="9"/>
      <c r="LV384" s="9"/>
      <c r="LW384" s="9"/>
      <c r="LX384" s="9"/>
      <c r="LY384" s="9"/>
      <c r="LZ384" s="9"/>
      <c r="MA384" s="9"/>
      <c r="MB384" s="9"/>
      <c r="MC384" s="9"/>
      <c r="MD384" s="9"/>
      <c r="ME384" s="9"/>
      <c r="MF384" s="9"/>
      <c r="MG384" s="9"/>
      <c r="MH384" s="9"/>
      <c r="MI384" s="9"/>
      <c r="MJ384" s="9"/>
      <c r="MK384" s="9"/>
      <c r="ML384" s="9"/>
      <c r="MM384" s="9"/>
      <c r="MN384" s="9"/>
      <c r="MO384" s="9"/>
      <c r="MP384" s="9"/>
      <c r="MQ384" s="9"/>
      <c r="MR384" s="9"/>
      <c r="MS384" s="9"/>
      <c r="MT384" s="9"/>
      <c r="MU384" s="9"/>
      <c r="MV384" s="9"/>
      <c r="MW384" s="9"/>
      <c r="MX384" s="9"/>
      <c r="MY384" s="9"/>
      <c r="MZ384" s="9"/>
      <c r="NA384" s="9"/>
      <c r="NB384" s="9"/>
      <c r="NC384" s="9"/>
      <c r="ND384" s="9"/>
      <c r="NE384" s="9"/>
      <c r="NF384" s="9"/>
      <c r="NG384" s="9"/>
      <c r="NH384" s="9"/>
      <c r="NI384" s="9"/>
      <c r="NJ384" s="9"/>
      <c r="NK384" s="9"/>
      <c r="NL384" s="9"/>
      <c r="NM384" s="9"/>
      <c r="NN384" s="9"/>
      <c r="NO384" s="9"/>
      <c r="NP384" s="9"/>
      <c r="NQ384" s="9"/>
      <c r="NR384" s="9"/>
      <c r="NS384" s="9"/>
      <c r="NT384" s="9"/>
      <c r="NU384" s="9"/>
      <c r="NV384" s="9"/>
      <c r="NW384" s="9"/>
      <c r="NX384" s="9"/>
      <c r="NY384" s="9"/>
      <c r="NZ384" s="9"/>
      <c r="OA384" s="9"/>
      <c r="OB384" s="9"/>
      <c r="OC384" s="9"/>
      <c r="OD384" s="9"/>
      <c r="OE384" s="9"/>
      <c r="OF384" s="9"/>
      <c r="OG384" s="9"/>
      <c r="OH384" s="9"/>
      <c r="OI384" s="9"/>
      <c r="OJ384" s="9"/>
      <c r="OK384" s="9"/>
      <c r="OL384" s="9"/>
      <c r="OM384" s="9"/>
      <c r="ON384" s="9"/>
      <c r="OO384" s="9"/>
      <c r="OP384" s="9"/>
      <c r="OQ384" s="9"/>
      <c r="OR384" s="9"/>
      <c r="OS384" s="9"/>
      <c r="OT384" s="9"/>
      <c r="OU384" s="9"/>
      <c r="OV384" s="9"/>
      <c r="OW384" s="9"/>
      <c r="OX384" s="9"/>
      <c r="OY384" s="9"/>
      <c r="OZ384" s="9"/>
      <c r="PA384" s="9"/>
      <c r="PB384" s="9"/>
      <c r="PC384" s="9"/>
      <c r="PD384" s="9"/>
      <c r="PE384" s="9"/>
      <c r="PF384" s="9"/>
      <c r="PG384" s="9"/>
      <c r="PH384" s="9"/>
      <c r="PI384" s="9"/>
      <c r="PJ384" s="9"/>
      <c r="PK384" s="9"/>
      <c r="PL384" s="9"/>
      <c r="PM384" s="9"/>
      <c r="PN384" s="9"/>
      <c r="PO384" s="9"/>
      <c r="PP384" s="9"/>
      <c r="PQ384" s="9"/>
      <c r="PR384" s="9"/>
      <c r="PS384" s="9"/>
      <c r="PT384" s="9"/>
      <c r="PU384" s="9"/>
      <c r="PV384" s="9"/>
      <c r="PW384" s="9"/>
      <c r="PX384" s="9"/>
      <c r="PY384" s="9"/>
      <c r="PZ384" s="9"/>
      <c r="QA384" s="9"/>
      <c r="QB384" s="9"/>
      <c r="QC384" s="9"/>
      <c r="QD384" s="9"/>
      <c r="QE384" s="9"/>
      <c r="QF384" s="9"/>
      <c r="QG384" s="9"/>
      <c r="QH384" s="9"/>
      <c r="QI384" s="9"/>
      <c r="QJ384" s="9"/>
      <c r="QK384" s="9"/>
      <c r="QL384" s="9"/>
      <c r="QM384" s="9"/>
      <c r="QN384" s="9"/>
      <c r="QO384" s="9"/>
      <c r="QP384" s="9"/>
      <c r="QQ384" s="9"/>
      <c r="QR384" s="9"/>
      <c r="QS384" s="9"/>
      <c r="QT384" s="9"/>
      <c r="QU384" s="9"/>
      <c r="QV384" s="9"/>
      <c r="QW384" s="9"/>
      <c r="QX384" s="9"/>
      <c r="QY384" s="9"/>
      <c r="QZ384" s="9"/>
      <c r="RA384" s="9"/>
      <c r="RB384" s="9"/>
      <c r="RC384" s="9"/>
      <c r="RD384" s="9"/>
      <c r="RE384" s="9"/>
      <c r="RF384" s="9"/>
      <c r="RG384" s="9"/>
      <c r="RH384" s="9"/>
      <c r="RI384" s="9"/>
      <c r="RJ384" s="9"/>
      <c r="RK384" s="9"/>
      <c r="RL384" s="9"/>
      <c r="RM384" s="9"/>
      <c r="RN384" s="9"/>
      <c r="RO384" s="9"/>
      <c r="RP384" s="9"/>
      <c r="RQ384" s="9"/>
      <c r="RR384" s="9"/>
      <c r="RS384" s="9"/>
      <c r="RT384" s="9"/>
      <c r="RU384" s="9"/>
      <c r="RV384" s="9"/>
      <c r="RW384" s="9"/>
      <c r="RX384" s="9"/>
      <c r="RY384" s="9"/>
      <c r="RZ384" s="9"/>
      <c r="SA384" s="9"/>
      <c r="SB384" s="9"/>
      <c r="SC384" s="9"/>
      <c r="SD384" s="9"/>
      <c r="SE384" s="9"/>
      <c r="SF384" s="9"/>
      <c r="SG384" s="9"/>
      <c r="SH384" s="9"/>
      <c r="SI384" s="9"/>
      <c r="SJ384" s="9"/>
      <c r="SK384" s="9"/>
      <c r="SL384" s="9"/>
      <c r="SM384" s="9"/>
      <c r="SN384" s="9"/>
      <c r="SO384" s="9"/>
      <c r="SP384" s="9"/>
      <c r="SQ384" s="9"/>
      <c r="SR384" s="9"/>
      <c r="SS384" s="9"/>
      <c r="ST384" s="9"/>
      <c r="SU384" s="9"/>
      <c r="SV384" s="9"/>
      <c r="SW384" s="9"/>
      <c r="SX384" s="9"/>
      <c r="SY384" s="9"/>
      <c r="SZ384" s="9"/>
      <c r="TA384" s="9"/>
      <c r="TB384" s="9"/>
      <c r="TC384" s="9"/>
      <c r="TD384" s="9"/>
      <c r="TE384" s="9"/>
      <c r="TF384" s="9"/>
      <c r="TG384" s="9"/>
      <c r="TH384" s="9"/>
      <c r="TI384" s="9"/>
      <c r="TJ384" s="9"/>
      <c r="TK384" s="9"/>
      <c r="TL384" s="9"/>
      <c r="TM384" s="9"/>
      <c r="TN384" s="9"/>
      <c r="TO384" s="9"/>
      <c r="TP384" s="9"/>
      <c r="TQ384" s="9"/>
      <c r="TR384" s="9"/>
      <c r="TS384" s="9"/>
      <c r="TT384" s="9"/>
      <c r="TU384" s="9"/>
      <c r="TV384" s="9"/>
      <c r="TW384" s="9"/>
      <c r="TX384" s="9"/>
      <c r="TY384" s="9"/>
      <c r="TZ384" s="9"/>
      <c r="UA384" s="9"/>
      <c r="UB384" s="9"/>
      <c r="UC384" s="9"/>
      <c r="UD384" s="9"/>
      <c r="UE384" s="9"/>
      <c r="UF384" s="9"/>
      <c r="UG384" s="9"/>
      <c r="UH384" s="9"/>
      <c r="UI384" s="9"/>
      <c r="UJ384" s="9"/>
    </row>
    <row r="385">
      <c r="A385" s="8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/>
      <c r="IP385" s="9"/>
      <c r="IQ385" s="9"/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9"/>
      <c r="JE385" s="9"/>
      <c r="JF385" s="9"/>
      <c r="JG385" s="9"/>
      <c r="JH385" s="9"/>
      <c r="JI385" s="9"/>
      <c r="JJ385" s="9"/>
      <c r="JK385" s="9"/>
      <c r="JL385" s="9"/>
      <c r="JM385" s="9"/>
      <c r="JN385" s="9"/>
      <c r="JO385" s="9"/>
      <c r="JP385" s="9"/>
      <c r="JQ385" s="9"/>
      <c r="JR385" s="9"/>
      <c r="JS385" s="9"/>
      <c r="JT385" s="9"/>
      <c r="JU385" s="9"/>
      <c r="JV385" s="9"/>
      <c r="JW385" s="9"/>
      <c r="JX385" s="9"/>
      <c r="JY385" s="9"/>
      <c r="JZ385" s="9"/>
      <c r="KA385" s="9"/>
      <c r="KB385" s="9"/>
      <c r="KC385" s="9"/>
      <c r="KD385" s="9"/>
      <c r="KE385" s="9"/>
      <c r="KF385" s="9"/>
      <c r="KG385" s="9"/>
      <c r="KH385" s="9"/>
      <c r="KI385" s="9"/>
      <c r="KJ385" s="9"/>
      <c r="KK385" s="9"/>
      <c r="KL385" s="9"/>
      <c r="KM385" s="9"/>
      <c r="KN385" s="9"/>
      <c r="KO385" s="9"/>
      <c r="KP385" s="9"/>
      <c r="KQ385" s="9"/>
      <c r="KR385" s="9"/>
      <c r="KS385" s="9"/>
      <c r="KT385" s="9"/>
      <c r="KU385" s="9"/>
      <c r="KV385" s="9"/>
      <c r="KW385" s="9"/>
      <c r="KX385" s="9"/>
      <c r="KY385" s="9"/>
      <c r="KZ385" s="9"/>
      <c r="LA385" s="9"/>
      <c r="LB385" s="9"/>
      <c r="LC385" s="9"/>
      <c r="LD385" s="9"/>
      <c r="LE385" s="9"/>
      <c r="LF385" s="9"/>
      <c r="LG385" s="9"/>
      <c r="LH385" s="9"/>
      <c r="LI385" s="9"/>
      <c r="LJ385" s="9"/>
      <c r="LK385" s="9"/>
      <c r="LL385" s="9"/>
      <c r="LM385" s="9"/>
      <c r="LN385" s="9"/>
      <c r="LO385" s="9"/>
      <c r="LP385" s="9"/>
      <c r="LQ385" s="9"/>
      <c r="LR385" s="9"/>
      <c r="LS385" s="9"/>
      <c r="LT385" s="9"/>
      <c r="LU385" s="9"/>
      <c r="LV385" s="9"/>
      <c r="LW385" s="9"/>
      <c r="LX385" s="9"/>
      <c r="LY385" s="9"/>
      <c r="LZ385" s="9"/>
      <c r="MA385" s="9"/>
      <c r="MB385" s="9"/>
      <c r="MC385" s="9"/>
      <c r="MD385" s="9"/>
      <c r="ME385" s="9"/>
      <c r="MF385" s="9"/>
      <c r="MG385" s="9"/>
      <c r="MH385" s="9"/>
      <c r="MI385" s="9"/>
      <c r="MJ385" s="9"/>
      <c r="MK385" s="9"/>
      <c r="ML385" s="9"/>
      <c r="MM385" s="9"/>
      <c r="MN385" s="9"/>
      <c r="MO385" s="9"/>
      <c r="MP385" s="9"/>
      <c r="MQ385" s="9"/>
      <c r="MR385" s="9"/>
      <c r="MS385" s="9"/>
      <c r="MT385" s="9"/>
      <c r="MU385" s="9"/>
      <c r="MV385" s="9"/>
      <c r="MW385" s="9"/>
      <c r="MX385" s="9"/>
      <c r="MY385" s="9"/>
      <c r="MZ385" s="9"/>
      <c r="NA385" s="9"/>
      <c r="NB385" s="9"/>
      <c r="NC385" s="9"/>
      <c r="ND385" s="9"/>
      <c r="NE385" s="9"/>
      <c r="NF385" s="9"/>
      <c r="NG385" s="9"/>
      <c r="NH385" s="9"/>
      <c r="NI385" s="9"/>
      <c r="NJ385" s="9"/>
      <c r="NK385" s="9"/>
      <c r="NL385" s="9"/>
      <c r="NM385" s="9"/>
      <c r="NN385" s="9"/>
      <c r="NO385" s="9"/>
      <c r="NP385" s="9"/>
      <c r="NQ385" s="9"/>
      <c r="NR385" s="9"/>
      <c r="NS385" s="9"/>
      <c r="NT385" s="9"/>
      <c r="NU385" s="9"/>
      <c r="NV385" s="9"/>
      <c r="NW385" s="9"/>
      <c r="NX385" s="9"/>
      <c r="NY385" s="9"/>
      <c r="NZ385" s="9"/>
      <c r="OA385" s="9"/>
      <c r="OB385" s="9"/>
      <c r="OC385" s="9"/>
      <c r="OD385" s="9"/>
      <c r="OE385" s="9"/>
      <c r="OF385" s="9"/>
      <c r="OG385" s="9"/>
      <c r="OH385" s="9"/>
      <c r="OI385" s="9"/>
      <c r="OJ385" s="9"/>
      <c r="OK385" s="9"/>
      <c r="OL385" s="9"/>
      <c r="OM385" s="9"/>
      <c r="ON385" s="9"/>
      <c r="OO385" s="9"/>
      <c r="OP385" s="9"/>
      <c r="OQ385" s="9"/>
      <c r="OR385" s="9"/>
      <c r="OS385" s="9"/>
      <c r="OT385" s="9"/>
      <c r="OU385" s="9"/>
      <c r="OV385" s="9"/>
      <c r="OW385" s="9"/>
      <c r="OX385" s="9"/>
      <c r="OY385" s="9"/>
      <c r="OZ385" s="9"/>
      <c r="PA385" s="9"/>
      <c r="PB385" s="9"/>
      <c r="PC385" s="9"/>
      <c r="PD385" s="9"/>
      <c r="PE385" s="9"/>
      <c r="PF385" s="9"/>
      <c r="PG385" s="9"/>
      <c r="PH385" s="9"/>
      <c r="PI385" s="9"/>
      <c r="PJ385" s="9"/>
      <c r="PK385" s="9"/>
      <c r="PL385" s="9"/>
      <c r="PM385" s="9"/>
      <c r="PN385" s="9"/>
      <c r="PO385" s="9"/>
      <c r="PP385" s="9"/>
      <c r="PQ385" s="9"/>
      <c r="PR385" s="9"/>
      <c r="PS385" s="9"/>
      <c r="PT385" s="9"/>
      <c r="PU385" s="9"/>
      <c r="PV385" s="9"/>
      <c r="PW385" s="9"/>
      <c r="PX385" s="9"/>
      <c r="PY385" s="9"/>
      <c r="PZ385" s="9"/>
      <c r="QA385" s="9"/>
      <c r="QB385" s="9"/>
      <c r="QC385" s="9"/>
      <c r="QD385" s="9"/>
      <c r="QE385" s="9"/>
      <c r="QF385" s="9"/>
      <c r="QG385" s="9"/>
      <c r="QH385" s="9"/>
      <c r="QI385" s="9"/>
      <c r="QJ385" s="9"/>
      <c r="QK385" s="9"/>
      <c r="QL385" s="9"/>
      <c r="QM385" s="9"/>
      <c r="QN385" s="9"/>
      <c r="QO385" s="9"/>
      <c r="QP385" s="9"/>
      <c r="QQ385" s="9"/>
      <c r="QR385" s="9"/>
      <c r="QS385" s="9"/>
      <c r="QT385" s="9"/>
      <c r="QU385" s="9"/>
      <c r="QV385" s="9"/>
      <c r="QW385" s="9"/>
      <c r="QX385" s="9"/>
      <c r="QY385" s="9"/>
      <c r="QZ385" s="9"/>
      <c r="RA385" s="9"/>
      <c r="RB385" s="9"/>
      <c r="RC385" s="9"/>
      <c r="RD385" s="9"/>
      <c r="RE385" s="9"/>
      <c r="RF385" s="9"/>
      <c r="RG385" s="9"/>
      <c r="RH385" s="9"/>
      <c r="RI385" s="9"/>
      <c r="RJ385" s="9"/>
      <c r="RK385" s="9"/>
      <c r="RL385" s="9"/>
      <c r="RM385" s="9"/>
      <c r="RN385" s="9"/>
      <c r="RO385" s="9"/>
      <c r="RP385" s="9"/>
      <c r="RQ385" s="9"/>
      <c r="RR385" s="9"/>
      <c r="RS385" s="9"/>
      <c r="RT385" s="9"/>
      <c r="RU385" s="9"/>
      <c r="RV385" s="9"/>
      <c r="RW385" s="9"/>
      <c r="RX385" s="9"/>
      <c r="RY385" s="9"/>
      <c r="RZ385" s="9"/>
      <c r="SA385" s="9"/>
      <c r="SB385" s="9"/>
      <c r="SC385" s="9"/>
      <c r="SD385" s="9"/>
      <c r="SE385" s="9"/>
      <c r="SF385" s="9"/>
      <c r="SG385" s="9"/>
      <c r="SH385" s="9"/>
      <c r="SI385" s="9"/>
      <c r="SJ385" s="9"/>
      <c r="SK385" s="9"/>
      <c r="SL385" s="9"/>
      <c r="SM385" s="9"/>
      <c r="SN385" s="9"/>
      <c r="SO385" s="9"/>
      <c r="SP385" s="9"/>
      <c r="SQ385" s="9"/>
      <c r="SR385" s="9"/>
      <c r="SS385" s="9"/>
      <c r="ST385" s="9"/>
      <c r="SU385" s="9"/>
      <c r="SV385" s="9"/>
      <c r="SW385" s="9"/>
      <c r="SX385" s="9"/>
      <c r="SY385" s="9"/>
      <c r="SZ385" s="9"/>
      <c r="TA385" s="9"/>
      <c r="TB385" s="9"/>
      <c r="TC385" s="9"/>
      <c r="TD385" s="9"/>
      <c r="TE385" s="9"/>
      <c r="TF385" s="9"/>
      <c r="TG385" s="9"/>
      <c r="TH385" s="9"/>
      <c r="TI385" s="9"/>
      <c r="TJ385" s="9"/>
      <c r="TK385" s="9"/>
      <c r="TL385" s="9"/>
      <c r="TM385" s="9"/>
      <c r="TN385" s="9"/>
      <c r="TO385" s="9"/>
      <c r="TP385" s="9"/>
      <c r="TQ385" s="9"/>
      <c r="TR385" s="9"/>
      <c r="TS385" s="9"/>
      <c r="TT385" s="9"/>
      <c r="TU385" s="9"/>
      <c r="TV385" s="9"/>
      <c r="TW385" s="9"/>
      <c r="TX385" s="9"/>
      <c r="TY385" s="9"/>
      <c r="TZ385" s="9"/>
      <c r="UA385" s="9"/>
      <c r="UB385" s="9"/>
      <c r="UC385" s="9"/>
      <c r="UD385" s="9"/>
      <c r="UE385" s="9"/>
      <c r="UF385" s="9"/>
      <c r="UG385" s="9"/>
      <c r="UH385" s="9"/>
      <c r="UI385" s="9"/>
      <c r="UJ385" s="9"/>
    </row>
    <row r="386">
      <c r="A386" s="8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</row>
    <row r="387">
      <c r="A387" s="8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</row>
    <row r="388">
      <c r="A388" s="8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</row>
    <row r="389">
      <c r="A389" s="8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</row>
    <row r="390">
      <c r="A390" s="8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/>
      <c r="JF390" s="9"/>
      <c r="JG390" s="9"/>
      <c r="JH390" s="9"/>
      <c r="JI390" s="9"/>
      <c r="JJ390" s="9"/>
      <c r="JK390" s="9"/>
      <c r="JL390" s="9"/>
      <c r="JM390" s="9"/>
      <c r="JN390" s="9"/>
      <c r="JO390" s="9"/>
      <c r="JP390" s="9"/>
      <c r="JQ390" s="9"/>
      <c r="JR390" s="9"/>
      <c r="JS390" s="9"/>
      <c r="JT390" s="9"/>
      <c r="JU390" s="9"/>
      <c r="JV390" s="9"/>
      <c r="JW390" s="9"/>
      <c r="JX390" s="9"/>
      <c r="JY390" s="9"/>
      <c r="JZ390" s="9"/>
      <c r="KA390" s="9"/>
      <c r="KB390" s="9"/>
      <c r="KC390" s="9"/>
      <c r="KD390" s="9"/>
      <c r="KE390" s="9"/>
      <c r="KF390" s="9"/>
      <c r="KG390" s="9"/>
      <c r="KH390" s="9"/>
      <c r="KI390" s="9"/>
      <c r="KJ390" s="9"/>
      <c r="KK390" s="9"/>
      <c r="KL390" s="9"/>
      <c r="KM390" s="9"/>
      <c r="KN390" s="9"/>
      <c r="KO390" s="9"/>
      <c r="KP390" s="9"/>
      <c r="KQ390" s="9"/>
      <c r="KR390" s="9"/>
      <c r="KS390" s="9"/>
      <c r="KT390" s="9"/>
      <c r="KU390" s="9"/>
      <c r="KV390" s="9"/>
      <c r="KW390" s="9"/>
      <c r="KX390" s="9"/>
      <c r="KY390" s="9"/>
      <c r="KZ390" s="9"/>
      <c r="LA390" s="9"/>
      <c r="LB390" s="9"/>
      <c r="LC390" s="9"/>
      <c r="LD390" s="9"/>
      <c r="LE390" s="9"/>
      <c r="LF390" s="9"/>
      <c r="LG390" s="9"/>
      <c r="LH390" s="9"/>
      <c r="LI390" s="9"/>
      <c r="LJ390" s="9"/>
      <c r="LK390" s="9"/>
      <c r="LL390" s="9"/>
      <c r="LM390" s="9"/>
      <c r="LN390" s="9"/>
      <c r="LO390" s="9"/>
      <c r="LP390" s="9"/>
      <c r="LQ390" s="9"/>
      <c r="LR390" s="9"/>
      <c r="LS390" s="9"/>
      <c r="LT390" s="9"/>
      <c r="LU390" s="9"/>
      <c r="LV390" s="9"/>
      <c r="LW390" s="9"/>
      <c r="LX390" s="9"/>
      <c r="LY390" s="9"/>
      <c r="LZ390" s="9"/>
      <c r="MA390" s="9"/>
      <c r="MB390" s="9"/>
      <c r="MC390" s="9"/>
      <c r="MD390" s="9"/>
      <c r="ME390" s="9"/>
      <c r="MF390" s="9"/>
      <c r="MG390" s="9"/>
      <c r="MH390" s="9"/>
      <c r="MI390" s="9"/>
      <c r="MJ390" s="9"/>
      <c r="MK390" s="9"/>
      <c r="ML390" s="9"/>
      <c r="MM390" s="9"/>
      <c r="MN390" s="9"/>
      <c r="MO390" s="9"/>
      <c r="MP390" s="9"/>
      <c r="MQ390" s="9"/>
      <c r="MR390" s="9"/>
      <c r="MS390" s="9"/>
      <c r="MT390" s="9"/>
      <c r="MU390" s="9"/>
      <c r="MV390" s="9"/>
      <c r="MW390" s="9"/>
      <c r="MX390" s="9"/>
      <c r="MY390" s="9"/>
      <c r="MZ390" s="9"/>
      <c r="NA390" s="9"/>
      <c r="NB390" s="9"/>
      <c r="NC390" s="9"/>
      <c r="ND390" s="9"/>
      <c r="NE390" s="9"/>
      <c r="NF390" s="9"/>
      <c r="NG390" s="9"/>
      <c r="NH390" s="9"/>
      <c r="NI390" s="9"/>
      <c r="NJ390" s="9"/>
      <c r="NK390" s="9"/>
      <c r="NL390" s="9"/>
      <c r="NM390" s="9"/>
      <c r="NN390" s="9"/>
      <c r="NO390" s="9"/>
      <c r="NP390" s="9"/>
      <c r="NQ390" s="9"/>
      <c r="NR390" s="9"/>
      <c r="NS390" s="9"/>
      <c r="NT390" s="9"/>
      <c r="NU390" s="9"/>
      <c r="NV390" s="9"/>
      <c r="NW390" s="9"/>
      <c r="NX390" s="9"/>
      <c r="NY390" s="9"/>
      <c r="NZ390" s="9"/>
      <c r="OA390" s="9"/>
      <c r="OB390" s="9"/>
      <c r="OC390" s="9"/>
      <c r="OD390" s="9"/>
      <c r="OE390" s="9"/>
      <c r="OF390" s="9"/>
      <c r="OG390" s="9"/>
      <c r="OH390" s="9"/>
      <c r="OI390" s="9"/>
      <c r="OJ390" s="9"/>
      <c r="OK390" s="9"/>
      <c r="OL390" s="9"/>
      <c r="OM390" s="9"/>
      <c r="ON390" s="9"/>
      <c r="OO390" s="9"/>
      <c r="OP390" s="9"/>
      <c r="OQ390" s="9"/>
      <c r="OR390" s="9"/>
      <c r="OS390" s="9"/>
      <c r="OT390" s="9"/>
      <c r="OU390" s="9"/>
      <c r="OV390" s="9"/>
      <c r="OW390" s="9"/>
      <c r="OX390" s="9"/>
      <c r="OY390" s="9"/>
      <c r="OZ390" s="9"/>
      <c r="PA390" s="9"/>
      <c r="PB390" s="9"/>
      <c r="PC390" s="9"/>
      <c r="PD390" s="9"/>
      <c r="PE390" s="9"/>
      <c r="PF390" s="9"/>
      <c r="PG390" s="9"/>
      <c r="PH390" s="9"/>
      <c r="PI390" s="9"/>
      <c r="PJ390" s="9"/>
      <c r="PK390" s="9"/>
      <c r="PL390" s="9"/>
      <c r="PM390" s="9"/>
      <c r="PN390" s="9"/>
      <c r="PO390" s="9"/>
      <c r="PP390" s="9"/>
      <c r="PQ390" s="9"/>
      <c r="PR390" s="9"/>
      <c r="PS390" s="9"/>
      <c r="PT390" s="9"/>
      <c r="PU390" s="9"/>
      <c r="PV390" s="9"/>
      <c r="PW390" s="9"/>
      <c r="PX390" s="9"/>
      <c r="PY390" s="9"/>
      <c r="PZ390" s="9"/>
      <c r="QA390" s="9"/>
      <c r="QB390" s="9"/>
      <c r="QC390" s="9"/>
      <c r="QD390" s="9"/>
      <c r="QE390" s="9"/>
      <c r="QF390" s="9"/>
      <c r="QG390" s="9"/>
      <c r="QH390" s="9"/>
      <c r="QI390" s="9"/>
      <c r="QJ390" s="9"/>
      <c r="QK390" s="9"/>
      <c r="QL390" s="9"/>
      <c r="QM390" s="9"/>
      <c r="QN390" s="9"/>
      <c r="QO390" s="9"/>
      <c r="QP390" s="9"/>
      <c r="QQ390" s="9"/>
      <c r="QR390" s="9"/>
      <c r="QS390" s="9"/>
      <c r="QT390" s="9"/>
      <c r="QU390" s="9"/>
      <c r="QV390" s="9"/>
      <c r="QW390" s="9"/>
      <c r="QX390" s="9"/>
      <c r="QY390" s="9"/>
      <c r="QZ390" s="9"/>
      <c r="RA390" s="9"/>
      <c r="RB390" s="9"/>
      <c r="RC390" s="9"/>
      <c r="RD390" s="9"/>
      <c r="RE390" s="9"/>
      <c r="RF390" s="9"/>
      <c r="RG390" s="9"/>
      <c r="RH390" s="9"/>
      <c r="RI390" s="9"/>
      <c r="RJ390" s="9"/>
      <c r="RK390" s="9"/>
      <c r="RL390" s="9"/>
      <c r="RM390" s="9"/>
      <c r="RN390" s="9"/>
      <c r="RO390" s="9"/>
      <c r="RP390" s="9"/>
      <c r="RQ390" s="9"/>
      <c r="RR390" s="9"/>
      <c r="RS390" s="9"/>
      <c r="RT390" s="9"/>
      <c r="RU390" s="9"/>
      <c r="RV390" s="9"/>
      <c r="RW390" s="9"/>
      <c r="RX390" s="9"/>
      <c r="RY390" s="9"/>
      <c r="RZ390" s="9"/>
      <c r="SA390" s="9"/>
      <c r="SB390" s="9"/>
      <c r="SC390" s="9"/>
      <c r="SD390" s="9"/>
      <c r="SE390" s="9"/>
      <c r="SF390" s="9"/>
      <c r="SG390" s="9"/>
      <c r="SH390" s="9"/>
      <c r="SI390" s="9"/>
      <c r="SJ390" s="9"/>
      <c r="SK390" s="9"/>
      <c r="SL390" s="9"/>
      <c r="SM390" s="9"/>
      <c r="SN390" s="9"/>
      <c r="SO390" s="9"/>
      <c r="SP390" s="9"/>
      <c r="SQ390" s="9"/>
      <c r="SR390" s="9"/>
      <c r="SS390" s="9"/>
      <c r="ST390" s="9"/>
      <c r="SU390" s="9"/>
      <c r="SV390" s="9"/>
      <c r="SW390" s="9"/>
      <c r="SX390" s="9"/>
      <c r="SY390" s="9"/>
      <c r="SZ390" s="9"/>
      <c r="TA390" s="9"/>
      <c r="TB390" s="9"/>
      <c r="TC390" s="9"/>
      <c r="TD390" s="9"/>
      <c r="TE390" s="9"/>
      <c r="TF390" s="9"/>
      <c r="TG390" s="9"/>
      <c r="TH390" s="9"/>
      <c r="TI390" s="9"/>
      <c r="TJ390" s="9"/>
      <c r="TK390" s="9"/>
      <c r="TL390" s="9"/>
      <c r="TM390" s="9"/>
      <c r="TN390" s="9"/>
      <c r="TO390" s="9"/>
      <c r="TP390" s="9"/>
      <c r="TQ390" s="9"/>
      <c r="TR390" s="9"/>
      <c r="TS390" s="9"/>
      <c r="TT390" s="9"/>
      <c r="TU390" s="9"/>
      <c r="TV390" s="9"/>
      <c r="TW390" s="9"/>
      <c r="TX390" s="9"/>
      <c r="TY390" s="9"/>
      <c r="TZ390" s="9"/>
      <c r="UA390" s="9"/>
      <c r="UB390" s="9"/>
      <c r="UC390" s="9"/>
      <c r="UD390" s="9"/>
      <c r="UE390" s="9"/>
      <c r="UF390" s="9"/>
      <c r="UG390" s="9"/>
      <c r="UH390" s="9"/>
      <c r="UI390" s="9"/>
      <c r="UJ390" s="9"/>
    </row>
    <row r="391">
      <c r="A391" s="8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</row>
    <row r="392">
      <c r="A392" s="8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</row>
    <row r="393">
      <c r="A393" s="8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</row>
    <row r="394">
      <c r="A394" s="8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</row>
    <row r="395">
      <c r="A395" s="8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/>
      <c r="JF395" s="9"/>
      <c r="JG395" s="9"/>
      <c r="JH395" s="9"/>
      <c r="JI395" s="9"/>
      <c r="JJ395" s="9"/>
      <c r="JK395" s="9"/>
      <c r="JL395" s="9"/>
      <c r="JM395" s="9"/>
      <c r="JN395" s="9"/>
      <c r="JO395" s="9"/>
      <c r="JP395" s="9"/>
      <c r="JQ395" s="9"/>
      <c r="JR395" s="9"/>
      <c r="JS395" s="9"/>
      <c r="JT395" s="9"/>
      <c r="JU395" s="9"/>
      <c r="JV395" s="9"/>
      <c r="JW395" s="9"/>
      <c r="JX395" s="9"/>
      <c r="JY395" s="9"/>
      <c r="JZ395" s="9"/>
      <c r="KA395" s="9"/>
      <c r="KB395" s="9"/>
      <c r="KC395" s="9"/>
      <c r="KD395" s="9"/>
      <c r="KE395" s="9"/>
      <c r="KF395" s="9"/>
      <c r="KG395" s="9"/>
      <c r="KH395" s="9"/>
      <c r="KI395" s="9"/>
      <c r="KJ395" s="9"/>
      <c r="KK395" s="9"/>
      <c r="KL395" s="9"/>
      <c r="KM395" s="9"/>
      <c r="KN395" s="9"/>
      <c r="KO395" s="9"/>
      <c r="KP395" s="9"/>
      <c r="KQ395" s="9"/>
      <c r="KR395" s="9"/>
      <c r="KS395" s="9"/>
      <c r="KT395" s="9"/>
      <c r="KU395" s="9"/>
      <c r="KV395" s="9"/>
      <c r="KW395" s="9"/>
      <c r="KX395" s="9"/>
      <c r="KY395" s="9"/>
      <c r="KZ395" s="9"/>
      <c r="LA395" s="9"/>
      <c r="LB395" s="9"/>
      <c r="LC395" s="9"/>
      <c r="LD395" s="9"/>
      <c r="LE395" s="9"/>
      <c r="LF395" s="9"/>
      <c r="LG395" s="9"/>
      <c r="LH395" s="9"/>
      <c r="LI395" s="9"/>
      <c r="LJ395" s="9"/>
      <c r="LK395" s="9"/>
      <c r="LL395" s="9"/>
      <c r="LM395" s="9"/>
      <c r="LN395" s="9"/>
      <c r="LO395" s="9"/>
      <c r="LP395" s="9"/>
      <c r="LQ395" s="9"/>
      <c r="LR395" s="9"/>
      <c r="LS395" s="9"/>
      <c r="LT395" s="9"/>
      <c r="LU395" s="9"/>
      <c r="LV395" s="9"/>
      <c r="LW395" s="9"/>
      <c r="LX395" s="9"/>
      <c r="LY395" s="9"/>
      <c r="LZ395" s="9"/>
      <c r="MA395" s="9"/>
      <c r="MB395" s="9"/>
      <c r="MC395" s="9"/>
      <c r="MD395" s="9"/>
      <c r="ME395" s="9"/>
      <c r="MF395" s="9"/>
      <c r="MG395" s="9"/>
      <c r="MH395" s="9"/>
      <c r="MI395" s="9"/>
      <c r="MJ395" s="9"/>
      <c r="MK395" s="9"/>
      <c r="ML395" s="9"/>
      <c r="MM395" s="9"/>
      <c r="MN395" s="9"/>
      <c r="MO395" s="9"/>
      <c r="MP395" s="9"/>
      <c r="MQ395" s="9"/>
      <c r="MR395" s="9"/>
      <c r="MS395" s="9"/>
      <c r="MT395" s="9"/>
      <c r="MU395" s="9"/>
      <c r="MV395" s="9"/>
      <c r="MW395" s="9"/>
      <c r="MX395" s="9"/>
      <c r="MY395" s="9"/>
      <c r="MZ395" s="9"/>
      <c r="NA395" s="9"/>
      <c r="NB395" s="9"/>
      <c r="NC395" s="9"/>
      <c r="ND395" s="9"/>
      <c r="NE395" s="9"/>
      <c r="NF395" s="9"/>
      <c r="NG395" s="9"/>
      <c r="NH395" s="9"/>
      <c r="NI395" s="9"/>
      <c r="NJ395" s="9"/>
      <c r="NK395" s="9"/>
      <c r="NL395" s="9"/>
      <c r="NM395" s="9"/>
      <c r="NN395" s="9"/>
      <c r="NO395" s="9"/>
      <c r="NP395" s="9"/>
      <c r="NQ395" s="9"/>
      <c r="NR395" s="9"/>
      <c r="NS395" s="9"/>
      <c r="NT395" s="9"/>
      <c r="NU395" s="9"/>
      <c r="NV395" s="9"/>
      <c r="NW395" s="9"/>
      <c r="NX395" s="9"/>
      <c r="NY395" s="9"/>
      <c r="NZ395" s="9"/>
      <c r="OA395" s="9"/>
      <c r="OB395" s="9"/>
      <c r="OC395" s="9"/>
      <c r="OD395" s="9"/>
      <c r="OE395" s="9"/>
      <c r="OF395" s="9"/>
      <c r="OG395" s="9"/>
      <c r="OH395" s="9"/>
      <c r="OI395" s="9"/>
      <c r="OJ395" s="9"/>
      <c r="OK395" s="9"/>
      <c r="OL395" s="9"/>
      <c r="OM395" s="9"/>
      <c r="ON395" s="9"/>
      <c r="OO395" s="9"/>
      <c r="OP395" s="9"/>
      <c r="OQ395" s="9"/>
      <c r="OR395" s="9"/>
      <c r="OS395" s="9"/>
      <c r="OT395" s="9"/>
      <c r="OU395" s="9"/>
      <c r="OV395" s="9"/>
      <c r="OW395" s="9"/>
      <c r="OX395" s="9"/>
      <c r="OY395" s="9"/>
      <c r="OZ395" s="9"/>
      <c r="PA395" s="9"/>
      <c r="PB395" s="9"/>
      <c r="PC395" s="9"/>
      <c r="PD395" s="9"/>
      <c r="PE395" s="9"/>
      <c r="PF395" s="9"/>
      <c r="PG395" s="9"/>
      <c r="PH395" s="9"/>
      <c r="PI395" s="9"/>
      <c r="PJ395" s="9"/>
      <c r="PK395" s="9"/>
      <c r="PL395" s="9"/>
      <c r="PM395" s="9"/>
      <c r="PN395" s="9"/>
      <c r="PO395" s="9"/>
      <c r="PP395" s="9"/>
      <c r="PQ395" s="9"/>
      <c r="PR395" s="9"/>
      <c r="PS395" s="9"/>
      <c r="PT395" s="9"/>
      <c r="PU395" s="9"/>
      <c r="PV395" s="9"/>
      <c r="PW395" s="9"/>
      <c r="PX395" s="9"/>
      <c r="PY395" s="9"/>
      <c r="PZ395" s="9"/>
      <c r="QA395" s="9"/>
      <c r="QB395" s="9"/>
      <c r="QC395" s="9"/>
      <c r="QD395" s="9"/>
      <c r="QE395" s="9"/>
      <c r="QF395" s="9"/>
      <c r="QG395" s="9"/>
      <c r="QH395" s="9"/>
      <c r="QI395" s="9"/>
      <c r="QJ395" s="9"/>
      <c r="QK395" s="9"/>
      <c r="QL395" s="9"/>
      <c r="QM395" s="9"/>
      <c r="QN395" s="9"/>
      <c r="QO395" s="9"/>
      <c r="QP395" s="9"/>
      <c r="QQ395" s="9"/>
      <c r="QR395" s="9"/>
      <c r="QS395" s="9"/>
      <c r="QT395" s="9"/>
      <c r="QU395" s="9"/>
      <c r="QV395" s="9"/>
      <c r="QW395" s="9"/>
      <c r="QX395" s="9"/>
      <c r="QY395" s="9"/>
      <c r="QZ395" s="9"/>
      <c r="RA395" s="9"/>
      <c r="RB395" s="9"/>
      <c r="RC395" s="9"/>
      <c r="RD395" s="9"/>
      <c r="RE395" s="9"/>
      <c r="RF395" s="9"/>
      <c r="RG395" s="9"/>
      <c r="RH395" s="9"/>
      <c r="RI395" s="9"/>
      <c r="RJ395" s="9"/>
      <c r="RK395" s="9"/>
      <c r="RL395" s="9"/>
      <c r="RM395" s="9"/>
      <c r="RN395" s="9"/>
      <c r="RO395" s="9"/>
      <c r="RP395" s="9"/>
      <c r="RQ395" s="9"/>
      <c r="RR395" s="9"/>
      <c r="RS395" s="9"/>
      <c r="RT395" s="9"/>
      <c r="RU395" s="9"/>
      <c r="RV395" s="9"/>
      <c r="RW395" s="9"/>
      <c r="RX395" s="9"/>
      <c r="RY395" s="9"/>
      <c r="RZ395" s="9"/>
      <c r="SA395" s="9"/>
      <c r="SB395" s="9"/>
      <c r="SC395" s="9"/>
      <c r="SD395" s="9"/>
      <c r="SE395" s="9"/>
      <c r="SF395" s="9"/>
      <c r="SG395" s="9"/>
      <c r="SH395" s="9"/>
      <c r="SI395" s="9"/>
      <c r="SJ395" s="9"/>
      <c r="SK395" s="9"/>
      <c r="SL395" s="9"/>
      <c r="SM395" s="9"/>
      <c r="SN395" s="9"/>
      <c r="SO395" s="9"/>
      <c r="SP395" s="9"/>
      <c r="SQ395" s="9"/>
      <c r="SR395" s="9"/>
      <c r="SS395" s="9"/>
      <c r="ST395" s="9"/>
      <c r="SU395" s="9"/>
      <c r="SV395" s="9"/>
      <c r="SW395" s="9"/>
      <c r="SX395" s="9"/>
      <c r="SY395" s="9"/>
      <c r="SZ395" s="9"/>
      <c r="TA395" s="9"/>
      <c r="TB395" s="9"/>
      <c r="TC395" s="9"/>
      <c r="TD395" s="9"/>
      <c r="TE395" s="9"/>
      <c r="TF395" s="9"/>
      <c r="TG395" s="9"/>
      <c r="TH395" s="9"/>
      <c r="TI395" s="9"/>
      <c r="TJ395" s="9"/>
      <c r="TK395" s="9"/>
      <c r="TL395" s="9"/>
      <c r="TM395" s="9"/>
      <c r="TN395" s="9"/>
      <c r="TO395" s="9"/>
      <c r="TP395" s="9"/>
      <c r="TQ395" s="9"/>
      <c r="TR395" s="9"/>
      <c r="TS395" s="9"/>
      <c r="TT395" s="9"/>
      <c r="TU395" s="9"/>
      <c r="TV395" s="9"/>
      <c r="TW395" s="9"/>
      <c r="TX395" s="9"/>
      <c r="TY395" s="9"/>
      <c r="TZ395" s="9"/>
      <c r="UA395" s="9"/>
      <c r="UB395" s="9"/>
      <c r="UC395" s="9"/>
      <c r="UD395" s="9"/>
      <c r="UE395" s="9"/>
      <c r="UF395" s="9"/>
      <c r="UG395" s="9"/>
      <c r="UH395" s="9"/>
      <c r="UI395" s="9"/>
      <c r="UJ395" s="9"/>
    </row>
    <row r="396">
      <c r="A396" s="8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/>
      <c r="JF396" s="9"/>
      <c r="JG396" s="9"/>
      <c r="JH396" s="9"/>
      <c r="JI396" s="9"/>
      <c r="JJ396" s="9"/>
      <c r="JK396" s="9"/>
      <c r="JL396" s="9"/>
      <c r="JM396" s="9"/>
      <c r="JN396" s="9"/>
      <c r="JO396" s="9"/>
      <c r="JP396" s="9"/>
      <c r="JQ396" s="9"/>
      <c r="JR396" s="9"/>
      <c r="JS396" s="9"/>
      <c r="JT396" s="9"/>
      <c r="JU396" s="9"/>
      <c r="JV396" s="9"/>
      <c r="JW396" s="9"/>
      <c r="JX396" s="9"/>
      <c r="JY396" s="9"/>
      <c r="JZ396" s="9"/>
      <c r="KA396" s="9"/>
      <c r="KB396" s="9"/>
      <c r="KC396" s="9"/>
      <c r="KD396" s="9"/>
      <c r="KE396" s="9"/>
      <c r="KF396" s="9"/>
      <c r="KG396" s="9"/>
      <c r="KH396" s="9"/>
      <c r="KI396" s="9"/>
      <c r="KJ396" s="9"/>
      <c r="KK396" s="9"/>
      <c r="KL396" s="9"/>
      <c r="KM396" s="9"/>
      <c r="KN396" s="9"/>
      <c r="KO396" s="9"/>
      <c r="KP396" s="9"/>
      <c r="KQ396" s="9"/>
      <c r="KR396" s="9"/>
      <c r="KS396" s="9"/>
      <c r="KT396" s="9"/>
      <c r="KU396" s="9"/>
      <c r="KV396" s="9"/>
      <c r="KW396" s="9"/>
      <c r="KX396" s="9"/>
      <c r="KY396" s="9"/>
      <c r="KZ396" s="9"/>
      <c r="LA396" s="9"/>
      <c r="LB396" s="9"/>
      <c r="LC396" s="9"/>
      <c r="LD396" s="9"/>
      <c r="LE396" s="9"/>
      <c r="LF396" s="9"/>
      <c r="LG396" s="9"/>
      <c r="LH396" s="9"/>
      <c r="LI396" s="9"/>
      <c r="LJ396" s="9"/>
      <c r="LK396" s="9"/>
      <c r="LL396" s="9"/>
      <c r="LM396" s="9"/>
      <c r="LN396" s="9"/>
      <c r="LO396" s="9"/>
      <c r="LP396" s="9"/>
      <c r="LQ396" s="9"/>
      <c r="LR396" s="9"/>
      <c r="LS396" s="9"/>
      <c r="LT396" s="9"/>
      <c r="LU396" s="9"/>
      <c r="LV396" s="9"/>
      <c r="LW396" s="9"/>
      <c r="LX396" s="9"/>
      <c r="LY396" s="9"/>
      <c r="LZ396" s="9"/>
      <c r="MA396" s="9"/>
      <c r="MB396" s="9"/>
      <c r="MC396" s="9"/>
      <c r="MD396" s="9"/>
      <c r="ME396" s="9"/>
      <c r="MF396" s="9"/>
      <c r="MG396" s="9"/>
      <c r="MH396" s="9"/>
      <c r="MI396" s="9"/>
      <c r="MJ396" s="9"/>
      <c r="MK396" s="9"/>
      <c r="ML396" s="9"/>
      <c r="MM396" s="9"/>
      <c r="MN396" s="9"/>
      <c r="MO396" s="9"/>
      <c r="MP396" s="9"/>
      <c r="MQ396" s="9"/>
      <c r="MR396" s="9"/>
      <c r="MS396" s="9"/>
      <c r="MT396" s="9"/>
      <c r="MU396" s="9"/>
      <c r="MV396" s="9"/>
      <c r="MW396" s="9"/>
      <c r="MX396" s="9"/>
      <c r="MY396" s="9"/>
      <c r="MZ396" s="9"/>
      <c r="NA396" s="9"/>
      <c r="NB396" s="9"/>
      <c r="NC396" s="9"/>
      <c r="ND396" s="9"/>
      <c r="NE396" s="9"/>
      <c r="NF396" s="9"/>
      <c r="NG396" s="9"/>
      <c r="NH396" s="9"/>
      <c r="NI396" s="9"/>
      <c r="NJ396" s="9"/>
      <c r="NK396" s="9"/>
      <c r="NL396" s="9"/>
      <c r="NM396" s="9"/>
      <c r="NN396" s="9"/>
      <c r="NO396" s="9"/>
      <c r="NP396" s="9"/>
      <c r="NQ396" s="9"/>
      <c r="NR396" s="9"/>
      <c r="NS396" s="9"/>
      <c r="NT396" s="9"/>
      <c r="NU396" s="9"/>
      <c r="NV396" s="9"/>
      <c r="NW396" s="9"/>
      <c r="NX396" s="9"/>
      <c r="NY396" s="9"/>
      <c r="NZ396" s="9"/>
      <c r="OA396" s="9"/>
      <c r="OB396" s="9"/>
      <c r="OC396" s="9"/>
      <c r="OD396" s="9"/>
      <c r="OE396" s="9"/>
      <c r="OF396" s="9"/>
      <c r="OG396" s="9"/>
      <c r="OH396" s="9"/>
      <c r="OI396" s="9"/>
      <c r="OJ396" s="9"/>
      <c r="OK396" s="9"/>
      <c r="OL396" s="9"/>
      <c r="OM396" s="9"/>
      <c r="ON396" s="9"/>
      <c r="OO396" s="9"/>
      <c r="OP396" s="9"/>
      <c r="OQ396" s="9"/>
      <c r="OR396" s="9"/>
      <c r="OS396" s="9"/>
      <c r="OT396" s="9"/>
      <c r="OU396" s="9"/>
      <c r="OV396" s="9"/>
      <c r="OW396" s="9"/>
      <c r="OX396" s="9"/>
      <c r="OY396" s="9"/>
      <c r="OZ396" s="9"/>
      <c r="PA396" s="9"/>
      <c r="PB396" s="9"/>
      <c r="PC396" s="9"/>
      <c r="PD396" s="9"/>
      <c r="PE396" s="9"/>
      <c r="PF396" s="9"/>
      <c r="PG396" s="9"/>
      <c r="PH396" s="9"/>
      <c r="PI396" s="9"/>
      <c r="PJ396" s="9"/>
      <c r="PK396" s="9"/>
      <c r="PL396" s="9"/>
      <c r="PM396" s="9"/>
      <c r="PN396" s="9"/>
      <c r="PO396" s="9"/>
      <c r="PP396" s="9"/>
      <c r="PQ396" s="9"/>
      <c r="PR396" s="9"/>
      <c r="PS396" s="9"/>
      <c r="PT396" s="9"/>
      <c r="PU396" s="9"/>
      <c r="PV396" s="9"/>
      <c r="PW396" s="9"/>
      <c r="PX396" s="9"/>
      <c r="PY396" s="9"/>
      <c r="PZ396" s="9"/>
      <c r="QA396" s="9"/>
      <c r="QB396" s="9"/>
      <c r="QC396" s="9"/>
      <c r="QD396" s="9"/>
      <c r="QE396" s="9"/>
      <c r="QF396" s="9"/>
      <c r="QG396" s="9"/>
      <c r="QH396" s="9"/>
      <c r="QI396" s="9"/>
      <c r="QJ396" s="9"/>
      <c r="QK396" s="9"/>
      <c r="QL396" s="9"/>
      <c r="QM396" s="9"/>
      <c r="QN396" s="9"/>
      <c r="QO396" s="9"/>
      <c r="QP396" s="9"/>
      <c r="QQ396" s="9"/>
      <c r="QR396" s="9"/>
      <c r="QS396" s="9"/>
      <c r="QT396" s="9"/>
      <c r="QU396" s="9"/>
      <c r="QV396" s="9"/>
      <c r="QW396" s="9"/>
      <c r="QX396" s="9"/>
      <c r="QY396" s="9"/>
      <c r="QZ396" s="9"/>
      <c r="RA396" s="9"/>
      <c r="RB396" s="9"/>
      <c r="RC396" s="9"/>
      <c r="RD396" s="9"/>
      <c r="RE396" s="9"/>
      <c r="RF396" s="9"/>
      <c r="RG396" s="9"/>
      <c r="RH396" s="9"/>
      <c r="RI396" s="9"/>
      <c r="RJ396" s="9"/>
      <c r="RK396" s="9"/>
      <c r="RL396" s="9"/>
      <c r="RM396" s="9"/>
      <c r="RN396" s="9"/>
      <c r="RO396" s="9"/>
      <c r="RP396" s="9"/>
      <c r="RQ396" s="9"/>
      <c r="RR396" s="9"/>
      <c r="RS396" s="9"/>
      <c r="RT396" s="9"/>
      <c r="RU396" s="9"/>
      <c r="RV396" s="9"/>
      <c r="RW396" s="9"/>
      <c r="RX396" s="9"/>
      <c r="RY396" s="9"/>
      <c r="RZ396" s="9"/>
      <c r="SA396" s="9"/>
      <c r="SB396" s="9"/>
      <c r="SC396" s="9"/>
      <c r="SD396" s="9"/>
      <c r="SE396" s="9"/>
      <c r="SF396" s="9"/>
      <c r="SG396" s="9"/>
      <c r="SH396" s="9"/>
      <c r="SI396" s="9"/>
      <c r="SJ396" s="9"/>
      <c r="SK396" s="9"/>
      <c r="SL396" s="9"/>
      <c r="SM396" s="9"/>
      <c r="SN396" s="9"/>
      <c r="SO396" s="9"/>
      <c r="SP396" s="9"/>
      <c r="SQ396" s="9"/>
      <c r="SR396" s="9"/>
      <c r="SS396" s="9"/>
      <c r="ST396" s="9"/>
      <c r="SU396" s="9"/>
      <c r="SV396" s="9"/>
      <c r="SW396" s="9"/>
      <c r="SX396" s="9"/>
      <c r="SY396" s="9"/>
      <c r="SZ396" s="9"/>
      <c r="TA396" s="9"/>
      <c r="TB396" s="9"/>
      <c r="TC396" s="9"/>
      <c r="TD396" s="9"/>
      <c r="TE396" s="9"/>
      <c r="TF396" s="9"/>
      <c r="TG396" s="9"/>
      <c r="TH396" s="9"/>
      <c r="TI396" s="9"/>
      <c r="TJ396" s="9"/>
      <c r="TK396" s="9"/>
      <c r="TL396" s="9"/>
      <c r="TM396" s="9"/>
      <c r="TN396" s="9"/>
      <c r="TO396" s="9"/>
      <c r="TP396" s="9"/>
      <c r="TQ396" s="9"/>
      <c r="TR396" s="9"/>
      <c r="TS396" s="9"/>
      <c r="TT396" s="9"/>
      <c r="TU396" s="9"/>
      <c r="TV396" s="9"/>
      <c r="TW396" s="9"/>
      <c r="TX396" s="9"/>
      <c r="TY396" s="9"/>
      <c r="TZ396" s="9"/>
      <c r="UA396" s="9"/>
      <c r="UB396" s="9"/>
      <c r="UC396" s="9"/>
      <c r="UD396" s="9"/>
      <c r="UE396" s="9"/>
      <c r="UF396" s="9"/>
      <c r="UG396" s="9"/>
      <c r="UH396" s="9"/>
      <c r="UI396" s="9"/>
      <c r="UJ396" s="9"/>
    </row>
    <row r="397">
      <c r="A397" s="8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</row>
    <row r="398">
      <c r="A398" s="8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</row>
    <row r="399">
      <c r="A399" s="8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</row>
    <row r="400">
      <c r="A400" s="8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</row>
    <row r="401">
      <c r="A401" s="8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</row>
    <row r="402">
      <c r="A402" s="8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/>
      <c r="JF402" s="9"/>
      <c r="JG402" s="9"/>
      <c r="JH402" s="9"/>
      <c r="JI402" s="9"/>
      <c r="JJ402" s="9"/>
      <c r="JK402" s="9"/>
      <c r="JL402" s="9"/>
      <c r="JM402" s="9"/>
      <c r="JN402" s="9"/>
      <c r="JO402" s="9"/>
      <c r="JP402" s="9"/>
      <c r="JQ402" s="9"/>
      <c r="JR402" s="9"/>
      <c r="JS402" s="9"/>
      <c r="JT402" s="9"/>
      <c r="JU402" s="9"/>
      <c r="JV402" s="9"/>
      <c r="JW402" s="9"/>
      <c r="JX402" s="9"/>
      <c r="JY402" s="9"/>
      <c r="JZ402" s="9"/>
      <c r="KA402" s="9"/>
      <c r="KB402" s="9"/>
      <c r="KC402" s="9"/>
      <c r="KD402" s="9"/>
      <c r="KE402" s="9"/>
      <c r="KF402" s="9"/>
      <c r="KG402" s="9"/>
      <c r="KH402" s="9"/>
      <c r="KI402" s="9"/>
      <c r="KJ402" s="9"/>
      <c r="KK402" s="9"/>
      <c r="KL402" s="9"/>
      <c r="KM402" s="9"/>
      <c r="KN402" s="9"/>
      <c r="KO402" s="9"/>
      <c r="KP402" s="9"/>
      <c r="KQ402" s="9"/>
      <c r="KR402" s="9"/>
      <c r="KS402" s="9"/>
      <c r="KT402" s="9"/>
      <c r="KU402" s="9"/>
      <c r="KV402" s="9"/>
      <c r="KW402" s="9"/>
      <c r="KX402" s="9"/>
      <c r="KY402" s="9"/>
      <c r="KZ402" s="9"/>
      <c r="LA402" s="9"/>
      <c r="LB402" s="9"/>
      <c r="LC402" s="9"/>
      <c r="LD402" s="9"/>
      <c r="LE402" s="9"/>
      <c r="LF402" s="9"/>
      <c r="LG402" s="9"/>
      <c r="LH402" s="9"/>
      <c r="LI402" s="9"/>
      <c r="LJ402" s="9"/>
      <c r="LK402" s="9"/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/>
      <c r="LW402" s="9"/>
      <c r="LX402" s="9"/>
      <c r="LY402" s="9"/>
      <c r="LZ402" s="9"/>
      <c r="MA402" s="9"/>
      <c r="MB402" s="9"/>
      <c r="MC402" s="9"/>
      <c r="MD402" s="9"/>
      <c r="ME402" s="9"/>
      <c r="MF402" s="9"/>
      <c r="MG402" s="9"/>
      <c r="MH402" s="9"/>
      <c r="MI402" s="9"/>
      <c r="MJ402" s="9"/>
      <c r="MK402" s="9"/>
      <c r="ML402" s="9"/>
      <c r="MM402" s="9"/>
      <c r="MN402" s="9"/>
      <c r="MO402" s="9"/>
      <c r="MP402" s="9"/>
      <c r="MQ402" s="9"/>
      <c r="MR402" s="9"/>
      <c r="MS402" s="9"/>
      <c r="MT402" s="9"/>
      <c r="MU402" s="9"/>
      <c r="MV402" s="9"/>
      <c r="MW402" s="9"/>
      <c r="MX402" s="9"/>
      <c r="MY402" s="9"/>
      <c r="MZ402" s="9"/>
      <c r="NA402" s="9"/>
      <c r="NB402" s="9"/>
      <c r="NC402" s="9"/>
      <c r="ND402" s="9"/>
      <c r="NE402" s="9"/>
      <c r="NF402" s="9"/>
      <c r="NG402" s="9"/>
      <c r="NH402" s="9"/>
      <c r="NI402" s="9"/>
      <c r="NJ402" s="9"/>
      <c r="NK402" s="9"/>
      <c r="NL402" s="9"/>
      <c r="NM402" s="9"/>
      <c r="NN402" s="9"/>
      <c r="NO402" s="9"/>
      <c r="NP402" s="9"/>
      <c r="NQ402" s="9"/>
      <c r="NR402" s="9"/>
      <c r="NS402" s="9"/>
      <c r="NT402" s="9"/>
      <c r="NU402" s="9"/>
      <c r="NV402" s="9"/>
      <c r="NW402" s="9"/>
      <c r="NX402" s="9"/>
      <c r="NY402" s="9"/>
      <c r="NZ402" s="9"/>
      <c r="OA402" s="9"/>
      <c r="OB402" s="9"/>
      <c r="OC402" s="9"/>
      <c r="OD402" s="9"/>
      <c r="OE402" s="9"/>
      <c r="OF402" s="9"/>
      <c r="OG402" s="9"/>
      <c r="OH402" s="9"/>
      <c r="OI402" s="9"/>
      <c r="OJ402" s="9"/>
      <c r="OK402" s="9"/>
      <c r="OL402" s="9"/>
      <c r="OM402" s="9"/>
      <c r="ON402" s="9"/>
      <c r="OO402" s="9"/>
      <c r="OP402" s="9"/>
      <c r="OQ402" s="9"/>
      <c r="OR402" s="9"/>
      <c r="OS402" s="9"/>
      <c r="OT402" s="9"/>
      <c r="OU402" s="9"/>
      <c r="OV402" s="9"/>
      <c r="OW402" s="9"/>
      <c r="OX402" s="9"/>
      <c r="OY402" s="9"/>
      <c r="OZ402" s="9"/>
      <c r="PA402" s="9"/>
      <c r="PB402" s="9"/>
      <c r="PC402" s="9"/>
      <c r="PD402" s="9"/>
      <c r="PE402" s="9"/>
      <c r="PF402" s="9"/>
      <c r="PG402" s="9"/>
      <c r="PH402" s="9"/>
      <c r="PI402" s="9"/>
      <c r="PJ402" s="9"/>
      <c r="PK402" s="9"/>
      <c r="PL402" s="9"/>
      <c r="PM402" s="9"/>
      <c r="PN402" s="9"/>
      <c r="PO402" s="9"/>
      <c r="PP402" s="9"/>
      <c r="PQ402" s="9"/>
      <c r="PR402" s="9"/>
      <c r="PS402" s="9"/>
      <c r="PT402" s="9"/>
      <c r="PU402" s="9"/>
      <c r="PV402" s="9"/>
      <c r="PW402" s="9"/>
      <c r="PX402" s="9"/>
      <c r="PY402" s="9"/>
      <c r="PZ402" s="9"/>
      <c r="QA402" s="9"/>
      <c r="QB402" s="9"/>
      <c r="QC402" s="9"/>
      <c r="QD402" s="9"/>
      <c r="QE402" s="9"/>
      <c r="QF402" s="9"/>
      <c r="QG402" s="9"/>
      <c r="QH402" s="9"/>
      <c r="QI402" s="9"/>
      <c r="QJ402" s="9"/>
      <c r="QK402" s="9"/>
      <c r="QL402" s="9"/>
      <c r="QM402" s="9"/>
      <c r="QN402" s="9"/>
      <c r="QO402" s="9"/>
      <c r="QP402" s="9"/>
      <c r="QQ402" s="9"/>
      <c r="QR402" s="9"/>
      <c r="QS402" s="9"/>
      <c r="QT402" s="9"/>
      <c r="QU402" s="9"/>
      <c r="QV402" s="9"/>
      <c r="QW402" s="9"/>
      <c r="QX402" s="9"/>
      <c r="QY402" s="9"/>
      <c r="QZ402" s="9"/>
      <c r="RA402" s="9"/>
      <c r="RB402" s="9"/>
      <c r="RC402" s="9"/>
      <c r="RD402" s="9"/>
      <c r="RE402" s="9"/>
      <c r="RF402" s="9"/>
      <c r="RG402" s="9"/>
      <c r="RH402" s="9"/>
      <c r="RI402" s="9"/>
      <c r="RJ402" s="9"/>
      <c r="RK402" s="9"/>
      <c r="RL402" s="9"/>
      <c r="RM402" s="9"/>
      <c r="RN402" s="9"/>
      <c r="RO402" s="9"/>
      <c r="RP402" s="9"/>
      <c r="RQ402" s="9"/>
      <c r="RR402" s="9"/>
      <c r="RS402" s="9"/>
      <c r="RT402" s="9"/>
      <c r="RU402" s="9"/>
      <c r="RV402" s="9"/>
      <c r="RW402" s="9"/>
      <c r="RX402" s="9"/>
      <c r="RY402" s="9"/>
      <c r="RZ402" s="9"/>
      <c r="SA402" s="9"/>
      <c r="SB402" s="9"/>
      <c r="SC402" s="9"/>
      <c r="SD402" s="9"/>
      <c r="SE402" s="9"/>
      <c r="SF402" s="9"/>
      <c r="SG402" s="9"/>
      <c r="SH402" s="9"/>
      <c r="SI402" s="9"/>
      <c r="SJ402" s="9"/>
      <c r="SK402" s="9"/>
      <c r="SL402" s="9"/>
      <c r="SM402" s="9"/>
      <c r="SN402" s="9"/>
      <c r="SO402" s="9"/>
      <c r="SP402" s="9"/>
      <c r="SQ402" s="9"/>
      <c r="SR402" s="9"/>
      <c r="SS402" s="9"/>
      <c r="ST402" s="9"/>
      <c r="SU402" s="9"/>
      <c r="SV402" s="9"/>
      <c r="SW402" s="9"/>
      <c r="SX402" s="9"/>
      <c r="SY402" s="9"/>
      <c r="SZ402" s="9"/>
      <c r="TA402" s="9"/>
      <c r="TB402" s="9"/>
      <c r="TC402" s="9"/>
      <c r="TD402" s="9"/>
      <c r="TE402" s="9"/>
      <c r="TF402" s="9"/>
      <c r="TG402" s="9"/>
      <c r="TH402" s="9"/>
      <c r="TI402" s="9"/>
      <c r="TJ402" s="9"/>
      <c r="TK402" s="9"/>
      <c r="TL402" s="9"/>
      <c r="TM402" s="9"/>
      <c r="TN402" s="9"/>
      <c r="TO402" s="9"/>
      <c r="TP402" s="9"/>
      <c r="TQ402" s="9"/>
      <c r="TR402" s="9"/>
      <c r="TS402" s="9"/>
      <c r="TT402" s="9"/>
      <c r="TU402" s="9"/>
      <c r="TV402" s="9"/>
      <c r="TW402" s="9"/>
      <c r="TX402" s="9"/>
      <c r="TY402" s="9"/>
      <c r="TZ402" s="9"/>
      <c r="UA402" s="9"/>
      <c r="UB402" s="9"/>
      <c r="UC402" s="9"/>
      <c r="UD402" s="9"/>
      <c r="UE402" s="9"/>
      <c r="UF402" s="9"/>
      <c r="UG402" s="9"/>
      <c r="UH402" s="9"/>
      <c r="UI402" s="9"/>
      <c r="UJ402" s="9"/>
    </row>
    <row r="403">
      <c r="A403" s="8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</row>
    <row r="404">
      <c r="A404" s="8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</row>
    <row r="405">
      <c r="A405" s="8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</row>
    <row r="406">
      <c r="A406" s="8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</row>
    <row r="407">
      <c r="A407" s="8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</row>
    <row r="408">
      <c r="A408" s="8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</row>
    <row r="409">
      <c r="A409" s="8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</row>
    <row r="410">
      <c r="A410" s="8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</row>
    <row r="411">
      <c r="A411" s="8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</row>
    <row r="412">
      <c r="A412" s="8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</row>
    <row r="413">
      <c r="A413" s="8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</row>
    <row r="414">
      <c r="A414" s="8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</row>
    <row r="415">
      <c r="A415" s="8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</row>
    <row r="416">
      <c r="A416" s="8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</row>
    <row r="417">
      <c r="A417" s="8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</row>
    <row r="418">
      <c r="A418" s="8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</row>
    <row r="419">
      <c r="A419" s="8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</row>
    <row r="420">
      <c r="A420" s="8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</row>
    <row r="421">
      <c r="A421" s="8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</row>
    <row r="422">
      <c r="A422" s="8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</row>
    <row r="423">
      <c r="A423" s="8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</row>
    <row r="424">
      <c r="A424" s="8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</row>
    <row r="425">
      <c r="A425" s="8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</row>
    <row r="426">
      <c r="A426" s="8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/>
      <c r="JF426" s="9"/>
      <c r="JG426" s="9"/>
      <c r="JH426" s="9"/>
      <c r="JI426" s="9"/>
      <c r="JJ426" s="9"/>
      <c r="JK426" s="9"/>
      <c r="JL426" s="9"/>
      <c r="JM426" s="9"/>
      <c r="JN426" s="9"/>
      <c r="JO426" s="9"/>
      <c r="JP426" s="9"/>
      <c r="JQ426" s="9"/>
      <c r="JR426" s="9"/>
      <c r="JS426" s="9"/>
      <c r="JT426" s="9"/>
      <c r="JU426" s="9"/>
      <c r="JV426" s="9"/>
      <c r="JW426" s="9"/>
      <c r="JX426" s="9"/>
      <c r="JY426" s="9"/>
      <c r="JZ426" s="9"/>
      <c r="KA426" s="9"/>
      <c r="KB426" s="9"/>
      <c r="KC426" s="9"/>
      <c r="KD426" s="9"/>
      <c r="KE426" s="9"/>
      <c r="KF426" s="9"/>
      <c r="KG426" s="9"/>
      <c r="KH426" s="9"/>
      <c r="KI426" s="9"/>
      <c r="KJ426" s="9"/>
      <c r="KK426" s="9"/>
      <c r="KL426" s="9"/>
      <c r="KM426" s="9"/>
      <c r="KN426" s="9"/>
      <c r="KO426" s="9"/>
      <c r="KP426" s="9"/>
      <c r="KQ426" s="9"/>
      <c r="KR426" s="9"/>
      <c r="KS426" s="9"/>
      <c r="KT426" s="9"/>
      <c r="KU426" s="9"/>
      <c r="KV426" s="9"/>
      <c r="KW426" s="9"/>
      <c r="KX426" s="9"/>
      <c r="KY426" s="9"/>
      <c r="KZ426" s="9"/>
      <c r="LA426" s="9"/>
      <c r="LB426" s="9"/>
      <c r="LC426" s="9"/>
      <c r="LD426" s="9"/>
      <c r="LE426" s="9"/>
      <c r="LF426" s="9"/>
      <c r="LG426" s="9"/>
      <c r="LH426" s="9"/>
      <c r="LI426" s="9"/>
      <c r="LJ426" s="9"/>
      <c r="LK426" s="9"/>
      <c r="LL426" s="9"/>
      <c r="LM426" s="9"/>
      <c r="LN426" s="9"/>
      <c r="LO426" s="9"/>
      <c r="LP426" s="9"/>
      <c r="LQ426" s="9"/>
      <c r="LR426" s="9"/>
      <c r="LS426" s="9"/>
      <c r="LT426" s="9"/>
      <c r="LU426" s="9"/>
      <c r="LV426" s="9"/>
      <c r="LW426" s="9"/>
      <c r="LX426" s="9"/>
      <c r="LY426" s="9"/>
      <c r="LZ426" s="9"/>
      <c r="MA426" s="9"/>
      <c r="MB426" s="9"/>
      <c r="MC426" s="9"/>
      <c r="MD426" s="9"/>
      <c r="ME426" s="9"/>
      <c r="MF426" s="9"/>
      <c r="MG426" s="9"/>
      <c r="MH426" s="9"/>
      <c r="MI426" s="9"/>
      <c r="MJ426" s="9"/>
      <c r="MK426" s="9"/>
      <c r="ML426" s="9"/>
      <c r="MM426" s="9"/>
      <c r="MN426" s="9"/>
      <c r="MO426" s="9"/>
      <c r="MP426" s="9"/>
      <c r="MQ426" s="9"/>
      <c r="MR426" s="9"/>
      <c r="MS426" s="9"/>
      <c r="MT426" s="9"/>
      <c r="MU426" s="9"/>
      <c r="MV426" s="9"/>
      <c r="MW426" s="9"/>
      <c r="MX426" s="9"/>
      <c r="MY426" s="9"/>
      <c r="MZ426" s="9"/>
      <c r="NA426" s="9"/>
      <c r="NB426" s="9"/>
      <c r="NC426" s="9"/>
      <c r="ND426" s="9"/>
      <c r="NE426" s="9"/>
      <c r="NF426" s="9"/>
      <c r="NG426" s="9"/>
      <c r="NH426" s="9"/>
      <c r="NI426" s="9"/>
      <c r="NJ426" s="9"/>
      <c r="NK426" s="9"/>
      <c r="NL426" s="9"/>
      <c r="NM426" s="9"/>
      <c r="NN426" s="9"/>
      <c r="NO426" s="9"/>
      <c r="NP426" s="9"/>
      <c r="NQ426" s="9"/>
      <c r="NR426" s="9"/>
      <c r="NS426" s="9"/>
      <c r="NT426" s="9"/>
      <c r="NU426" s="9"/>
      <c r="NV426" s="9"/>
      <c r="NW426" s="9"/>
      <c r="NX426" s="9"/>
      <c r="NY426" s="9"/>
      <c r="NZ426" s="9"/>
      <c r="OA426" s="9"/>
      <c r="OB426" s="9"/>
      <c r="OC426" s="9"/>
      <c r="OD426" s="9"/>
      <c r="OE426" s="9"/>
      <c r="OF426" s="9"/>
      <c r="OG426" s="9"/>
      <c r="OH426" s="9"/>
      <c r="OI426" s="9"/>
      <c r="OJ426" s="9"/>
      <c r="OK426" s="9"/>
      <c r="OL426" s="9"/>
      <c r="OM426" s="9"/>
      <c r="ON426" s="9"/>
      <c r="OO426" s="9"/>
      <c r="OP426" s="9"/>
      <c r="OQ426" s="9"/>
      <c r="OR426" s="9"/>
      <c r="OS426" s="9"/>
      <c r="OT426" s="9"/>
      <c r="OU426" s="9"/>
      <c r="OV426" s="9"/>
      <c r="OW426" s="9"/>
      <c r="OX426" s="9"/>
      <c r="OY426" s="9"/>
      <c r="OZ426" s="9"/>
      <c r="PA426" s="9"/>
      <c r="PB426" s="9"/>
      <c r="PC426" s="9"/>
      <c r="PD426" s="9"/>
      <c r="PE426" s="9"/>
      <c r="PF426" s="9"/>
      <c r="PG426" s="9"/>
      <c r="PH426" s="9"/>
      <c r="PI426" s="9"/>
      <c r="PJ426" s="9"/>
      <c r="PK426" s="9"/>
      <c r="PL426" s="9"/>
      <c r="PM426" s="9"/>
      <c r="PN426" s="9"/>
      <c r="PO426" s="9"/>
      <c r="PP426" s="9"/>
      <c r="PQ426" s="9"/>
      <c r="PR426" s="9"/>
      <c r="PS426" s="9"/>
      <c r="PT426" s="9"/>
      <c r="PU426" s="9"/>
      <c r="PV426" s="9"/>
      <c r="PW426" s="9"/>
      <c r="PX426" s="9"/>
      <c r="PY426" s="9"/>
      <c r="PZ426" s="9"/>
      <c r="QA426" s="9"/>
      <c r="QB426" s="9"/>
      <c r="QC426" s="9"/>
      <c r="QD426" s="9"/>
      <c r="QE426" s="9"/>
      <c r="QF426" s="9"/>
      <c r="QG426" s="9"/>
      <c r="QH426" s="9"/>
      <c r="QI426" s="9"/>
      <c r="QJ426" s="9"/>
      <c r="QK426" s="9"/>
      <c r="QL426" s="9"/>
      <c r="QM426" s="9"/>
      <c r="QN426" s="9"/>
      <c r="QO426" s="9"/>
      <c r="QP426" s="9"/>
      <c r="QQ426" s="9"/>
      <c r="QR426" s="9"/>
      <c r="QS426" s="9"/>
      <c r="QT426" s="9"/>
      <c r="QU426" s="9"/>
      <c r="QV426" s="9"/>
      <c r="QW426" s="9"/>
      <c r="QX426" s="9"/>
      <c r="QY426" s="9"/>
      <c r="QZ426" s="9"/>
      <c r="RA426" s="9"/>
      <c r="RB426" s="9"/>
      <c r="RC426" s="9"/>
      <c r="RD426" s="9"/>
      <c r="RE426" s="9"/>
      <c r="RF426" s="9"/>
      <c r="RG426" s="9"/>
      <c r="RH426" s="9"/>
      <c r="RI426" s="9"/>
      <c r="RJ426" s="9"/>
      <c r="RK426" s="9"/>
      <c r="RL426" s="9"/>
      <c r="RM426" s="9"/>
      <c r="RN426" s="9"/>
      <c r="RO426" s="9"/>
      <c r="RP426" s="9"/>
      <c r="RQ426" s="9"/>
      <c r="RR426" s="9"/>
      <c r="RS426" s="9"/>
      <c r="RT426" s="9"/>
      <c r="RU426" s="9"/>
      <c r="RV426" s="9"/>
      <c r="RW426" s="9"/>
      <c r="RX426" s="9"/>
      <c r="RY426" s="9"/>
      <c r="RZ426" s="9"/>
      <c r="SA426" s="9"/>
      <c r="SB426" s="9"/>
      <c r="SC426" s="9"/>
      <c r="SD426" s="9"/>
      <c r="SE426" s="9"/>
      <c r="SF426" s="9"/>
      <c r="SG426" s="9"/>
      <c r="SH426" s="9"/>
      <c r="SI426" s="9"/>
      <c r="SJ426" s="9"/>
      <c r="SK426" s="9"/>
      <c r="SL426" s="9"/>
      <c r="SM426" s="9"/>
      <c r="SN426" s="9"/>
      <c r="SO426" s="9"/>
      <c r="SP426" s="9"/>
      <c r="SQ426" s="9"/>
      <c r="SR426" s="9"/>
      <c r="SS426" s="9"/>
      <c r="ST426" s="9"/>
      <c r="SU426" s="9"/>
      <c r="SV426" s="9"/>
      <c r="SW426" s="9"/>
      <c r="SX426" s="9"/>
      <c r="SY426" s="9"/>
      <c r="SZ426" s="9"/>
      <c r="TA426" s="9"/>
      <c r="TB426" s="9"/>
      <c r="TC426" s="9"/>
      <c r="TD426" s="9"/>
      <c r="TE426" s="9"/>
      <c r="TF426" s="9"/>
      <c r="TG426" s="9"/>
      <c r="TH426" s="9"/>
      <c r="TI426" s="9"/>
      <c r="TJ426" s="9"/>
      <c r="TK426" s="9"/>
      <c r="TL426" s="9"/>
      <c r="TM426" s="9"/>
      <c r="TN426" s="9"/>
      <c r="TO426" s="9"/>
      <c r="TP426" s="9"/>
      <c r="TQ426" s="9"/>
      <c r="TR426" s="9"/>
      <c r="TS426" s="9"/>
      <c r="TT426" s="9"/>
      <c r="TU426" s="9"/>
      <c r="TV426" s="9"/>
      <c r="TW426" s="9"/>
      <c r="TX426" s="9"/>
      <c r="TY426" s="9"/>
      <c r="TZ426" s="9"/>
      <c r="UA426" s="9"/>
      <c r="UB426" s="9"/>
      <c r="UC426" s="9"/>
      <c r="UD426" s="9"/>
      <c r="UE426" s="9"/>
      <c r="UF426" s="9"/>
      <c r="UG426" s="9"/>
      <c r="UH426" s="9"/>
      <c r="UI426" s="9"/>
      <c r="UJ426" s="9"/>
    </row>
    <row r="427">
      <c r="A427" s="8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</row>
    <row r="428">
      <c r="A428" s="8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</row>
    <row r="429">
      <c r="A429" s="8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</row>
    <row r="430">
      <c r="A430" s="8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</row>
    <row r="431">
      <c r="A431" s="8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</row>
    <row r="432">
      <c r="A432" s="8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</row>
    <row r="433">
      <c r="A433" s="8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</row>
    <row r="434">
      <c r="A434" s="8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</row>
    <row r="435">
      <c r="A435" s="8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/>
      <c r="JF435" s="9"/>
      <c r="JG435" s="9"/>
      <c r="JH435" s="9"/>
      <c r="JI435" s="9"/>
      <c r="JJ435" s="9"/>
      <c r="JK435" s="9"/>
      <c r="JL435" s="9"/>
      <c r="JM435" s="9"/>
      <c r="JN435" s="9"/>
      <c r="JO435" s="9"/>
      <c r="JP435" s="9"/>
      <c r="JQ435" s="9"/>
      <c r="JR435" s="9"/>
      <c r="JS435" s="9"/>
      <c r="JT435" s="9"/>
      <c r="JU435" s="9"/>
      <c r="JV435" s="9"/>
      <c r="JW435" s="9"/>
      <c r="JX435" s="9"/>
      <c r="JY435" s="9"/>
      <c r="JZ435" s="9"/>
      <c r="KA435" s="9"/>
      <c r="KB435" s="9"/>
      <c r="KC435" s="9"/>
      <c r="KD435" s="9"/>
      <c r="KE435" s="9"/>
      <c r="KF435" s="9"/>
      <c r="KG435" s="9"/>
      <c r="KH435" s="9"/>
      <c r="KI435" s="9"/>
      <c r="KJ435" s="9"/>
      <c r="KK435" s="9"/>
      <c r="KL435" s="9"/>
      <c r="KM435" s="9"/>
      <c r="KN435" s="9"/>
      <c r="KO435" s="9"/>
      <c r="KP435" s="9"/>
      <c r="KQ435" s="9"/>
      <c r="KR435" s="9"/>
      <c r="KS435" s="9"/>
      <c r="KT435" s="9"/>
      <c r="KU435" s="9"/>
      <c r="KV435" s="9"/>
      <c r="KW435" s="9"/>
      <c r="KX435" s="9"/>
      <c r="KY435" s="9"/>
      <c r="KZ435" s="9"/>
      <c r="LA435" s="9"/>
      <c r="LB435" s="9"/>
      <c r="LC435" s="9"/>
      <c r="LD435" s="9"/>
      <c r="LE435" s="9"/>
      <c r="LF435" s="9"/>
      <c r="LG435" s="9"/>
      <c r="LH435" s="9"/>
      <c r="LI435" s="9"/>
      <c r="LJ435" s="9"/>
      <c r="LK435" s="9"/>
      <c r="LL435" s="9"/>
      <c r="LM435" s="9"/>
      <c r="LN435" s="9"/>
      <c r="LO435" s="9"/>
      <c r="LP435" s="9"/>
      <c r="LQ435" s="9"/>
      <c r="LR435" s="9"/>
      <c r="LS435" s="9"/>
      <c r="LT435" s="9"/>
      <c r="LU435" s="9"/>
      <c r="LV435" s="9"/>
      <c r="LW435" s="9"/>
      <c r="LX435" s="9"/>
      <c r="LY435" s="9"/>
      <c r="LZ435" s="9"/>
      <c r="MA435" s="9"/>
      <c r="MB435" s="9"/>
      <c r="MC435" s="9"/>
      <c r="MD435" s="9"/>
      <c r="ME435" s="9"/>
      <c r="MF435" s="9"/>
      <c r="MG435" s="9"/>
      <c r="MH435" s="9"/>
      <c r="MI435" s="9"/>
      <c r="MJ435" s="9"/>
      <c r="MK435" s="9"/>
      <c r="ML435" s="9"/>
      <c r="MM435" s="9"/>
      <c r="MN435" s="9"/>
      <c r="MO435" s="9"/>
      <c r="MP435" s="9"/>
      <c r="MQ435" s="9"/>
      <c r="MR435" s="9"/>
      <c r="MS435" s="9"/>
      <c r="MT435" s="9"/>
      <c r="MU435" s="9"/>
      <c r="MV435" s="9"/>
      <c r="MW435" s="9"/>
      <c r="MX435" s="9"/>
      <c r="MY435" s="9"/>
      <c r="MZ435" s="9"/>
      <c r="NA435" s="9"/>
      <c r="NB435" s="9"/>
      <c r="NC435" s="9"/>
      <c r="ND435" s="9"/>
      <c r="NE435" s="9"/>
      <c r="NF435" s="9"/>
      <c r="NG435" s="9"/>
      <c r="NH435" s="9"/>
      <c r="NI435" s="9"/>
      <c r="NJ435" s="9"/>
      <c r="NK435" s="9"/>
      <c r="NL435" s="9"/>
      <c r="NM435" s="9"/>
      <c r="NN435" s="9"/>
      <c r="NO435" s="9"/>
      <c r="NP435" s="9"/>
      <c r="NQ435" s="9"/>
      <c r="NR435" s="9"/>
      <c r="NS435" s="9"/>
      <c r="NT435" s="9"/>
      <c r="NU435" s="9"/>
      <c r="NV435" s="9"/>
      <c r="NW435" s="9"/>
      <c r="NX435" s="9"/>
      <c r="NY435" s="9"/>
      <c r="NZ435" s="9"/>
      <c r="OA435" s="9"/>
      <c r="OB435" s="9"/>
      <c r="OC435" s="9"/>
      <c r="OD435" s="9"/>
      <c r="OE435" s="9"/>
      <c r="OF435" s="9"/>
      <c r="OG435" s="9"/>
      <c r="OH435" s="9"/>
      <c r="OI435" s="9"/>
      <c r="OJ435" s="9"/>
      <c r="OK435" s="9"/>
      <c r="OL435" s="9"/>
      <c r="OM435" s="9"/>
      <c r="ON435" s="9"/>
      <c r="OO435" s="9"/>
      <c r="OP435" s="9"/>
      <c r="OQ435" s="9"/>
      <c r="OR435" s="9"/>
      <c r="OS435" s="9"/>
      <c r="OT435" s="9"/>
      <c r="OU435" s="9"/>
      <c r="OV435" s="9"/>
      <c r="OW435" s="9"/>
      <c r="OX435" s="9"/>
      <c r="OY435" s="9"/>
      <c r="OZ435" s="9"/>
      <c r="PA435" s="9"/>
      <c r="PB435" s="9"/>
      <c r="PC435" s="9"/>
      <c r="PD435" s="9"/>
      <c r="PE435" s="9"/>
      <c r="PF435" s="9"/>
      <c r="PG435" s="9"/>
      <c r="PH435" s="9"/>
      <c r="PI435" s="9"/>
      <c r="PJ435" s="9"/>
      <c r="PK435" s="9"/>
      <c r="PL435" s="9"/>
      <c r="PM435" s="9"/>
      <c r="PN435" s="9"/>
      <c r="PO435" s="9"/>
      <c r="PP435" s="9"/>
      <c r="PQ435" s="9"/>
      <c r="PR435" s="9"/>
      <c r="PS435" s="9"/>
      <c r="PT435" s="9"/>
      <c r="PU435" s="9"/>
      <c r="PV435" s="9"/>
      <c r="PW435" s="9"/>
      <c r="PX435" s="9"/>
      <c r="PY435" s="9"/>
      <c r="PZ435" s="9"/>
      <c r="QA435" s="9"/>
      <c r="QB435" s="9"/>
      <c r="QC435" s="9"/>
      <c r="QD435" s="9"/>
      <c r="QE435" s="9"/>
      <c r="QF435" s="9"/>
      <c r="QG435" s="9"/>
      <c r="QH435" s="9"/>
      <c r="QI435" s="9"/>
      <c r="QJ435" s="9"/>
      <c r="QK435" s="9"/>
      <c r="QL435" s="9"/>
      <c r="QM435" s="9"/>
      <c r="QN435" s="9"/>
      <c r="QO435" s="9"/>
      <c r="QP435" s="9"/>
      <c r="QQ435" s="9"/>
      <c r="QR435" s="9"/>
      <c r="QS435" s="9"/>
      <c r="QT435" s="9"/>
      <c r="QU435" s="9"/>
      <c r="QV435" s="9"/>
      <c r="QW435" s="9"/>
      <c r="QX435" s="9"/>
      <c r="QY435" s="9"/>
      <c r="QZ435" s="9"/>
      <c r="RA435" s="9"/>
      <c r="RB435" s="9"/>
      <c r="RC435" s="9"/>
      <c r="RD435" s="9"/>
      <c r="RE435" s="9"/>
      <c r="RF435" s="9"/>
      <c r="RG435" s="9"/>
      <c r="RH435" s="9"/>
      <c r="RI435" s="9"/>
      <c r="RJ435" s="9"/>
      <c r="RK435" s="9"/>
      <c r="RL435" s="9"/>
      <c r="RM435" s="9"/>
      <c r="RN435" s="9"/>
      <c r="RO435" s="9"/>
      <c r="RP435" s="9"/>
      <c r="RQ435" s="9"/>
      <c r="RR435" s="9"/>
      <c r="RS435" s="9"/>
      <c r="RT435" s="9"/>
      <c r="RU435" s="9"/>
      <c r="RV435" s="9"/>
      <c r="RW435" s="9"/>
      <c r="RX435" s="9"/>
      <c r="RY435" s="9"/>
      <c r="RZ435" s="9"/>
      <c r="SA435" s="9"/>
      <c r="SB435" s="9"/>
      <c r="SC435" s="9"/>
      <c r="SD435" s="9"/>
      <c r="SE435" s="9"/>
      <c r="SF435" s="9"/>
      <c r="SG435" s="9"/>
      <c r="SH435" s="9"/>
      <c r="SI435" s="9"/>
      <c r="SJ435" s="9"/>
      <c r="SK435" s="9"/>
      <c r="SL435" s="9"/>
      <c r="SM435" s="9"/>
      <c r="SN435" s="9"/>
      <c r="SO435" s="9"/>
      <c r="SP435" s="9"/>
      <c r="SQ435" s="9"/>
      <c r="SR435" s="9"/>
      <c r="SS435" s="9"/>
      <c r="ST435" s="9"/>
      <c r="SU435" s="9"/>
      <c r="SV435" s="9"/>
      <c r="SW435" s="9"/>
      <c r="SX435" s="9"/>
      <c r="SY435" s="9"/>
      <c r="SZ435" s="9"/>
      <c r="TA435" s="9"/>
      <c r="TB435" s="9"/>
      <c r="TC435" s="9"/>
      <c r="TD435" s="9"/>
      <c r="TE435" s="9"/>
      <c r="TF435" s="9"/>
      <c r="TG435" s="9"/>
      <c r="TH435" s="9"/>
      <c r="TI435" s="9"/>
      <c r="TJ435" s="9"/>
      <c r="TK435" s="9"/>
      <c r="TL435" s="9"/>
      <c r="TM435" s="9"/>
      <c r="TN435" s="9"/>
      <c r="TO435" s="9"/>
      <c r="TP435" s="9"/>
      <c r="TQ435" s="9"/>
      <c r="TR435" s="9"/>
      <c r="TS435" s="9"/>
      <c r="TT435" s="9"/>
      <c r="TU435" s="9"/>
      <c r="TV435" s="9"/>
      <c r="TW435" s="9"/>
      <c r="TX435" s="9"/>
      <c r="TY435" s="9"/>
      <c r="TZ435" s="9"/>
      <c r="UA435" s="9"/>
      <c r="UB435" s="9"/>
      <c r="UC435" s="9"/>
      <c r="UD435" s="9"/>
      <c r="UE435" s="9"/>
      <c r="UF435" s="9"/>
      <c r="UG435" s="9"/>
      <c r="UH435" s="9"/>
      <c r="UI435" s="9"/>
      <c r="UJ435" s="9"/>
    </row>
    <row r="436">
      <c r="A436" s="8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  <c r="IW436" s="9"/>
      <c r="IX436" s="9"/>
      <c r="IY436" s="9"/>
      <c r="IZ436" s="9"/>
      <c r="JA436" s="9"/>
      <c r="JB436" s="9"/>
      <c r="JC436" s="9"/>
      <c r="JD436" s="9"/>
      <c r="JE436" s="9"/>
      <c r="JF436" s="9"/>
      <c r="JG436" s="9"/>
      <c r="JH436" s="9"/>
      <c r="JI436" s="9"/>
      <c r="JJ436" s="9"/>
      <c r="JK436" s="9"/>
      <c r="JL436" s="9"/>
      <c r="JM436" s="9"/>
      <c r="JN436" s="9"/>
      <c r="JO436" s="9"/>
      <c r="JP436" s="9"/>
      <c r="JQ436" s="9"/>
      <c r="JR436" s="9"/>
      <c r="JS436" s="9"/>
      <c r="JT436" s="9"/>
      <c r="JU436" s="9"/>
      <c r="JV436" s="9"/>
      <c r="JW436" s="9"/>
      <c r="JX436" s="9"/>
      <c r="JY436" s="9"/>
      <c r="JZ436" s="9"/>
      <c r="KA436" s="9"/>
      <c r="KB436" s="9"/>
      <c r="KC436" s="9"/>
      <c r="KD436" s="9"/>
      <c r="KE436" s="9"/>
      <c r="KF436" s="9"/>
      <c r="KG436" s="9"/>
      <c r="KH436" s="9"/>
      <c r="KI436" s="9"/>
      <c r="KJ436" s="9"/>
      <c r="KK436" s="9"/>
      <c r="KL436" s="9"/>
      <c r="KM436" s="9"/>
      <c r="KN436" s="9"/>
      <c r="KO436" s="9"/>
      <c r="KP436" s="9"/>
      <c r="KQ436" s="9"/>
      <c r="KR436" s="9"/>
      <c r="KS436" s="9"/>
      <c r="KT436" s="9"/>
      <c r="KU436" s="9"/>
      <c r="KV436" s="9"/>
      <c r="KW436" s="9"/>
      <c r="KX436" s="9"/>
      <c r="KY436" s="9"/>
      <c r="KZ436" s="9"/>
      <c r="LA436" s="9"/>
      <c r="LB436" s="9"/>
      <c r="LC436" s="9"/>
      <c r="LD436" s="9"/>
      <c r="LE436" s="9"/>
      <c r="LF436" s="9"/>
      <c r="LG436" s="9"/>
      <c r="LH436" s="9"/>
      <c r="LI436" s="9"/>
      <c r="LJ436" s="9"/>
      <c r="LK436" s="9"/>
      <c r="LL436" s="9"/>
      <c r="LM436" s="9"/>
      <c r="LN436" s="9"/>
      <c r="LO436" s="9"/>
      <c r="LP436" s="9"/>
      <c r="LQ436" s="9"/>
      <c r="LR436" s="9"/>
      <c r="LS436" s="9"/>
      <c r="LT436" s="9"/>
      <c r="LU436" s="9"/>
      <c r="LV436" s="9"/>
      <c r="LW436" s="9"/>
      <c r="LX436" s="9"/>
      <c r="LY436" s="9"/>
      <c r="LZ436" s="9"/>
      <c r="MA436" s="9"/>
      <c r="MB436" s="9"/>
      <c r="MC436" s="9"/>
      <c r="MD436" s="9"/>
      <c r="ME436" s="9"/>
      <c r="MF436" s="9"/>
      <c r="MG436" s="9"/>
      <c r="MH436" s="9"/>
      <c r="MI436" s="9"/>
      <c r="MJ436" s="9"/>
      <c r="MK436" s="9"/>
      <c r="ML436" s="9"/>
      <c r="MM436" s="9"/>
      <c r="MN436" s="9"/>
      <c r="MO436" s="9"/>
      <c r="MP436" s="9"/>
      <c r="MQ436" s="9"/>
      <c r="MR436" s="9"/>
      <c r="MS436" s="9"/>
      <c r="MT436" s="9"/>
      <c r="MU436" s="9"/>
      <c r="MV436" s="9"/>
      <c r="MW436" s="9"/>
      <c r="MX436" s="9"/>
      <c r="MY436" s="9"/>
      <c r="MZ436" s="9"/>
      <c r="NA436" s="9"/>
      <c r="NB436" s="9"/>
      <c r="NC436" s="9"/>
      <c r="ND436" s="9"/>
      <c r="NE436" s="9"/>
      <c r="NF436" s="9"/>
      <c r="NG436" s="9"/>
      <c r="NH436" s="9"/>
      <c r="NI436" s="9"/>
      <c r="NJ436" s="9"/>
      <c r="NK436" s="9"/>
      <c r="NL436" s="9"/>
      <c r="NM436" s="9"/>
      <c r="NN436" s="9"/>
      <c r="NO436" s="9"/>
      <c r="NP436" s="9"/>
      <c r="NQ436" s="9"/>
      <c r="NR436" s="9"/>
      <c r="NS436" s="9"/>
      <c r="NT436" s="9"/>
      <c r="NU436" s="9"/>
      <c r="NV436" s="9"/>
      <c r="NW436" s="9"/>
      <c r="NX436" s="9"/>
      <c r="NY436" s="9"/>
      <c r="NZ436" s="9"/>
      <c r="OA436" s="9"/>
      <c r="OB436" s="9"/>
      <c r="OC436" s="9"/>
      <c r="OD436" s="9"/>
      <c r="OE436" s="9"/>
      <c r="OF436" s="9"/>
      <c r="OG436" s="9"/>
      <c r="OH436" s="9"/>
      <c r="OI436" s="9"/>
      <c r="OJ436" s="9"/>
      <c r="OK436" s="9"/>
      <c r="OL436" s="9"/>
      <c r="OM436" s="9"/>
      <c r="ON436" s="9"/>
      <c r="OO436" s="9"/>
      <c r="OP436" s="9"/>
      <c r="OQ436" s="9"/>
      <c r="OR436" s="9"/>
      <c r="OS436" s="9"/>
      <c r="OT436" s="9"/>
      <c r="OU436" s="9"/>
      <c r="OV436" s="9"/>
      <c r="OW436" s="9"/>
      <c r="OX436" s="9"/>
      <c r="OY436" s="9"/>
      <c r="OZ436" s="9"/>
      <c r="PA436" s="9"/>
      <c r="PB436" s="9"/>
      <c r="PC436" s="9"/>
      <c r="PD436" s="9"/>
      <c r="PE436" s="9"/>
      <c r="PF436" s="9"/>
      <c r="PG436" s="9"/>
      <c r="PH436" s="9"/>
      <c r="PI436" s="9"/>
      <c r="PJ436" s="9"/>
      <c r="PK436" s="9"/>
      <c r="PL436" s="9"/>
      <c r="PM436" s="9"/>
      <c r="PN436" s="9"/>
      <c r="PO436" s="9"/>
      <c r="PP436" s="9"/>
      <c r="PQ436" s="9"/>
      <c r="PR436" s="9"/>
      <c r="PS436" s="9"/>
      <c r="PT436" s="9"/>
      <c r="PU436" s="9"/>
      <c r="PV436" s="9"/>
      <c r="PW436" s="9"/>
      <c r="PX436" s="9"/>
      <c r="PY436" s="9"/>
      <c r="PZ436" s="9"/>
      <c r="QA436" s="9"/>
      <c r="QB436" s="9"/>
      <c r="QC436" s="9"/>
      <c r="QD436" s="9"/>
      <c r="QE436" s="9"/>
      <c r="QF436" s="9"/>
      <c r="QG436" s="9"/>
      <c r="QH436" s="9"/>
      <c r="QI436" s="9"/>
      <c r="QJ436" s="9"/>
      <c r="QK436" s="9"/>
      <c r="QL436" s="9"/>
      <c r="QM436" s="9"/>
      <c r="QN436" s="9"/>
      <c r="QO436" s="9"/>
      <c r="QP436" s="9"/>
      <c r="QQ436" s="9"/>
      <c r="QR436" s="9"/>
      <c r="QS436" s="9"/>
      <c r="QT436" s="9"/>
      <c r="QU436" s="9"/>
      <c r="QV436" s="9"/>
      <c r="QW436" s="9"/>
      <c r="QX436" s="9"/>
      <c r="QY436" s="9"/>
      <c r="QZ436" s="9"/>
      <c r="RA436" s="9"/>
      <c r="RB436" s="9"/>
      <c r="RC436" s="9"/>
      <c r="RD436" s="9"/>
      <c r="RE436" s="9"/>
      <c r="RF436" s="9"/>
      <c r="RG436" s="9"/>
      <c r="RH436" s="9"/>
      <c r="RI436" s="9"/>
      <c r="RJ436" s="9"/>
      <c r="RK436" s="9"/>
      <c r="RL436" s="9"/>
      <c r="RM436" s="9"/>
      <c r="RN436" s="9"/>
      <c r="RO436" s="9"/>
      <c r="RP436" s="9"/>
      <c r="RQ436" s="9"/>
      <c r="RR436" s="9"/>
      <c r="RS436" s="9"/>
      <c r="RT436" s="9"/>
      <c r="RU436" s="9"/>
      <c r="RV436" s="9"/>
      <c r="RW436" s="9"/>
      <c r="RX436" s="9"/>
      <c r="RY436" s="9"/>
      <c r="RZ436" s="9"/>
      <c r="SA436" s="9"/>
      <c r="SB436" s="9"/>
      <c r="SC436" s="9"/>
      <c r="SD436" s="9"/>
      <c r="SE436" s="9"/>
      <c r="SF436" s="9"/>
      <c r="SG436" s="9"/>
      <c r="SH436" s="9"/>
      <c r="SI436" s="9"/>
      <c r="SJ436" s="9"/>
      <c r="SK436" s="9"/>
      <c r="SL436" s="9"/>
      <c r="SM436" s="9"/>
      <c r="SN436" s="9"/>
      <c r="SO436" s="9"/>
      <c r="SP436" s="9"/>
      <c r="SQ436" s="9"/>
      <c r="SR436" s="9"/>
      <c r="SS436" s="9"/>
      <c r="ST436" s="9"/>
      <c r="SU436" s="9"/>
      <c r="SV436" s="9"/>
      <c r="SW436" s="9"/>
      <c r="SX436" s="9"/>
      <c r="SY436" s="9"/>
      <c r="SZ436" s="9"/>
      <c r="TA436" s="9"/>
      <c r="TB436" s="9"/>
      <c r="TC436" s="9"/>
      <c r="TD436" s="9"/>
      <c r="TE436" s="9"/>
      <c r="TF436" s="9"/>
      <c r="TG436" s="9"/>
      <c r="TH436" s="9"/>
      <c r="TI436" s="9"/>
      <c r="TJ436" s="9"/>
      <c r="TK436" s="9"/>
      <c r="TL436" s="9"/>
      <c r="TM436" s="9"/>
      <c r="TN436" s="9"/>
      <c r="TO436" s="9"/>
      <c r="TP436" s="9"/>
      <c r="TQ436" s="9"/>
      <c r="TR436" s="9"/>
      <c r="TS436" s="9"/>
      <c r="TT436" s="9"/>
      <c r="TU436" s="9"/>
      <c r="TV436" s="9"/>
      <c r="TW436" s="9"/>
      <c r="TX436" s="9"/>
      <c r="TY436" s="9"/>
      <c r="TZ436" s="9"/>
      <c r="UA436" s="9"/>
      <c r="UB436" s="9"/>
      <c r="UC436" s="9"/>
      <c r="UD436" s="9"/>
      <c r="UE436" s="9"/>
      <c r="UF436" s="9"/>
      <c r="UG436" s="9"/>
      <c r="UH436" s="9"/>
      <c r="UI436" s="9"/>
      <c r="UJ436" s="9"/>
    </row>
    <row r="437">
      <c r="A437" s="8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</row>
    <row r="438">
      <c r="A438" s="8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  <c r="IN438" s="9"/>
      <c r="IO438" s="9"/>
      <c r="IP438" s="9"/>
      <c r="IQ438" s="9"/>
      <c r="IR438" s="9"/>
      <c r="IS438" s="9"/>
      <c r="IT438" s="9"/>
      <c r="IU438" s="9"/>
      <c r="IV438" s="9"/>
      <c r="IW438" s="9"/>
      <c r="IX438" s="9"/>
      <c r="IY438" s="9"/>
      <c r="IZ438" s="9"/>
      <c r="JA438" s="9"/>
      <c r="JB438" s="9"/>
      <c r="JC438" s="9"/>
      <c r="JD438" s="9"/>
      <c r="JE438" s="9"/>
      <c r="JF438" s="9"/>
      <c r="JG438" s="9"/>
      <c r="JH438" s="9"/>
      <c r="JI438" s="9"/>
      <c r="JJ438" s="9"/>
      <c r="JK438" s="9"/>
      <c r="JL438" s="9"/>
      <c r="JM438" s="9"/>
      <c r="JN438" s="9"/>
      <c r="JO438" s="9"/>
      <c r="JP438" s="9"/>
      <c r="JQ438" s="9"/>
      <c r="JR438" s="9"/>
      <c r="JS438" s="9"/>
      <c r="JT438" s="9"/>
      <c r="JU438" s="9"/>
      <c r="JV438" s="9"/>
      <c r="JW438" s="9"/>
      <c r="JX438" s="9"/>
      <c r="JY438" s="9"/>
      <c r="JZ438" s="9"/>
      <c r="KA438" s="9"/>
      <c r="KB438" s="9"/>
      <c r="KC438" s="9"/>
      <c r="KD438" s="9"/>
      <c r="KE438" s="9"/>
      <c r="KF438" s="9"/>
      <c r="KG438" s="9"/>
      <c r="KH438" s="9"/>
      <c r="KI438" s="9"/>
      <c r="KJ438" s="9"/>
      <c r="KK438" s="9"/>
      <c r="KL438" s="9"/>
      <c r="KM438" s="9"/>
      <c r="KN438" s="9"/>
      <c r="KO438" s="9"/>
      <c r="KP438" s="9"/>
      <c r="KQ438" s="9"/>
      <c r="KR438" s="9"/>
      <c r="KS438" s="9"/>
      <c r="KT438" s="9"/>
      <c r="KU438" s="9"/>
      <c r="KV438" s="9"/>
      <c r="KW438" s="9"/>
      <c r="KX438" s="9"/>
      <c r="KY438" s="9"/>
      <c r="KZ438" s="9"/>
      <c r="LA438" s="9"/>
      <c r="LB438" s="9"/>
      <c r="LC438" s="9"/>
      <c r="LD438" s="9"/>
      <c r="LE438" s="9"/>
      <c r="LF438" s="9"/>
      <c r="LG438" s="9"/>
      <c r="LH438" s="9"/>
      <c r="LI438" s="9"/>
      <c r="LJ438" s="9"/>
      <c r="LK438" s="9"/>
      <c r="LL438" s="9"/>
      <c r="LM438" s="9"/>
      <c r="LN438" s="9"/>
      <c r="LO438" s="9"/>
      <c r="LP438" s="9"/>
      <c r="LQ438" s="9"/>
      <c r="LR438" s="9"/>
      <c r="LS438" s="9"/>
      <c r="LT438" s="9"/>
      <c r="LU438" s="9"/>
      <c r="LV438" s="9"/>
      <c r="LW438" s="9"/>
      <c r="LX438" s="9"/>
      <c r="LY438" s="9"/>
      <c r="LZ438" s="9"/>
      <c r="MA438" s="9"/>
      <c r="MB438" s="9"/>
      <c r="MC438" s="9"/>
      <c r="MD438" s="9"/>
      <c r="ME438" s="9"/>
      <c r="MF438" s="9"/>
      <c r="MG438" s="9"/>
      <c r="MH438" s="9"/>
      <c r="MI438" s="9"/>
      <c r="MJ438" s="9"/>
      <c r="MK438" s="9"/>
      <c r="ML438" s="9"/>
      <c r="MM438" s="9"/>
      <c r="MN438" s="9"/>
      <c r="MO438" s="9"/>
      <c r="MP438" s="9"/>
      <c r="MQ438" s="9"/>
      <c r="MR438" s="9"/>
      <c r="MS438" s="9"/>
      <c r="MT438" s="9"/>
      <c r="MU438" s="9"/>
      <c r="MV438" s="9"/>
      <c r="MW438" s="9"/>
      <c r="MX438" s="9"/>
      <c r="MY438" s="9"/>
      <c r="MZ438" s="9"/>
      <c r="NA438" s="9"/>
      <c r="NB438" s="9"/>
      <c r="NC438" s="9"/>
      <c r="ND438" s="9"/>
      <c r="NE438" s="9"/>
      <c r="NF438" s="9"/>
      <c r="NG438" s="9"/>
      <c r="NH438" s="9"/>
      <c r="NI438" s="9"/>
      <c r="NJ438" s="9"/>
      <c r="NK438" s="9"/>
      <c r="NL438" s="9"/>
      <c r="NM438" s="9"/>
      <c r="NN438" s="9"/>
      <c r="NO438" s="9"/>
      <c r="NP438" s="9"/>
      <c r="NQ438" s="9"/>
      <c r="NR438" s="9"/>
      <c r="NS438" s="9"/>
      <c r="NT438" s="9"/>
      <c r="NU438" s="9"/>
      <c r="NV438" s="9"/>
      <c r="NW438" s="9"/>
      <c r="NX438" s="9"/>
      <c r="NY438" s="9"/>
      <c r="NZ438" s="9"/>
      <c r="OA438" s="9"/>
      <c r="OB438" s="9"/>
      <c r="OC438" s="9"/>
      <c r="OD438" s="9"/>
      <c r="OE438" s="9"/>
      <c r="OF438" s="9"/>
      <c r="OG438" s="9"/>
      <c r="OH438" s="9"/>
      <c r="OI438" s="9"/>
      <c r="OJ438" s="9"/>
      <c r="OK438" s="9"/>
      <c r="OL438" s="9"/>
      <c r="OM438" s="9"/>
      <c r="ON438" s="9"/>
      <c r="OO438" s="9"/>
      <c r="OP438" s="9"/>
      <c r="OQ438" s="9"/>
      <c r="OR438" s="9"/>
      <c r="OS438" s="9"/>
      <c r="OT438" s="9"/>
      <c r="OU438" s="9"/>
      <c r="OV438" s="9"/>
      <c r="OW438" s="9"/>
      <c r="OX438" s="9"/>
      <c r="OY438" s="9"/>
      <c r="OZ438" s="9"/>
      <c r="PA438" s="9"/>
      <c r="PB438" s="9"/>
      <c r="PC438" s="9"/>
      <c r="PD438" s="9"/>
      <c r="PE438" s="9"/>
      <c r="PF438" s="9"/>
      <c r="PG438" s="9"/>
      <c r="PH438" s="9"/>
      <c r="PI438" s="9"/>
      <c r="PJ438" s="9"/>
      <c r="PK438" s="9"/>
      <c r="PL438" s="9"/>
      <c r="PM438" s="9"/>
      <c r="PN438" s="9"/>
      <c r="PO438" s="9"/>
      <c r="PP438" s="9"/>
      <c r="PQ438" s="9"/>
      <c r="PR438" s="9"/>
      <c r="PS438" s="9"/>
      <c r="PT438" s="9"/>
      <c r="PU438" s="9"/>
      <c r="PV438" s="9"/>
      <c r="PW438" s="9"/>
      <c r="PX438" s="9"/>
      <c r="PY438" s="9"/>
      <c r="PZ438" s="9"/>
      <c r="QA438" s="9"/>
      <c r="QB438" s="9"/>
      <c r="QC438" s="9"/>
      <c r="QD438" s="9"/>
      <c r="QE438" s="9"/>
      <c r="QF438" s="9"/>
      <c r="QG438" s="9"/>
      <c r="QH438" s="9"/>
      <c r="QI438" s="9"/>
      <c r="QJ438" s="9"/>
      <c r="QK438" s="9"/>
      <c r="QL438" s="9"/>
      <c r="QM438" s="9"/>
      <c r="QN438" s="9"/>
      <c r="QO438" s="9"/>
      <c r="QP438" s="9"/>
      <c r="QQ438" s="9"/>
      <c r="QR438" s="9"/>
      <c r="QS438" s="9"/>
      <c r="QT438" s="9"/>
      <c r="QU438" s="9"/>
      <c r="QV438" s="9"/>
      <c r="QW438" s="9"/>
      <c r="QX438" s="9"/>
      <c r="QY438" s="9"/>
      <c r="QZ438" s="9"/>
      <c r="RA438" s="9"/>
      <c r="RB438" s="9"/>
      <c r="RC438" s="9"/>
      <c r="RD438" s="9"/>
      <c r="RE438" s="9"/>
      <c r="RF438" s="9"/>
      <c r="RG438" s="9"/>
      <c r="RH438" s="9"/>
      <c r="RI438" s="9"/>
      <c r="RJ438" s="9"/>
      <c r="RK438" s="9"/>
      <c r="RL438" s="9"/>
      <c r="RM438" s="9"/>
      <c r="RN438" s="9"/>
      <c r="RO438" s="9"/>
      <c r="RP438" s="9"/>
      <c r="RQ438" s="9"/>
      <c r="RR438" s="9"/>
      <c r="RS438" s="9"/>
      <c r="RT438" s="9"/>
      <c r="RU438" s="9"/>
      <c r="RV438" s="9"/>
      <c r="RW438" s="9"/>
      <c r="RX438" s="9"/>
      <c r="RY438" s="9"/>
      <c r="RZ438" s="9"/>
      <c r="SA438" s="9"/>
      <c r="SB438" s="9"/>
      <c r="SC438" s="9"/>
      <c r="SD438" s="9"/>
      <c r="SE438" s="9"/>
      <c r="SF438" s="9"/>
      <c r="SG438" s="9"/>
      <c r="SH438" s="9"/>
      <c r="SI438" s="9"/>
      <c r="SJ438" s="9"/>
      <c r="SK438" s="9"/>
      <c r="SL438" s="9"/>
      <c r="SM438" s="9"/>
      <c r="SN438" s="9"/>
      <c r="SO438" s="9"/>
      <c r="SP438" s="9"/>
      <c r="SQ438" s="9"/>
      <c r="SR438" s="9"/>
      <c r="SS438" s="9"/>
      <c r="ST438" s="9"/>
      <c r="SU438" s="9"/>
      <c r="SV438" s="9"/>
      <c r="SW438" s="9"/>
      <c r="SX438" s="9"/>
      <c r="SY438" s="9"/>
      <c r="SZ438" s="9"/>
      <c r="TA438" s="9"/>
      <c r="TB438" s="9"/>
      <c r="TC438" s="9"/>
      <c r="TD438" s="9"/>
      <c r="TE438" s="9"/>
      <c r="TF438" s="9"/>
      <c r="TG438" s="9"/>
      <c r="TH438" s="9"/>
      <c r="TI438" s="9"/>
      <c r="TJ438" s="9"/>
      <c r="TK438" s="9"/>
      <c r="TL438" s="9"/>
      <c r="TM438" s="9"/>
      <c r="TN438" s="9"/>
      <c r="TO438" s="9"/>
      <c r="TP438" s="9"/>
      <c r="TQ438" s="9"/>
      <c r="TR438" s="9"/>
      <c r="TS438" s="9"/>
      <c r="TT438" s="9"/>
      <c r="TU438" s="9"/>
      <c r="TV438" s="9"/>
      <c r="TW438" s="9"/>
      <c r="TX438" s="9"/>
      <c r="TY438" s="9"/>
      <c r="TZ438" s="9"/>
      <c r="UA438" s="9"/>
      <c r="UB438" s="9"/>
      <c r="UC438" s="9"/>
      <c r="UD438" s="9"/>
      <c r="UE438" s="9"/>
      <c r="UF438" s="9"/>
      <c r="UG438" s="9"/>
      <c r="UH438" s="9"/>
      <c r="UI438" s="9"/>
      <c r="UJ438" s="9"/>
    </row>
    <row r="439">
      <c r="A439" s="8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/>
      <c r="IP439" s="9"/>
      <c r="IQ439" s="9"/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9"/>
      <c r="JE439" s="9"/>
      <c r="JF439" s="9"/>
      <c r="JG439" s="9"/>
      <c r="JH439" s="9"/>
      <c r="JI439" s="9"/>
      <c r="JJ439" s="9"/>
      <c r="JK439" s="9"/>
      <c r="JL439" s="9"/>
      <c r="JM439" s="9"/>
      <c r="JN439" s="9"/>
      <c r="JO439" s="9"/>
      <c r="JP439" s="9"/>
      <c r="JQ439" s="9"/>
      <c r="JR439" s="9"/>
      <c r="JS439" s="9"/>
      <c r="JT439" s="9"/>
      <c r="JU439" s="9"/>
      <c r="JV439" s="9"/>
      <c r="JW439" s="9"/>
      <c r="JX439" s="9"/>
      <c r="JY439" s="9"/>
      <c r="JZ439" s="9"/>
      <c r="KA439" s="9"/>
      <c r="KB439" s="9"/>
      <c r="KC439" s="9"/>
      <c r="KD439" s="9"/>
      <c r="KE439" s="9"/>
      <c r="KF439" s="9"/>
      <c r="KG439" s="9"/>
      <c r="KH439" s="9"/>
      <c r="KI439" s="9"/>
      <c r="KJ439" s="9"/>
      <c r="KK439" s="9"/>
      <c r="KL439" s="9"/>
      <c r="KM439" s="9"/>
      <c r="KN439" s="9"/>
      <c r="KO439" s="9"/>
      <c r="KP439" s="9"/>
      <c r="KQ439" s="9"/>
      <c r="KR439" s="9"/>
      <c r="KS439" s="9"/>
      <c r="KT439" s="9"/>
      <c r="KU439" s="9"/>
      <c r="KV439" s="9"/>
      <c r="KW439" s="9"/>
      <c r="KX439" s="9"/>
      <c r="KY439" s="9"/>
      <c r="KZ439" s="9"/>
      <c r="LA439" s="9"/>
      <c r="LB439" s="9"/>
      <c r="LC439" s="9"/>
      <c r="LD439" s="9"/>
      <c r="LE439" s="9"/>
      <c r="LF439" s="9"/>
      <c r="LG439" s="9"/>
      <c r="LH439" s="9"/>
      <c r="LI439" s="9"/>
      <c r="LJ439" s="9"/>
      <c r="LK439" s="9"/>
      <c r="LL439" s="9"/>
      <c r="LM439" s="9"/>
      <c r="LN439" s="9"/>
      <c r="LO439" s="9"/>
      <c r="LP439" s="9"/>
      <c r="LQ439" s="9"/>
      <c r="LR439" s="9"/>
      <c r="LS439" s="9"/>
      <c r="LT439" s="9"/>
      <c r="LU439" s="9"/>
      <c r="LV439" s="9"/>
      <c r="LW439" s="9"/>
      <c r="LX439" s="9"/>
      <c r="LY439" s="9"/>
      <c r="LZ439" s="9"/>
      <c r="MA439" s="9"/>
      <c r="MB439" s="9"/>
      <c r="MC439" s="9"/>
      <c r="MD439" s="9"/>
      <c r="ME439" s="9"/>
      <c r="MF439" s="9"/>
      <c r="MG439" s="9"/>
      <c r="MH439" s="9"/>
      <c r="MI439" s="9"/>
      <c r="MJ439" s="9"/>
      <c r="MK439" s="9"/>
      <c r="ML439" s="9"/>
      <c r="MM439" s="9"/>
      <c r="MN439" s="9"/>
      <c r="MO439" s="9"/>
      <c r="MP439" s="9"/>
      <c r="MQ439" s="9"/>
      <c r="MR439" s="9"/>
      <c r="MS439" s="9"/>
      <c r="MT439" s="9"/>
      <c r="MU439" s="9"/>
      <c r="MV439" s="9"/>
      <c r="MW439" s="9"/>
      <c r="MX439" s="9"/>
      <c r="MY439" s="9"/>
      <c r="MZ439" s="9"/>
      <c r="NA439" s="9"/>
      <c r="NB439" s="9"/>
      <c r="NC439" s="9"/>
      <c r="ND439" s="9"/>
      <c r="NE439" s="9"/>
      <c r="NF439" s="9"/>
      <c r="NG439" s="9"/>
      <c r="NH439" s="9"/>
      <c r="NI439" s="9"/>
      <c r="NJ439" s="9"/>
      <c r="NK439" s="9"/>
      <c r="NL439" s="9"/>
      <c r="NM439" s="9"/>
      <c r="NN439" s="9"/>
      <c r="NO439" s="9"/>
      <c r="NP439" s="9"/>
      <c r="NQ439" s="9"/>
      <c r="NR439" s="9"/>
      <c r="NS439" s="9"/>
      <c r="NT439" s="9"/>
      <c r="NU439" s="9"/>
      <c r="NV439" s="9"/>
      <c r="NW439" s="9"/>
      <c r="NX439" s="9"/>
      <c r="NY439" s="9"/>
      <c r="NZ439" s="9"/>
      <c r="OA439" s="9"/>
      <c r="OB439" s="9"/>
      <c r="OC439" s="9"/>
      <c r="OD439" s="9"/>
      <c r="OE439" s="9"/>
      <c r="OF439" s="9"/>
      <c r="OG439" s="9"/>
      <c r="OH439" s="9"/>
      <c r="OI439" s="9"/>
      <c r="OJ439" s="9"/>
      <c r="OK439" s="9"/>
      <c r="OL439" s="9"/>
      <c r="OM439" s="9"/>
      <c r="ON439" s="9"/>
      <c r="OO439" s="9"/>
      <c r="OP439" s="9"/>
      <c r="OQ439" s="9"/>
      <c r="OR439" s="9"/>
      <c r="OS439" s="9"/>
      <c r="OT439" s="9"/>
      <c r="OU439" s="9"/>
      <c r="OV439" s="9"/>
      <c r="OW439" s="9"/>
      <c r="OX439" s="9"/>
      <c r="OY439" s="9"/>
      <c r="OZ439" s="9"/>
      <c r="PA439" s="9"/>
      <c r="PB439" s="9"/>
      <c r="PC439" s="9"/>
      <c r="PD439" s="9"/>
      <c r="PE439" s="9"/>
      <c r="PF439" s="9"/>
      <c r="PG439" s="9"/>
      <c r="PH439" s="9"/>
      <c r="PI439" s="9"/>
      <c r="PJ439" s="9"/>
      <c r="PK439" s="9"/>
      <c r="PL439" s="9"/>
      <c r="PM439" s="9"/>
      <c r="PN439" s="9"/>
      <c r="PO439" s="9"/>
      <c r="PP439" s="9"/>
      <c r="PQ439" s="9"/>
      <c r="PR439" s="9"/>
      <c r="PS439" s="9"/>
      <c r="PT439" s="9"/>
      <c r="PU439" s="9"/>
      <c r="PV439" s="9"/>
      <c r="PW439" s="9"/>
      <c r="PX439" s="9"/>
      <c r="PY439" s="9"/>
      <c r="PZ439" s="9"/>
      <c r="QA439" s="9"/>
      <c r="QB439" s="9"/>
      <c r="QC439" s="9"/>
      <c r="QD439" s="9"/>
      <c r="QE439" s="9"/>
      <c r="QF439" s="9"/>
      <c r="QG439" s="9"/>
      <c r="QH439" s="9"/>
      <c r="QI439" s="9"/>
      <c r="QJ439" s="9"/>
      <c r="QK439" s="9"/>
      <c r="QL439" s="9"/>
      <c r="QM439" s="9"/>
      <c r="QN439" s="9"/>
      <c r="QO439" s="9"/>
      <c r="QP439" s="9"/>
      <c r="QQ439" s="9"/>
      <c r="QR439" s="9"/>
      <c r="QS439" s="9"/>
      <c r="QT439" s="9"/>
      <c r="QU439" s="9"/>
      <c r="QV439" s="9"/>
      <c r="QW439" s="9"/>
      <c r="QX439" s="9"/>
      <c r="QY439" s="9"/>
      <c r="QZ439" s="9"/>
      <c r="RA439" s="9"/>
      <c r="RB439" s="9"/>
      <c r="RC439" s="9"/>
      <c r="RD439" s="9"/>
      <c r="RE439" s="9"/>
      <c r="RF439" s="9"/>
      <c r="RG439" s="9"/>
      <c r="RH439" s="9"/>
      <c r="RI439" s="9"/>
      <c r="RJ439" s="9"/>
      <c r="RK439" s="9"/>
      <c r="RL439" s="9"/>
      <c r="RM439" s="9"/>
      <c r="RN439" s="9"/>
      <c r="RO439" s="9"/>
      <c r="RP439" s="9"/>
      <c r="RQ439" s="9"/>
      <c r="RR439" s="9"/>
      <c r="RS439" s="9"/>
      <c r="RT439" s="9"/>
      <c r="RU439" s="9"/>
      <c r="RV439" s="9"/>
      <c r="RW439" s="9"/>
      <c r="RX439" s="9"/>
      <c r="RY439" s="9"/>
      <c r="RZ439" s="9"/>
      <c r="SA439" s="9"/>
      <c r="SB439" s="9"/>
      <c r="SC439" s="9"/>
      <c r="SD439" s="9"/>
      <c r="SE439" s="9"/>
      <c r="SF439" s="9"/>
      <c r="SG439" s="9"/>
      <c r="SH439" s="9"/>
      <c r="SI439" s="9"/>
      <c r="SJ439" s="9"/>
      <c r="SK439" s="9"/>
      <c r="SL439" s="9"/>
      <c r="SM439" s="9"/>
      <c r="SN439" s="9"/>
      <c r="SO439" s="9"/>
      <c r="SP439" s="9"/>
      <c r="SQ439" s="9"/>
      <c r="SR439" s="9"/>
      <c r="SS439" s="9"/>
      <c r="ST439" s="9"/>
      <c r="SU439" s="9"/>
      <c r="SV439" s="9"/>
      <c r="SW439" s="9"/>
      <c r="SX439" s="9"/>
      <c r="SY439" s="9"/>
      <c r="SZ439" s="9"/>
      <c r="TA439" s="9"/>
      <c r="TB439" s="9"/>
      <c r="TC439" s="9"/>
      <c r="TD439" s="9"/>
      <c r="TE439" s="9"/>
      <c r="TF439" s="9"/>
      <c r="TG439" s="9"/>
      <c r="TH439" s="9"/>
      <c r="TI439" s="9"/>
      <c r="TJ439" s="9"/>
      <c r="TK439" s="9"/>
      <c r="TL439" s="9"/>
      <c r="TM439" s="9"/>
      <c r="TN439" s="9"/>
      <c r="TO439" s="9"/>
      <c r="TP439" s="9"/>
      <c r="TQ439" s="9"/>
      <c r="TR439" s="9"/>
      <c r="TS439" s="9"/>
      <c r="TT439" s="9"/>
      <c r="TU439" s="9"/>
      <c r="TV439" s="9"/>
      <c r="TW439" s="9"/>
      <c r="TX439" s="9"/>
      <c r="TY439" s="9"/>
      <c r="TZ439" s="9"/>
      <c r="UA439" s="9"/>
      <c r="UB439" s="9"/>
      <c r="UC439" s="9"/>
      <c r="UD439" s="9"/>
      <c r="UE439" s="9"/>
      <c r="UF439" s="9"/>
      <c r="UG439" s="9"/>
      <c r="UH439" s="9"/>
      <c r="UI439" s="9"/>
      <c r="UJ439" s="9"/>
    </row>
    <row r="440">
      <c r="A440" s="8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9"/>
      <c r="JE440" s="9"/>
      <c r="JF440" s="9"/>
      <c r="JG440" s="9"/>
      <c r="JH440" s="9"/>
      <c r="JI440" s="9"/>
      <c r="JJ440" s="9"/>
      <c r="JK440" s="9"/>
      <c r="JL440" s="9"/>
      <c r="JM440" s="9"/>
      <c r="JN440" s="9"/>
      <c r="JO440" s="9"/>
      <c r="JP440" s="9"/>
      <c r="JQ440" s="9"/>
      <c r="JR440" s="9"/>
      <c r="JS440" s="9"/>
      <c r="JT440" s="9"/>
      <c r="JU440" s="9"/>
      <c r="JV440" s="9"/>
      <c r="JW440" s="9"/>
      <c r="JX440" s="9"/>
      <c r="JY440" s="9"/>
      <c r="JZ440" s="9"/>
      <c r="KA440" s="9"/>
      <c r="KB440" s="9"/>
      <c r="KC440" s="9"/>
      <c r="KD440" s="9"/>
      <c r="KE440" s="9"/>
      <c r="KF440" s="9"/>
      <c r="KG440" s="9"/>
      <c r="KH440" s="9"/>
      <c r="KI440" s="9"/>
      <c r="KJ440" s="9"/>
      <c r="KK440" s="9"/>
      <c r="KL440" s="9"/>
      <c r="KM440" s="9"/>
      <c r="KN440" s="9"/>
      <c r="KO440" s="9"/>
      <c r="KP440" s="9"/>
      <c r="KQ440" s="9"/>
      <c r="KR440" s="9"/>
      <c r="KS440" s="9"/>
      <c r="KT440" s="9"/>
      <c r="KU440" s="9"/>
      <c r="KV440" s="9"/>
      <c r="KW440" s="9"/>
      <c r="KX440" s="9"/>
      <c r="KY440" s="9"/>
      <c r="KZ440" s="9"/>
      <c r="LA440" s="9"/>
      <c r="LB440" s="9"/>
      <c r="LC440" s="9"/>
      <c r="LD440" s="9"/>
      <c r="LE440" s="9"/>
      <c r="LF440" s="9"/>
      <c r="LG440" s="9"/>
      <c r="LH440" s="9"/>
      <c r="LI440" s="9"/>
      <c r="LJ440" s="9"/>
      <c r="LK440" s="9"/>
      <c r="LL440" s="9"/>
      <c r="LM440" s="9"/>
      <c r="LN440" s="9"/>
      <c r="LO440" s="9"/>
      <c r="LP440" s="9"/>
      <c r="LQ440" s="9"/>
      <c r="LR440" s="9"/>
      <c r="LS440" s="9"/>
      <c r="LT440" s="9"/>
      <c r="LU440" s="9"/>
      <c r="LV440" s="9"/>
      <c r="LW440" s="9"/>
      <c r="LX440" s="9"/>
      <c r="LY440" s="9"/>
      <c r="LZ440" s="9"/>
      <c r="MA440" s="9"/>
      <c r="MB440" s="9"/>
      <c r="MC440" s="9"/>
      <c r="MD440" s="9"/>
      <c r="ME440" s="9"/>
      <c r="MF440" s="9"/>
      <c r="MG440" s="9"/>
      <c r="MH440" s="9"/>
      <c r="MI440" s="9"/>
      <c r="MJ440" s="9"/>
      <c r="MK440" s="9"/>
      <c r="ML440" s="9"/>
      <c r="MM440" s="9"/>
      <c r="MN440" s="9"/>
      <c r="MO440" s="9"/>
      <c r="MP440" s="9"/>
      <c r="MQ440" s="9"/>
      <c r="MR440" s="9"/>
      <c r="MS440" s="9"/>
      <c r="MT440" s="9"/>
      <c r="MU440" s="9"/>
      <c r="MV440" s="9"/>
      <c r="MW440" s="9"/>
      <c r="MX440" s="9"/>
      <c r="MY440" s="9"/>
      <c r="MZ440" s="9"/>
      <c r="NA440" s="9"/>
      <c r="NB440" s="9"/>
      <c r="NC440" s="9"/>
      <c r="ND440" s="9"/>
      <c r="NE440" s="9"/>
      <c r="NF440" s="9"/>
      <c r="NG440" s="9"/>
      <c r="NH440" s="9"/>
      <c r="NI440" s="9"/>
      <c r="NJ440" s="9"/>
      <c r="NK440" s="9"/>
      <c r="NL440" s="9"/>
      <c r="NM440" s="9"/>
      <c r="NN440" s="9"/>
      <c r="NO440" s="9"/>
      <c r="NP440" s="9"/>
      <c r="NQ440" s="9"/>
      <c r="NR440" s="9"/>
      <c r="NS440" s="9"/>
      <c r="NT440" s="9"/>
      <c r="NU440" s="9"/>
      <c r="NV440" s="9"/>
      <c r="NW440" s="9"/>
      <c r="NX440" s="9"/>
      <c r="NY440" s="9"/>
      <c r="NZ440" s="9"/>
      <c r="OA440" s="9"/>
      <c r="OB440" s="9"/>
      <c r="OC440" s="9"/>
      <c r="OD440" s="9"/>
      <c r="OE440" s="9"/>
      <c r="OF440" s="9"/>
      <c r="OG440" s="9"/>
      <c r="OH440" s="9"/>
      <c r="OI440" s="9"/>
      <c r="OJ440" s="9"/>
      <c r="OK440" s="9"/>
      <c r="OL440" s="9"/>
      <c r="OM440" s="9"/>
      <c r="ON440" s="9"/>
      <c r="OO440" s="9"/>
      <c r="OP440" s="9"/>
      <c r="OQ440" s="9"/>
      <c r="OR440" s="9"/>
      <c r="OS440" s="9"/>
      <c r="OT440" s="9"/>
      <c r="OU440" s="9"/>
      <c r="OV440" s="9"/>
      <c r="OW440" s="9"/>
      <c r="OX440" s="9"/>
      <c r="OY440" s="9"/>
      <c r="OZ440" s="9"/>
      <c r="PA440" s="9"/>
      <c r="PB440" s="9"/>
      <c r="PC440" s="9"/>
      <c r="PD440" s="9"/>
      <c r="PE440" s="9"/>
      <c r="PF440" s="9"/>
      <c r="PG440" s="9"/>
      <c r="PH440" s="9"/>
      <c r="PI440" s="9"/>
      <c r="PJ440" s="9"/>
      <c r="PK440" s="9"/>
      <c r="PL440" s="9"/>
      <c r="PM440" s="9"/>
      <c r="PN440" s="9"/>
      <c r="PO440" s="9"/>
      <c r="PP440" s="9"/>
      <c r="PQ440" s="9"/>
      <c r="PR440" s="9"/>
      <c r="PS440" s="9"/>
      <c r="PT440" s="9"/>
      <c r="PU440" s="9"/>
      <c r="PV440" s="9"/>
      <c r="PW440" s="9"/>
      <c r="PX440" s="9"/>
      <c r="PY440" s="9"/>
      <c r="PZ440" s="9"/>
      <c r="QA440" s="9"/>
      <c r="QB440" s="9"/>
      <c r="QC440" s="9"/>
      <c r="QD440" s="9"/>
      <c r="QE440" s="9"/>
      <c r="QF440" s="9"/>
      <c r="QG440" s="9"/>
      <c r="QH440" s="9"/>
      <c r="QI440" s="9"/>
      <c r="QJ440" s="9"/>
      <c r="QK440" s="9"/>
      <c r="QL440" s="9"/>
      <c r="QM440" s="9"/>
      <c r="QN440" s="9"/>
      <c r="QO440" s="9"/>
      <c r="QP440" s="9"/>
      <c r="QQ440" s="9"/>
      <c r="QR440" s="9"/>
      <c r="QS440" s="9"/>
      <c r="QT440" s="9"/>
      <c r="QU440" s="9"/>
      <c r="QV440" s="9"/>
      <c r="QW440" s="9"/>
      <c r="QX440" s="9"/>
      <c r="QY440" s="9"/>
      <c r="QZ440" s="9"/>
      <c r="RA440" s="9"/>
      <c r="RB440" s="9"/>
      <c r="RC440" s="9"/>
      <c r="RD440" s="9"/>
      <c r="RE440" s="9"/>
      <c r="RF440" s="9"/>
      <c r="RG440" s="9"/>
      <c r="RH440" s="9"/>
      <c r="RI440" s="9"/>
      <c r="RJ440" s="9"/>
      <c r="RK440" s="9"/>
      <c r="RL440" s="9"/>
      <c r="RM440" s="9"/>
      <c r="RN440" s="9"/>
      <c r="RO440" s="9"/>
      <c r="RP440" s="9"/>
      <c r="RQ440" s="9"/>
      <c r="RR440" s="9"/>
      <c r="RS440" s="9"/>
      <c r="RT440" s="9"/>
      <c r="RU440" s="9"/>
      <c r="RV440" s="9"/>
      <c r="RW440" s="9"/>
      <c r="RX440" s="9"/>
      <c r="RY440" s="9"/>
      <c r="RZ440" s="9"/>
      <c r="SA440" s="9"/>
      <c r="SB440" s="9"/>
      <c r="SC440" s="9"/>
      <c r="SD440" s="9"/>
      <c r="SE440" s="9"/>
      <c r="SF440" s="9"/>
      <c r="SG440" s="9"/>
      <c r="SH440" s="9"/>
      <c r="SI440" s="9"/>
      <c r="SJ440" s="9"/>
      <c r="SK440" s="9"/>
      <c r="SL440" s="9"/>
      <c r="SM440" s="9"/>
      <c r="SN440" s="9"/>
      <c r="SO440" s="9"/>
      <c r="SP440" s="9"/>
      <c r="SQ440" s="9"/>
      <c r="SR440" s="9"/>
      <c r="SS440" s="9"/>
      <c r="ST440" s="9"/>
      <c r="SU440" s="9"/>
      <c r="SV440" s="9"/>
      <c r="SW440" s="9"/>
      <c r="SX440" s="9"/>
      <c r="SY440" s="9"/>
      <c r="SZ440" s="9"/>
      <c r="TA440" s="9"/>
      <c r="TB440" s="9"/>
      <c r="TC440" s="9"/>
      <c r="TD440" s="9"/>
      <c r="TE440" s="9"/>
      <c r="TF440" s="9"/>
      <c r="TG440" s="9"/>
      <c r="TH440" s="9"/>
      <c r="TI440" s="9"/>
      <c r="TJ440" s="9"/>
      <c r="TK440" s="9"/>
      <c r="TL440" s="9"/>
      <c r="TM440" s="9"/>
      <c r="TN440" s="9"/>
      <c r="TO440" s="9"/>
      <c r="TP440" s="9"/>
      <c r="TQ440" s="9"/>
      <c r="TR440" s="9"/>
      <c r="TS440" s="9"/>
      <c r="TT440" s="9"/>
      <c r="TU440" s="9"/>
      <c r="TV440" s="9"/>
      <c r="TW440" s="9"/>
      <c r="TX440" s="9"/>
      <c r="TY440" s="9"/>
      <c r="TZ440" s="9"/>
      <c r="UA440" s="9"/>
      <c r="UB440" s="9"/>
      <c r="UC440" s="9"/>
      <c r="UD440" s="9"/>
      <c r="UE440" s="9"/>
      <c r="UF440" s="9"/>
      <c r="UG440" s="9"/>
      <c r="UH440" s="9"/>
      <c r="UI440" s="9"/>
      <c r="UJ440" s="9"/>
    </row>
    <row r="441">
      <c r="A441" s="8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/>
      <c r="JF441" s="9"/>
      <c r="JG441" s="9"/>
      <c r="JH441" s="9"/>
      <c r="JI441" s="9"/>
      <c r="JJ441" s="9"/>
      <c r="JK441" s="9"/>
      <c r="JL441" s="9"/>
      <c r="JM441" s="9"/>
      <c r="JN441" s="9"/>
      <c r="JO441" s="9"/>
      <c r="JP441" s="9"/>
      <c r="JQ441" s="9"/>
      <c r="JR441" s="9"/>
      <c r="JS441" s="9"/>
      <c r="JT441" s="9"/>
      <c r="JU441" s="9"/>
      <c r="JV441" s="9"/>
      <c r="JW441" s="9"/>
      <c r="JX441" s="9"/>
      <c r="JY441" s="9"/>
      <c r="JZ441" s="9"/>
      <c r="KA441" s="9"/>
      <c r="KB441" s="9"/>
      <c r="KC441" s="9"/>
      <c r="KD441" s="9"/>
      <c r="KE441" s="9"/>
      <c r="KF441" s="9"/>
      <c r="KG441" s="9"/>
      <c r="KH441" s="9"/>
      <c r="KI441" s="9"/>
      <c r="KJ441" s="9"/>
      <c r="KK441" s="9"/>
      <c r="KL441" s="9"/>
      <c r="KM441" s="9"/>
      <c r="KN441" s="9"/>
      <c r="KO441" s="9"/>
      <c r="KP441" s="9"/>
      <c r="KQ441" s="9"/>
      <c r="KR441" s="9"/>
      <c r="KS441" s="9"/>
      <c r="KT441" s="9"/>
      <c r="KU441" s="9"/>
      <c r="KV441" s="9"/>
      <c r="KW441" s="9"/>
      <c r="KX441" s="9"/>
      <c r="KY441" s="9"/>
      <c r="KZ441" s="9"/>
      <c r="LA441" s="9"/>
      <c r="LB441" s="9"/>
      <c r="LC441" s="9"/>
      <c r="LD441" s="9"/>
      <c r="LE441" s="9"/>
      <c r="LF441" s="9"/>
      <c r="LG441" s="9"/>
      <c r="LH441" s="9"/>
      <c r="LI441" s="9"/>
      <c r="LJ441" s="9"/>
      <c r="LK441" s="9"/>
      <c r="LL441" s="9"/>
      <c r="LM441" s="9"/>
      <c r="LN441" s="9"/>
      <c r="LO441" s="9"/>
      <c r="LP441" s="9"/>
      <c r="LQ441" s="9"/>
      <c r="LR441" s="9"/>
      <c r="LS441" s="9"/>
      <c r="LT441" s="9"/>
      <c r="LU441" s="9"/>
      <c r="LV441" s="9"/>
      <c r="LW441" s="9"/>
      <c r="LX441" s="9"/>
      <c r="LY441" s="9"/>
      <c r="LZ441" s="9"/>
      <c r="MA441" s="9"/>
      <c r="MB441" s="9"/>
      <c r="MC441" s="9"/>
      <c r="MD441" s="9"/>
      <c r="ME441" s="9"/>
      <c r="MF441" s="9"/>
      <c r="MG441" s="9"/>
      <c r="MH441" s="9"/>
      <c r="MI441" s="9"/>
      <c r="MJ441" s="9"/>
      <c r="MK441" s="9"/>
      <c r="ML441" s="9"/>
      <c r="MM441" s="9"/>
      <c r="MN441" s="9"/>
      <c r="MO441" s="9"/>
      <c r="MP441" s="9"/>
      <c r="MQ441" s="9"/>
      <c r="MR441" s="9"/>
      <c r="MS441" s="9"/>
      <c r="MT441" s="9"/>
      <c r="MU441" s="9"/>
      <c r="MV441" s="9"/>
      <c r="MW441" s="9"/>
      <c r="MX441" s="9"/>
      <c r="MY441" s="9"/>
      <c r="MZ441" s="9"/>
      <c r="NA441" s="9"/>
      <c r="NB441" s="9"/>
      <c r="NC441" s="9"/>
      <c r="ND441" s="9"/>
      <c r="NE441" s="9"/>
      <c r="NF441" s="9"/>
      <c r="NG441" s="9"/>
      <c r="NH441" s="9"/>
      <c r="NI441" s="9"/>
      <c r="NJ441" s="9"/>
      <c r="NK441" s="9"/>
      <c r="NL441" s="9"/>
      <c r="NM441" s="9"/>
      <c r="NN441" s="9"/>
      <c r="NO441" s="9"/>
      <c r="NP441" s="9"/>
      <c r="NQ441" s="9"/>
      <c r="NR441" s="9"/>
      <c r="NS441" s="9"/>
      <c r="NT441" s="9"/>
      <c r="NU441" s="9"/>
      <c r="NV441" s="9"/>
      <c r="NW441" s="9"/>
      <c r="NX441" s="9"/>
      <c r="NY441" s="9"/>
      <c r="NZ441" s="9"/>
      <c r="OA441" s="9"/>
      <c r="OB441" s="9"/>
      <c r="OC441" s="9"/>
      <c r="OD441" s="9"/>
      <c r="OE441" s="9"/>
      <c r="OF441" s="9"/>
      <c r="OG441" s="9"/>
      <c r="OH441" s="9"/>
      <c r="OI441" s="9"/>
      <c r="OJ441" s="9"/>
      <c r="OK441" s="9"/>
      <c r="OL441" s="9"/>
      <c r="OM441" s="9"/>
      <c r="ON441" s="9"/>
      <c r="OO441" s="9"/>
      <c r="OP441" s="9"/>
      <c r="OQ441" s="9"/>
      <c r="OR441" s="9"/>
      <c r="OS441" s="9"/>
      <c r="OT441" s="9"/>
      <c r="OU441" s="9"/>
      <c r="OV441" s="9"/>
      <c r="OW441" s="9"/>
      <c r="OX441" s="9"/>
      <c r="OY441" s="9"/>
      <c r="OZ441" s="9"/>
      <c r="PA441" s="9"/>
      <c r="PB441" s="9"/>
      <c r="PC441" s="9"/>
      <c r="PD441" s="9"/>
      <c r="PE441" s="9"/>
      <c r="PF441" s="9"/>
      <c r="PG441" s="9"/>
      <c r="PH441" s="9"/>
      <c r="PI441" s="9"/>
      <c r="PJ441" s="9"/>
      <c r="PK441" s="9"/>
      <c r="PL441" s="9"/>
      <c r="PM441" s="9"/>
      <c r="PN441" s="9"/>
      <c r="PO441" s="9"/>
      <c r="PP441" s="9"/>
      <c r="PQ441" s="9"/>
      <c r="PR441" s="9"/>
      <c r="PS441" s="9"/>
      <c r="PT441" s="9"/>
      <c r="PU441" s="9"/>
      <c r="PV441" s="9"/>
      <c r="PW441" s="9"/>
      <c r="PX441" s="9"/>
      <c r="PY441" s="9"/>
      <c r="PZ441" s="9"/>
      <c r="QA441" s="9"/>
      <c r="QB441" s="9"/>
      <c r="QC441" s="9"/>
      <c r="QD441" s="9"/>
      <c r="QE441" s="9"/>
      <c r="QF441" s="9"/>
      <c r="QG441" s="9"/>
      <c r="QH441" s="9"/>
      <c r="QI441" s="9"/>
      <c r="QJ441" s="9"/>
      <c r="QK441" s="9"/>
      <c r="QL441" s="9"/>
      <c r="QM441" s="9"/>
      <c r="QN441" s="9"/>
      <c r="QO441" s="9"/>
      <c r="QP441" s="9"/>
      <c r="QQ441" s="9"/>
      <c r="QR441" s="9"/>
      <c r="QS441" s="9"/>
      <c r="QT441" s="9"/>
      <c r="QU441" s="9"/>
      <c r="QV441" s="9"/>
      <c r="QW441" s="9"/>
      <c r="QX441" s="9"/>
      <c r="QY441" s="9"/>
      <c r="QZ441" s="9"/>
      <c r="RA441" s="9"/>
      <c r="RB441" s="9"/>
      <c r="RC441" s="9"/>
      <c r="RD441" s="9"/>
      <c r="RE441" s="9"/>
      <c r="RF441" s="9"/>
      <c r="RG441" s="9"/>
      <c r="RH441" s="9"/>
      <c r="RI441" s="9"/>
      <c r="RJ441" s="9"/>
      <c r="RK441" s="9"/>
      <c r="RL441" s="9"/>
      <c r="RM441" s="9"/>
      <c r="RN441" s="9"/>
      <c r="RO441" s="9"/>
      <c r="RP441" s="9"/>
      <c r="RQ441" s="9"/>
      <c r="RR441" s="9"/>
      <c r="RS441" s="9"/>
      <c r="RT441" s="9"/>
      <c r="RU441" s="9"/>
      <c r="RV441" s="9"/>
      <c r="RW441" s="9"/>
      <c r="RX441" s="9"/>
      <c r="RY441" s="9"/>
      <c r="RZ441" s="9"/>
      <c r="SA441" s="9"/>
      <c r="SB441" s="9"/>
      <c r="SC441" s="9"/>
      <c r="SD441" s="9"/>
      <c r="SE441" s="9"/>
      <c r="SF441" s="9"/>
      <c r="SG441" s="9"/>
      <c r="SH441" s="9"/>
      <c r="SI441" s="9"/>
      <c r="SJ441" s="9"/>
      <c r="SK441" s="9"/>
      <c r="SL441" s="9"/>
      <c r="SM441" s="9"/>
      <c r="SN441" s="9"/>
      <c r="SO441" s="9"/>
      <c r="SP441" s="9"/>
      <c r="SQ441" s="9"/>
      <c r="SR441" s="9"/>
      <c r="SS441" s="9"/>
      <c r="ST441" s="9"/>
      <c r="SU441" s="9"/>
      <c r="SV441" s="9"/>
      <c r="SW441" s="9"/>
      <c r="SX441" s="9"/>
      <c r="SY441" s="9"/>
      <c r="SZ441" s="9"/>
      <c r="TA441" s="9"/>
      <c r="TB441" s="9"/>
      <c r="TC441" s="9"/>
      <c r="TD441" s="9"/>
      <c r="TE441" s="9"/>
      <c r="TF441" s="9"/>
      <c r="TG441" s="9"/>
      <c r="TH441" s="9"/>
      <c r="TI441" s="9"/>
      <c r="TJ441" s="9"/>
      <c r="TK441" s="9"/>
      <c r="TL441" s="9"/>
      <c r="TM441" s="9"/>
      <c r="TN441" s="9"/>
      <c r="TO441" s="9"/>
      <c r="TP441" s="9"/>
      <c r="TQ441" s="9"/>
      <c r="TR441" s="9"/>
      <c r="TS441" s="9"/>
      <c r="TT441" s="9"/>
      <c r="TU441" s="9"/>
      <c r="TV441" s="9"/>
      <c r="TW441" s="9"/>
      <c r="TX441" s="9"/>
      <c r="TY441" s="9"/>
      <c r="TZ441" s="9"/>
      <c r="UA441" s="9"/>
      <c r="UB441" s="9"/>
      <c r="UC441" s="9"/>
      <c r="UD441" s="9"/>
      <c r="UE441" s="9"/>
      <c r="UF441" s="9"/>
      <c r="UG441" s="9"/>
      <c r="UH441" s="9"/>
      <c r="UI441" s="9"/>
      <c r="UJ441" s="9"/>
    </row>
    <row r="442">
      <c r="A442" s="8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/>
      <c r="IP442" s="9"/>
      <c r="IQ442" s="9"/>
      <c r="IR442" s="9"/>
      <c r="IS442" s="9"/>
      <c r="IT442" s="9"/>
      <c r="IU442" s="9"/>
      <c r="IV442" s="9"/>
      <c r="IW442" s="9"/>
      <c r="IX442" s="9"/>
      <c r="IY442" s="9"/>
      <c r="IZ442" s="9"/>
      <c r="JA442" s="9"/>
      <c r="JB442" s="9"/>
      <c r="JC442" s="9"/>
      <c r="JD442" s="9"/>
      <c r="JE442" s="9"/>
      <c r="JF442" s="9"/>
      <c r="JG442" s="9"/>
      <c r="JH442" s="9"/>
      <c r="JI442" s="9"/>
      <c r="JJ442" s="9"/>
      <c r="JK442" s="9"/>
      <c r="JL442" s="9"/>
      <c r="JM442" s="9"/>
      <c r="JN442" s="9"/>
      <c r="JO442" s="9"/>
      <c r="JP442" s="9"/>
      <c r="JQ442" s="9"/>
      <c r="JR442" s="9"/>
      <c r="JS442" s="9"/>
      <c r="JT442" s="9"/>
      <c r="JU442" s="9"/>
      <c r="JV442" s="9"/>
      <c r="JW442" s="9"/>
      <c r="JX442" s="9"/>
      <c r="JY442" s="9"/>
      <c r="JZ442" s="9"/>
      <c r="KA442" s="9"/>
      <c r="KB442" s="9"/>
      <c r="KC442" s="9"/>
      <c r="KD442" s="9"/>
      <c r="KE442" s="9"/>
      <c r="KF442" s="9"/>
      <c r="KG442" s="9"/>
      <c r="KH442" s="9"/>
      <c r="KI442" s="9"/>
      <c r="KJ442" s="9"/>
      <c r="KK442" s="9"/>
      <c r="KL442" s="9"/>
      <c r="KM442" s="9"/>
      <c r="KN442" s="9"/>
      <c r="KO442" s="9"/>
      <c r="KP442" s="9"/>
      <c r="KQ442" s="9"/>
      <c r="KR442" s="9"/>
      <c r="KS442" s="9"/>
      <c r="KT442" s="9"/>
      <c r="KU442" s="9"/>
      <c r="KV442" s="9"/>
      <c r="KW442" s="9"/>
      <c r="KX442" s="9"/>
      <c r="KY442" s="9"/>
      <c r="KZ442" s="9"/>
      <c r="LA442" s="9"/>
      <c r="LB442" s="9"/>
      <c r="LC442" s="9"/>
      <c r="LD442" s="9"/>
      <c r="LE442" s="9"/>
      <c r="LF442" s="9"/>
      <c r="LG442" s="9"/>
      <c r="LH442" s="9"/>
      <c r="LI442" s="9"/>
      <c r="LJ442" s="9"/>
      <c r="LK442" s="9"/>
      <c r="LL442" s="9"/>
      <c r="LM442" s="9"/>
      <c r="LN442" s="9"/>
      <c r="LO442" s="9"/>
      <c r="LP442" s="9"/>
      <c r="LQ442" s="9"/>
      <c r="LR442" s="9"/>
      <c r="LS442" s="9"/>
      <c r="LT442" s="9"/>
      <c r="LU442" s="9"/>
      <c r="LV442" s="9"/>
      <c r="LW442" s="9"/>
      <c r="LX442" s="9"/>
      <c r="LY442" s="9"/>
      <c r="LZ442" s="9"/>
      <c r="MA442" s="9"/>
      <c r="MB442" s="9"/>
      <c r="MC442" s="9"/>
      <c r="MD442" s="9"/>
      <c r="ME442" s="9"/>
      <c r="MF442" s="9"/>
      <c r="MG442" s="9"/>
      <c r="MH442" s="9"/>
      <c r="MI442" s="9"/>
      <c r="MJ442" s="9"/>
      <c r="MK442" s="9"/>
      <c r="ML442" s="9"/>
      <c r="MM442" s="9"/>
      <c r="MN442" s="9"/>
      <c r="MO442" s="9"/>
      <c r="MP442" s="9"/>
      <c r="MQ442" s="9"/>
      <c r="MR442" s="9"/>
      <c r="MS442" s="9"/>
      <c r="MT442" s="9"/>
      <c r="MU442" s="9"/>
      <c r="MV442" s="9"/>
      <c r="MW442" s="9"/>
      <c r="MX442" s="9"/>
      <c r="MY442" s="9"/>
      <c r="MZ442" s="9"/>
      <c r="NA442" s="9"/>
      <c r="NB442" s="9"/>
      <c r="NC442" s="9"/>
      <c r="ND442" s="9"/>
      <c r="NE442" s="9"/>
      <c r="NF442" s="9"/>
      <c r="NG442" s="9"/>
      <c r="NH442" s="9"/>
      <c r="NI442" s="9"/>
      <c r="NJ442" s="9"/>
      <c r="NK442" s="9"/>
      <c r="NL442" s="9"/>
      <c r="NM442" s="9"/>
      <c r="NN442" s="9"/>
      <c r="NO442" s="9"/>
      <c r="NP442" s="9"/>
      <c r="NQ442" s="9"/>
      <c r="NR442" s="9"/>
      <c r="NS442" s="9"/>
      <c r="NT442" s="9"/>
      <c r="NU442" s="9"/>
      <c r="NV442" s="9"/>
      <c r="NW442" s="9"/>
      <c r="NX442" s="9"/>
      <c r="NY442" s="9"/>
      <c r="NZ442" s="9"/>
      <c r="OA442" s="9"/>
      <c r="OB442" s="9"/>
      <c r="OC442" s="9"/>
      <c r="OD442" s="9"/>
      <c r="OE442" s="9"/>
      <c r="OF442" s="9"/>
      <c r="OG442" s="9"/>
      <c r="OH442" s="9"/>
      <c r="OI442" s="9"/>
      <c r="OJ442" s="9"/>
      <c r="OK442" s="9"/>
      <c r="OL442" s="9"/>
      <c r="OM442" s="9"/>
      <c r="ON442" s="9"/>
      <c r="OO442" s="9"/>
      <c r="OP442" s="9"/>
      <c r="OQ442" s="9"/>
      <c r="OR442" s="9"/>
      <c r="OS442" s="9"/>
      <c r="OT442" s="9"/>
      <c r="OU442" s="9"/>
      <c r="OV442" s="9"/>
      <c r="OW442" s="9"/>
      <c r="OX442" s="9"/>
      <c r="OY442" s="9"/>
      <c r="OZ442" s="9"/>
      <c r="PA442" s="9"/>
      <c r="PB442" s="9"/>
      <c r="PC442" s="9"/>
      <c r="PD442" s="9"/>
      <c r="PE442" s="9"/>
      <c r="PF442" s="9"/>
      <c r="PG442" s="9"/>
      <c r="PH442" s="9"/>
      <c r="PI442" s="9"/>
      <c r="PJ442" s="9"/>
      <c r="PK442" s="9"/>
      <c r="PL442" s="9"/>
      <c r="PM442" s="9"/>
      <c r="PN442" s="9"/>
      <c r="PO442" s="9"/>
      <c r="PP442" s="9"/>
      <c r="PQ442" s="9"/>
      <c r="PR442" s="9"/>
      <c r="PS442" s="9"/>
      <c r="PT442" s="9"/>
      <c r="PU442" s="9"/>
      <c r="PV442" s="9"/>
      <c r="PW442" s="9"/>
      <c r="PX442" s="9"/>
      <c r="PY442" s="9"/>
      <c r="PZ442" s="9"/>
      <c r="QA442" s="9"/>
      <c r="QB442" s="9"/>
      <c r="QC442" s="9"/>
      <c r="QD442" s="9"/>
      <c r="QE442" s="9"/>
      <c r="QF442" s="9"/>
      <c r="QG442" s="9"/>
      <c r="QH442" s="9"/>
      <c r="QI442" s="9"/>
      <c r="QJ442" s="9"/>
      <c r="QK442" s="9"/>
      <c r="QL442" s="9"/>
      <c r="QM442" s="9"/>
      <c r="QN442" s="9"/>
      <c r="QO442" s="9"/>
      <c r="QP442" s="9"/>
      <c r="QQ442" s="9"/>
      <c r="QR442" s="9"/>
      <c r="QS442" s="9"/>
      <c r="QT442" s="9"/>
      <c r="QU442" s="9"/>
      <c r="QV442" s="9"/>
      <c r="QW442" s="9"/>
      <c r="QX442" s="9"/>
      <c r="QY442" s="9"/>
      <c r="QZ442" s="9"/>
      <c r="RA442" s="9"/>
      <c r="RB442" s="9"/>
      <c r="RC442" s="9"/>
      <c r="RD442" s="9"/>
      <c r="RE442" s="9"/>
      <c r="RF442" s="9"/>
      <c r="RG442" s="9"/>
      <c r="RH442" s="9"/>
      <c r="RI442" s="9"/>
      <c r="RJ442" s="9"/>
      <c r="RK442" s="9"/>
      <c r="RL442" s="9"/>
      <c r="RM442" s="9"/>
      <c r="RN442" s="9"/>
      <c r="RO442" s="9"/>
      <c r="RP442" s="9"/>
      <c r="RQ442" s="9"/>
      <c r="RR442" s="9"/>
      <c r="RS442" s="9"/>
      <c r="RT442" s="9"/>
      <c r="RU442" s="9"/>
      <c r="RV442" s="9"/>
      <c r="RW442" s="9"/>
      <c r="RX442" s="9"/>
      <c r="RY442" s="9"/>
      <c r="RZ442" s="9"/>
      <c r="SA442" s="9"/>
      <c r="SB442" s="9"/>
      <c r="SC442" s="9"/>
      <c r="SD442" s="9"/>
      <c r="SE442" s="9"/>
      <c r="SF442" s="9"/>
      <c r="SG442" s="9"/>
      <c r="SH442" s="9"/>
      <c r="SI442" s="9"/>
      <c r="SJ442" s="9"/>
      <c r="SK442" s="9"/>
      <c r="SL442" s="9"/>
      <c r="SM442" s="9"/>
      <c r="SN442" s="9"/>
      <c r="SO442" s="9"/>
      <c r="SP442" s="9"/>
      <c r="SQ442" s="9"/>
      <c r="SR442" s="9"/>
      <c r="SS442" s="9"/>
      <c r="ST442" s="9"/>
      <c r="SU442" s="9"/>
      <c r="SV442" s="9"/>
      <c r="SW442" s="9"/>
      <c r="SX442" s="9"/>
      <c r="SY442" s="9"/>
      <c r="SZ442" s="9"/>
      <c r="TA442" s="9"/>
      <c r="TB442" s="9"/>
      <c r="TC442" s="9"/>
      <c r="TD442" s="9"/>
      <c r="TE442" s="9"/>
      <c r="TF442" s="9"/>
      <c r="TG442" s="9"/>
      <c r="TH442" s="9"/>
      <c r="TI442" s="9"/>
      <c r="TJ442" s="9"/>
      <c r="TK442" s="9"/>
      <c r="TL442" s="9"/>
      <c r="TM442" s="9"/>
      <c r="TN442" s="9"/>
      <c r="TO442" s="9"/>
      <c r="TP442" s="9"/>
      <c r="TQ442" s="9"/>
      <c r="TR442" s="9"/>
      <c r="TS442" s="9"/>
      <c r="TT442" s="9"/>
      <c r="TU442" s="9"/>
      <c r="TV442" s="9"/>
      <c r="TW442" s="9"/>
      <c r="TX442" s="9"/>
      <c r="TY442" s="9"/>
      <c r="TZ442" s="9"/>
      <c r="UA442" s="9"/>
      <c r="UB442" s="9"/>
      <c r="UC442" s="9"/>
      <c r="UD442" s="9"/>
      <c r="UE442" s="9"/>
      <c r="UF442" s="9"/>
      <c r="UG442" s="9"/>
      <c r="UH442" s="9"/>
      <c r="UI442" s="9"/>
      <c r="UJ442" s="9"/>
    </row>
    <row r="443">
      <c r="A443" s="8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</row>
    <row r="444">
      <c r="A444" s="8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</row>
    <row r="445">
      <c r="A445" s="8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</row>
    <row r="446">
      <c r="A446" s="8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</row>
    <row r="447">
      <c r="A447" s="8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</row>
    <row r="448">
      <c r="A448" s="8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</row>
    <row r="449">
      <c r="A449" s="8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9"/>
      <c r="JE449" s="9"/>
      <c r="JF449" s="9"/>
      <c r="JG449" s="9"/>
      <c r="JH449" s="9"/>
      <c r="JI449" s="9"/>
      <c r="JJ449" s="9"/>
      <c r="JK449" s="9"/>
      <c r="JL449" s="9"/>
      <c r="JM449" s="9"/>
      <c r="JN449" s="9"/>
      <c r="JO449" s="9"/>
      <c r="JP449" s="9"/>
      <c r="JQ449" s="9"/>
      <c r="JR449" s="9"/>
      <c r="JS449" s="9"/>
      <c r="JT449" s="9"/>
      <c r="JU449" s="9"/>
      <c r="JV449" s="9"/>
      <c r="JW449" s="9"/>
      <c r="JX449" s="9"/>
      <c r="JY449" s="9"/>
      <c r="JZ449" s="9"/>
      <c r="KA449" s="9"/>
      <c r="KB449" s="9"/>
      <c r="KC449" s="9"/>
      <c r="KD449" s="9"/>
      <c r="KE449" s="9"/>
      <c r="KF449" s="9"/>
      <c r="KG449" s="9"/>
      <c r="KH449" s="9"/>
      <c r="KI449" s="9"/>
      <c r="KJ449" s="9"/>
      <c r="KK449" s="9"/>
      <c r="KL449" s="9"/>
      <c r="KM449" s="9"/>
      <c r="KN449" s="9"/>
      <c r="KO449" s="9"/>
      <c r="KP449" s="9"/>
      <c r="KQ449" s="9"/>
      <c r="KR449" s="9"/>
      <c r="KS449" s="9"/>
      <c r="KT449" s="9"/>
      <c r="KU449" s="9"/>
      <c r="KV449" s="9"/>
      <c r="KW449" s="9"/>
      <c r="KX449" s="9"/>
      <c r="KY449" s="9"/>
      <c r="KZ449" s="9"/>
      <c r="LA449" s="9"/>
      <c r="LB449" s="9"/>
      <c r="LC449" s="9"/>
      <c r="LD449" s="9"/>
      <c r="LE449" s="9"/>
      <c r="LF449" s="9"/>
      <c r="LG449" s="9"/>
      <c r="LH449" s="9"/>
      <c r="LI449" s="9"/>
      <c r="LJ449" s="9"/>
      <c r="LK449" s="9"/>
      <c r="LL449" s="9"/>
      <c r="LM449" s="9"/>
      <c r="LN449" s="9"/>
      <c r="LO449" s="9"/>
      <c r="LP449" s="9"/>
      <c r="LQ449" s="9"/>
      <c r="LR449" s="9"/>
      <c r="LS449" s="9"/>
      <c r="LT449" s="9"/>
      <c r="LU449" s="9"/>
      <c r="LV449" s="9"/>
      <c r="LW449" s="9"/>
      <c r="LX449" s="9"/>
      <c r="LY449" s="9"/>
      <c r="LZ449" s="9"/>
      <c r="MA449" s="9"/>
      <c r="MB449" s="9"/>
      <c r="MC449" s="9"/>
      <c r="MD449" s="9"/>
      <c r="ME449" s="9"/>
      <c r="MF449" s="9"/>
      <c r="MG449" s="9"/>
      <c r="MH449" s="9"/>
      <c r="MI449" s="9"/>
      <c r="MJ449" s="9"/>
      <c r="MK449" s="9"/>
      <c r="ML449" s="9"/>
      <c r="MM449" s="9"/>
      <c r="MN449" s="9"/>
      <c r="MO449" s="9"/>
      <c r="MP449" s="9"/>
      <c r="MQ449" s="9"/>
      <c r="MR449" s="9"/>
      <c r="MS449" s="9"/>
      <c r="MT449" s="9"/>
      <c r="MU449" s="9"/>
      <c r="MV449" s="9"/>
      <c r="MW449" s="9"/>
      <c r="MX449" s="9"/>
      <c r="MY449" s="9"/>
      <c r="MZ449" s="9"/>
      <c r="NA449" s="9"/>
      <c r="NB449" s="9"/>
      <c r="NC449" s="9"/>
      <c r="ND449" s="9"/>
      <c r="NE449" s="9"/>
      <c r="NF449" s="9"/>
      <c r="NG449" s="9"/>
      <c r="NH449" s="9"/>
      <c r="NI449" s="9"/>
      <c r="NJ449" s="9"/>
      <c r="NK449" s="9"/>
      <c r="NL449" s="9"/>
      <c r="NM449" s="9"/>
      <c r="NN449" s="9"/>
      <c r="NO449" s="9"/>
      <c r="NP449" s="9"/>
      <c r="NQ449" s="9"/>
      <c r="NR449" s="9"/>
      <c r="NS449" s="9"/>
      <c r="NT449" s="9"/>
      <c r="NU449" s="9"/>
      <c r="NV449" s="9"/>
      <c r="NW449" s="9"/>
      <c r="NX449" s="9"/>
      <c r="NY449" s="9"/>
      <c r="NZ449" s="9"/>
      <c r="OA449" s="9"/>
      <c r="OB449" s="9"/>
      <c r="OC449" s="9"/>
      <c r="OD449" s="9"/>
      <c r="OE449" s="9"/>
      <c r="OF449" s="9"/>
      <c r="OG449" s="9"/>
      <c r="OH449" s="9"/>
      <c r="OI449" s="9"/>
      <c r="OJ449" s="9"/>
      <c r="OK449" s="9"/>
      <c r="OL449" s="9"/>
      <c r="OM449" s="9"/>
      <c r="ON449" s="9"/>
      <c r="OO449" s="9"/>
      <c r="OP449" s="9"/>
      <c r="OQ449" s="9"/>
      <c r="OR449" s="9"/>
      <c r="OS449" s="9"/>
      <c r="OT449" s="9"/>
      <c r="OU449" s="9"/>
      <c r="OV449" s="9"/>
      <c r="OW449" s="9"/>
      <c r="OX449" s="9"/>
      <c r="OY449" s="9"/>
      <c r="OZ449" s="9"/>
      <c r="PA449" s="9"/>
      <c r="PB449" s="9"/>
      <c r="PC449" s="9"/>
      <c r="PD449" s="9"/>
      <c r="PE449" s="9"/>
      <c r="PF449" s="9"/>
      <c r="PG449" s="9"/>
      <c r="PH449" s="9"/>
      <c r="PI449" s="9"/>
      <c r="PJ449" s="9"/>
      <c r="PK449" s="9"/>
      <c r="PL449" s="9"/>
      <c r="PM449" s="9"/>
      <c r="PN449" s="9"/>
      <c r="PO449" s="9"/>
      <c r="PP449" s="9"/>
      <c r="PQ449" s="9"/>
      <c r="PR449" s="9"/>
      <c r="PS449" s="9"/>
      <c r="PT449" s="9"/>
      <c r="PU449" s="9"/>
      <c r="PV449" s="9"/>
      <c r="PW449" s="9"/>
      <c r="PX449" s="9"/>
      <c r="PY449" s="9"/>
      <c r="PZ449" s="9"/>
      <c r="QA449" s="9"/>
      <c r="QB449" s="9"/>
      <c r="QC449" s="9"/>
      <c r="QD449" s="9"/>
      <c r="QE449" s="9"/>
      <c r="QF449" s="9"/>
      <c r="QG449" s="9"/>
      <c r="QH449" s="9"/>
      <c r="QI449" s="9"/>
      <c r="QJ449" s="9"/>
      <c r="QK449" s="9"/>
      <c r="QL449" s="9"/>
      <c r="QM449" s="9"/>
      <c r="QN449" s="9"/>
      <c r="QO449" s="9"/>
      <c r="QP449" s="9"/>
      <c r="QQ449" s="9"/>
      <c r="QR449" s="9"/>
      <c r="QS449" s="9"/>
      <c r="QT449" s="9"/>
      <c r="QU449" s="9"/>
      <c r="QV449" s="9"/>
      <c r="QW449" s="9"/>
      <c r="QX449" s="9"/>
      <c r="QY449" s="9"/>
      <c r="QZ449" s="9"/>
      <c r="RA449" s="9"/>
      <c r="RB449" s="9"/>
      <c r="RC449" s="9"/>
      <c r="RD449" s="9"/>
      <c r="RE449" s="9"/>
      <c r="RF449" s="9"/>
      <c r="RG449" s="9"/>
      <c r="RH449" s="9"/>
      <c r="RI449" s="9"/>
      <c r="RJ449" s="9"/>
      <c r="RK449" s="9"/>
      <c r="RL449" s="9"/>
      <c r="RM449" s="9"/>
      <c r="RN449" s="9"/>
      <c r="RO449" s="9"/>
      <c r="RP449" s="9"/>
      <c r="RQ449" s="9"/>
      <c r="RR449" s="9"/>
      <c r="RS449" s="9"/>
      <c r="RT449" s="9"/>
      <c r="RU449" s="9"/>
      <c r="RV449" s="9"/>
      <c r="RW449" s="9"/>
      <c r="RX449" s="9"/>
      <c r="RY449" s="9"/>
      <c r="RZ449" s="9"/>
      <c r="SA449" s="9"/>
      <c r="SB449" s="9"/>
      <c r="SC449" s="9"/>
      <c r="SD449" s="9"/>
      <c r="SE449" s="9"/>
      <c r="SF449" s="9"/>
      <c r="SG449" s="9"/>
      <c r="SH449" s="9"/>
      <c r="SI449" s="9"/>
      <c r="SJ449" s="9"/>
      <c r="SK449" s="9"/>
      <c r="SL449" s="9"/>
      <c r="SM449" s="9"/>
      <c r="SN449" s="9"/>
      <c r="SO449" s="9"/>
      <c r="SP449" s="9"/>
      <c r="SQ449" s="9"/>
      <c r="SR449" s="9"/>
      <c r="SS449" s="9"/>
      <c r="ST449" s="9"/>
      <c r="SU449" s="9"/>
      <c r="SV449" s="9"/>
      <c r="SW449" s="9"/>
      <c r="SX449" s="9"/>
      <c r="SY449" s="9"/>
      <c r="SZ449" s="9"/>
      <c r="TA449" s="9"/>
      <c r="TB449" s="9"/>
      <c r="TC449" s="9"/>
      <c r="TD449" s="9"/>
      <c r="TE449" s="9"/>
      <c r="TF449" s="9"/>
      <c r="TG449" s="9"/>
      <c r="TH449" s="9"/>
      <c r="TI449" s="9"/>
      <c r="TJ449" s="9"/>
      <c r="TK449" s="9"/>
      <c r="TL449" s="9"/>
      <c r="TM449" s="9"/>
      <c r="TN449" s="9"/>
      <c r="TO449" s="9"/>
      <c r="TP449" s="9"/>
      <c r="TQ449" s="9"/>
      <c r="TR449" s="9"/>
      <c r="TS449" s="9"/>
      <c r="TT449" s="9"/>
      <c r="TU449" s="9"/>
      <c r="TV449" s="9"/>
      <c r="TW449" s="9"/>
      <c r="TX449" s="9"/>
      <c r="TY449" s="9"/>
      <c r="TZ449" s="9"/>
      <c r="UA449" s="9"/>
      <c r="UB449" s="9"/>
      <c r="UC449" s="9"/>
      <c r="UD449" s="9"/>
      <c r="UE449" s="9"/>
      <c r="UF449" s="9"/>
      <c r="UG449" s="9"/>
      <c r="UH449" s="9"/>
      <c r="UI449" s="9"/>
      <c r="UJ449" s="9"/>
    </row>
    <row r="450">
      <c r="A450" s="8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  <c r="IN450" s="9"/>
      <c r="IO450" s="9"/>
      <c r="IP450" s="9"/>
      <c r="IQ450" s="9"/>
      <c r="IR450" s="9"/>
      <c r="IS450" s="9"/>
      <c r="IT450" s="9"/>
      <c r="IU450" s="9"/>
      <c r="IV450" s="9"/>
      <c r="IW450" s="9"/>
      <c r="IX450" s="9"/>
      <c r="IY450" s="9"/>
      <c r="IZ450" s="9"/>
      <c r="JA450" s="9"/>
      <c r="JB450" s="9"/>
      <c r="JC450" s="9"/>
      <c r="JD450" s="9"/>
      <c r="JE450" s="9"/>
      <c r="JF450" s="9"/>
      <c r="JG450" s="9"/>
      <c r="JH450" s="9"/>
      <c r="JI450" s="9"/>
      <c r="JJ450" s="9"/>
      <c r="JK450" s="9"/>
      <c r="JL450" s="9"/>
      <c r="JM450" s="9"/>
      <c r="JN450" s="9"/>
      <c r="JO450" s="9"/>
      <c r="JP450" s="9"/>
      <c r="JQ450" s="9"/>
      <c r="JR450" s="9"/>
      <c r="JS450" s="9"/>
      <c r="JT450" s="9"/>
      <c r="JU450" s="9"/>
      <c r="JV450" s="9"/>
      <c r="JW450" s="9"/>
      <c r="JX450" s="9"/>
      <c r="JY450" s="9"/>
      <c r="JZ450" s="9"/>
      <c r="KA450" s="9"/>
      <c r="KB450" s="9"/>
      <c r="KC450" s="9"/>
      <c r="KD450" s="9"/>
      <c r="KE450" s="9"/>
      <c r="KF450" s="9"/>
      <c r="KG450" s="9"/>
      <c r="KH450" s="9"/>
      <c r="KI450" s="9"/>
      <c r="KJ450" s="9"/>
      <c r="KK450" s="9"/>
      <c r="KL450" s="9"/>
      <c r="KM450" s="9"/>
      <c r="KN450" s="9"/>
      <c r="KO450" s="9"/>
      <c r="KP450" s="9"/>
      <c r="KQ450" s="9"/>
      <c r="KR450" s="9"/>
      <c r="KS450" s="9"/>
      <c r="KT450" s="9"/>
      <c r="KU450" s="9"/>
      <c r="KV450" s="9"/>
      <c r="KW450" s="9"/>
      <c r="KX450" s="9"/>
      <c r="KY450" s="9"/>
      <c r="KZ450" s="9"/>
      <c r="LA450" s="9"/>
      <c r="LB450" s="9"/>
      <c r="LC450" s="9"/>
      <c r="LD450" s="9"/>
      <c r="LE450" s="9"/>
      <c r="LF450" s="9"/>
      <c r="LG450" s="9"/>
      <c r="LH450" s="9"/>
      <c r="LI450" s="9"/>
      <c r="LJ450" s="9"/>
      <c r="LK450" s="9"/>
      <c r="LL450" s="9"/>
      <c r="LM450" s="9"/>
      <c r="LN450" s="9"/>
      <c r="LO450" s="9"/>
      <c r="LP450" s="9"/>
      <c r="LQ450" s="9"/>
      <c r="LR450" s="9"/>
      <c r="LS450" s="9"/>
      <c r="LT450" s="9"/>
      <c r="LU450" s="9"/>
      <c r="LV450" s="9"/>
      <c r="LW450" s="9"/>
      <c r="LX450" s="9"/>
      <c r="LY450" s="9"/>
      <c r="LZ450" s="9"/>
      <c r="MA450" s="9"/>
      <c r="MB450" s="9"/>
      <c r="MC450" s="9"/>
      <c r="MD450" s="9"/>
      <c r="ME450" s="9"/>
      <c r="MF450" s="9"/>
      <c r="MG450" s="9"/>
      <c r="MH450" s="9"/>
      <c r="MI450" s="9"/>
      <c r="MJ450" s="9"/>
      <c r="MK450" s="9"/>
      <c r="ML450" s="9"/>
      <c r="MM450" s="9"/>
      <c r="MN450" s="9"/>
      <c r="MO450" s="9"/>
      <c r="MP450" s="9"/>
      <c r="MQ450" s="9"/>
      <c r="MR450" s="9"/>
      <c r="MS450" s="9"/>
      <c r="MT450" s="9"/>
      <c r="MU450" s="9"/>
      <c r="MV450" s="9"/>
      <c r="MW450" s="9"/>
      <c r="MX450" s="9"/>
      <c r="MY450" s="9"/>
      <c r="MZ450" s="9"/>
      <c r="NA450" s="9"/>
      <c r="NB450" s="9"/>
      <c r="NC450" s="9"/>
      <c r="ND450" s="9"/>
      <c r="NE450" s="9"/>
      <c r="NF450" s="9"/>
      <c r="NG450" s="9"/>
      <c r="NH450" s="9"/>
      <c r="NI450" s="9"/>
      <c r="NJ450" s="9"/>
      <c r="NK450" s="9"/>
      <c r="NL450" s="9"/>
      <c r="NM450" s="9"/>
      <c r="NN450" s="9"/>
      <c r="NO450" s="9"/>
      <c r="NP450" s="9"/>
      <c r="NQ450" s="9"/>
      <c r="NR450" s="9"/>
      <c r="NS450" s="9"/>
      <c r="NT450" s="9"/>
      <c r="NU450" s="9"/>
      <c r="NV450" s="9"/>
      <c r="NW450" s="9"/>
      <c r="NX450" s="9"/>
      <c r="NY450" s="9"/>
      <c r="NZ450" s="9"/>
      <c r="OA450" s="9"/>
      <c r="OB450" s="9"/>
      <c r="OC450" s="9"/>
      <c r="OD450" s="9"/>
      <c r="OE450" s="9"/>
      <c r="OF450" s="9"/>
      <c r="OG450" s="9"/>
      <c r="OH450" s="9"/>
      <c r="OI450" s="9"/>
      <c r="OJ450" s="9"/>
      <c r="OK450" s="9"/>
      <c r="OL450" s="9"/>
      <c r="OM450" s="9"/>
      <c r="ON450" s="9"/>
      <c r="OO450" s="9"/>
      <c r="OP450" s="9"/>
      <c r="OQ450" s="9"/>
      <c r="OR450" s="9"/>
      <c r="OS450" s="9"/>
      <c r="OT450" s="9"/>
      <c r="OU450" s="9"/>
      <c r="OV450" s="9"/>
      <c r="OW450" s="9"/>
      <c r="OX450" s="9"/>
      <c r="OY450" s="9"/>
      <c r="OZ450" s="9"/>
      <c r="PA450" s="9"/>
      <c r="PB450" s="9"/>
      <c r="PC450" s="9"/>
      <c r="PD450" s="9"/>
      <c r="PE450" s="9"/>
      <c r="PF450" s="9"/>
      <c r="PG450" s="9"/>
      <c r="PH450" s="9"/>
      <c r="PI450" s="9"/>
      <c r="PJ450" s="9"/>
      <c r="PK450" s="9"/>
      <c r="PL450" s="9"/>
      <c r="PM450" s="9"/>
      <c r="PN450" s="9"/>
      <c r="PO450" s="9"/>
      <c r="PP450" s="9"/>
      <c r="PQ450" s="9"/>
      <c r="PR450" s="9"/>
      <c r="PS450" s="9"/>
      <c r="PT450" s="9"/>
      <c r="PU450" s="9"/>
      <c r="PV450" s="9"/>
      <c r="PW450" s="9"/>
      <c r="PX450" s="9"/>
      <c r="PY450" s="9"/>
      <c r="PZ450" s="9"/>
      <c r="QA450" s="9"/>
      <c r="QB450" s="9"/>
      <c r="QC450" s="9"/>
      <c r="QD450" s="9"/>
      <c r="QE450" s="9"/>
      <c r="QF450" s="9"/>
      <c r="QG450" s="9"/>
      <c r="QH450" s="9"/>
      <c r="QI450" s="9"/>
      <c r="QJ450" s="9"/>
      <c r="QK450" s="9"/>
      <c r="QL450" s="9"/>
      <c r="QM450" s="9"/>
      <c r="QN450" s="9"/>
      <c r="QO450" s="9"/>
      <c r="QP450" s="9"/>
      <c r="QQ450" s="9"/>
      <c r="QR450" s="9"/>
      <c r="QS450" s="9"/>
      <c r="QT450" s="9"/>
      <c r="QU450" s="9"/>
      <c r="QV450" s="9"/>
      <c r="QW450" s="9"/>
      <c r="QX450" s="9"/>
      <c r="QY450" s="9"/>
      <c r="QZ450" s="9"/>
      <c r="RA450" s="9"/>
      <c r="RB450" s="9"/>
      <c r="RC450" s="9"/>
      <c r="RD450" s="9"/>
      <c r="RE450" s="9"/>
      <c r="RF450" s="9"/>
      <c r="RG450" s="9"/>
      <c r="RH450" s="9"/>
      <c r="RI450" s="9"/>
      <c r="RJ450" s="9"/>
      <c r="RK450" s="9"/>
      <c r="RL450" s="9"/>
      <c r="RM450" s="9"/>
      <c r="RN450" s="9"/>
      <c r="RO450" s="9"/>
      <c r="RP450" s="9"/>
      <c r="RQ450" s="9"/>
      <c r="RR450" s="9"/>
      <c r="RS450" s="9"/>
      <c r="RT450" s="9"/>
      <c r="RU450" s="9"/>
      <c r="RV450" s="9"/>
      <c r="RW450" s="9"/>
      <c r="RX450" s="9"/>
      <c r="RY450" s="9"/>
      <c r="RZ450" s="9"/>
      <c r="SA450" s="9"/>
      <c r="SB450" s="9"/>
      <c r="SC450" s="9"/>
      <c r="SD450" s="9"/>
      <c r="SE450" s="9"/>
      <c r="SF450" s="9"/>
      <c r="SG450" s="9"/>
      <c r="SH450" s="9"/>
      <c r="SI450" s="9"/>
      <c r="SJ450" s="9"/>
      <c r="SK450" s="9"/>
      <c r="SL450" s="9"/>
      <c r="SM450" s="9"/>
      <c r="SN450" s="9"/>
      <c r="SO450" s="9"/>
      <c r="SP450" s="9"/>
      <c r="SQ450" s="9"/>
      <c r="SR450" s="9"/>
      <c r="SS450" s="9"/>
      <c r="ST450" s="9"/>
      <c r="SU450" s="9"/>
      <c r="SV450" s="9"/>
      <c r="SW450" s="9"/>
      <c r="SX450" s="9"/>
      <c r="SY450" s="9"/>
      <c r="SZ450" s="9"/>
      <c r="TA450" s="9"/>
      <c r="TB450" s="9"/>
      <c r="TC450" s="9"/>
      <c r="TD450" s="9"/>
      <c r="TE450" s="9"/>
      <c r="TF450" s="9"/>
      <c r="TG450" s="9"/>
      <c r="TH450" s="9"/>
      <c r="TI450" s="9"/>
      <c r="TJ450" s="9"/>
      <c r="TK450" s="9"/>
      <c r="TL450" s="9"/>
      <c r="TM450" s="9"/>
      <c r="TN450" s="9"/>
      <c r="TO450" s="9"/>
      <c r="TP450" s="9"/>
      <c r="TQ450" s="9"/>
      <c r="TR450" s="9"/>
      <c r="TS450" s="9"/>
      <c r="TT450" s="9"/>
      <c r="TU450" s="9"/>
      <c r="TV450" s="9"/>
      <c r="TW450" s="9"/>
      <c r="TX450" s="9"/>
      <c r="TY450" s="9"/>
      <c r="TZ450" s="9"/>
      <c r="UA450" s="9"/>
      <c r="UB450" s="9"/>
      <c r="UC450" s="9"/>
      <c r="UD450" s="9"/>
      <c r="UE450" s="9"/>
      <c r="UF450" s="9"/>
      <c r="UG450" s="9"/>
      <c r="UH450" s="9"/>
      <c r="UI450" s="9"/>
      <c r="UJ450" s="9"/>
    </row>
    <row r="451">
      <c r="A451" s="8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  <c r="IW451" s="9"/>
      <c r="IX451" s="9"/>
      <c r="IY451" s="9"/>
      <c r="IZ451" s="9"/>
      <c r="JA451" s="9"/>
      <c r="JB451" s="9"/>
      <c r="JC451" s="9"/>
      <c r="JD451" s="9"/>
      <c r="JE451" s="9"/>
      <c r="JF451" s="9"/>
      <c r="JG451" s="9"/>
      <c r="JH451" s="9"/>
      <c r="JI451" s="9"/>
      <c r="JJ451" s="9"/>
      <c r="JK451" s="9"/>
      <c r="JL451" s="9"/>
      <c r="JM451" s="9"/>
      <c r="JN451" s="9"/>
      <c r="JO451" s="9"/>
      <c r="JP451" s="9"/>
      <c r="JQ451" s="9"/>
      <c r="JR451" s="9"/>
      <c r="JS451" s="9"/>
      <c r="JT451" s="9"/>
      <c r="JU451" s="9"/>
      <c r="JV451" s="9"/>
      <c r="JW451" s="9"/>
      <c r="JX451" s="9"/>
      <c r="JY451" s="9"/>
      <c r="JZ451" s="9"/>
      <c r="KA451" s="9"/>
      <c r="KB451" s="9"/>
      <c r="KC451" s="9"/>
      <c r="KD451" s="9"/>
      <c r="KE451" s="9"/>
      <c r="KF451" s="9"/>
      <c r="KG451" s="9"/>
      <c r="KH451" s="9"/>
      <c r="KI451" s="9"/>
      <c r="KJ451" s="9"/>
      <c r="KK451" s="9"/>
      <c r="KL451" s="9"/>
      <c r="KM451" s="9"/>
      <c r="KN451" s="9"/>
      <c r="KO451" s="9"/>
      <c r="KP451" s="9"/>
      <c r="KQ451" s="9"/>
      <c r="KR451" s="9"/>
      <c r="KS451" s="9"/>
      <c r="KT451" s="9"/>
      <c r="KU451" s="9"/>
      <c r="KV451" s="9"/>
      <c r="KW451" s="9"/>
      <c r="KX451" s="9"/>
      <c r="KY451" s="9"/>
      <c r="KZ451" s="9"/>
      <c r="LA451" s="9"/>
      <c r="LB451" s="9"/>
      <c r="LC451" s="9"/>
      <c r="LD451" s="9"/>
      <c r="LE451" s="9"/>
      <c r="LF451" s="9"/>
      <c r="LG451" s="9"/>
      <c r="LH451" s="9"/>
      <c r="LI451" s="9"/>
      <c r="LJ451" s="9"/>
      <c r="LK451" s="9"/>
      <c r="LL451" s="9"/>
      <c r="LM451" s="9"/>
      <c r="LN451" s="9"/>
      <c r="LO451" s="9"/>
      <c r="LP451" s="9"/>
      <c r="LQ451" s="9"/>
      <c r="LR451" s="9"/>
      <c r="LS451" s="9"/>
      <c r="LT451" s="9"/>
      <c r="LU451" s="9"/>
      <c r="LV451" s="9"/>
      <c r="LW451" s="9"/>
      <c r="LX451" s="9"/>
      <c r="LY451" s="9"/>
      <c r="LZ451" s="9"/>
      <c r="MA451" s="9"/>
      <c r="MB451" s="9"/>
      <c r="MC451" s="9"/>
      <c r="MD451" s="9"/>
      <c r="ME451" s="9"/>
      <c r="MF451" s="9"/>
      <c r="MG451" s="9"/>
      <c r="MH451" s="9"/>
      <c r="MI451" s="9"/>
      <c r="MJ451" s="9"/>
      <c r="MK451" s="9"/>
      <c r="ML451" s="9"/>
      <c r="MM451" s="9"/>
      <c r="MN451" s="9"/>
      <c r="MO451" s="9"/>
      <c r="MP451" s="9"/>
      <c r="MQ451" s="9"/>
      <c r="MR451" s="9"/>
      <c r="MS451" s="9"/>
      <c r="MT451" s="9"/>
      <c r="MU451" s="9"/>
      <c r="MV451" s="9"/>
      <c r="MW451" s="9"/>
      <c r="MX451" s="9"/>
      <c r="MY451" s="9"/>
      <c r="MZ451" s="9"/>
      <c r="NA451" s="9"/>
      <c r="NB451" s="9"/>
      <c r="NC451" s="9"/>
      <c r="ND451" s="9"/>
      <c r="NE451" s="9"/>
      <c r="NF451" s="9"/>
      <c r="NG451" s="9"/>
      <c r="NH451" s="9"/>
      <c r="NI451" s="9"/>
      <c r="NJ451" s="9"/>
      <c r="NK451" s="9"/>
      <c r="NL451" s="9"/>
      <c r="NM451" s="9"/>
      <c r="NN451" s="9"/>
      <c r="NO451" s="9"/>
      <c r="NP451" s="9"/>
      <c r="NQ451" s="9"/>
      <c r="NR451" s="9"/>
      <c r="NS451" s="9"/>
      <c r="NT451" s="9"/>
      <c r="NU451" s="9"/>
      <c r="NV451" s="9"/>
      <c r="NW451" s="9"/>
      <c r="NX451" s="9"/>
      <c r="NY451" s="9"/>
      <c r="NZ451" s="9"/>
      <c r="OA451" s="9"/>
      <c r="OB451" s="9"/>
      <c r="OC451" s="9"/>
      <c r="OD451" s="9"/>
      <c r="OE451" s="9"/>
      <c r="OF451" s="9"/>
      <c r="OG451" s="9"/>
      <c r="OH451" s="9"/>
      <c r="OI451" s="9"/>
      <c r="OJ451" s="9"/>
      <c r="OK451" s="9"/>
      <c r="OL451" s="9"/>
      <c r="OM451" s="9"/>
      <c r="ON451" s="9"/>
      <c r="OO451" s="9"/>
      <c r="OP451" s="9"/>
      <c r="OQ451" s="9"/>
      <c r="OR451" s="9"/>
      <c r="OS451" s="9"/>
      <c r="OT451" s="9"/>
      <c r="OU451" s="9"/>
      <c r="OV451" s="9"/>
      <c r="OW451" s="9"/>
      <c r="OX451" s="9"/>
      <c r="OY451" s="9"/>
      <c r="OZ451" s="9"/>
      <c r="PA451" s="9"/>
      <c r="PB451" s="9"/>
      <c r="PC451" s="9"/>
      <c r="PD451" s="9"/>
      <c r="PE451" s="9"/>
      <c r="PF451" s="9"/>
      <c r="PG451" s="9"/>
      <c r="PH451" s="9"/>
      <c r="PI451" s="9"/>
      <c r="PJ451" s="9"/>
      <c r="PK451" s="9"/>
      <c r="PL451" s="9"/>
      <c r="PM451" s="9"/>
      <c r="PN451" s="9"/>
      <c r="PO451" s="9"/>
      <c r="PP451" s="9"/>
      <c r="PQ451" s="9"/>
      <c r="PR451" s="9"/>
      <c r="PS451" s="9"/>
      <c r="PT451" s="9"/>
      <c r="PU451" s="9"/>
      <c r="PV451" s="9"/>
      <c r="PW451" s="9"/>
      <c r="PX451" s="9"/>
      <c r="PY451" s="9"/>
      <c r="PZ451" s="9"/>
      <c r="QA451" s="9"/>
      <c r="QB451" s="9"/>
      <c r="QC451" s="9"/>
      <c r="QD451" s="9"/>
      <c r="QE451" s="9"/>
      <c r="QF451" s="9"/>
      <c r="QG451" s="9"/>
      <c r="QH451" s="9"/>
      <c r="QI451" s="9"/>
      <c r="QJ451" s="9"/>
      <c r="QK451" s="9"/>
      <c r="QL451" s="9"/>
      <c r="QM451" s="9"/>
      <c r="QN451" s="9"/>
      <c r="QO451" s="9"/>
      <c r="QP451" s="9"/>
      <c r="QQ451" s="9"/>
      <c r="QR451" s="9"/>
      <c r="QS451" s="9"/>
      <c r="QT451" s="9"/>
      <c r="QU451" s="9"/>
      <c r="QV451" s="9"/>
      <c r="QW451" s="9"/>
      <c r="QX451" s="9"/>
      <c r="QY451" s="9"/>
      <c r="QZ451" s="9"/>
      <c r="RA451" s="9"/>
      <c r="RB451" s="9"/>
      <c r="RC451" s="9"/>
      <c r="RD451" s="9"/>
      <c r="RE451" s="9"/>
      <c r="RF451" s="9"/>
      <c r="RG451" s="9"/>
      <c r="RH451" s="9"/>
      <c r="RI451" s="9"/>
      <c r="RJ451" s="9"/>
      <c r="RK451" s="9"/>
      <c r="RL451" s="9"/>
      <c r="RM451" s="9"/>
      <c r="RN451" s="9"/>
      <c r="RO451" s="9"/>
      <c r="RP451" s="9"/>
      <c r="RQ451" s="9"/>
      <c r="RR451" s="9"/>
      <c r="RS451" s="9"/>
      <c r="RT451" s="9"/>
      <c r="RU451" s="9"/>
      <c r="RV451" s="9"/>
      <c r="RW451" s="9"/>
      <c r="RX451" s="9"/>
      <c r="RY451" s="9"/>
      <c r="RZ451" s="9"/>
      <c r="SA451" s="9"/>
      <c r="SB451" s="9"/>
      <c r="SC451" s="9"/>
      <c r="SD451" s="9"/>
      <c r="SE451" s="9"/>
      <c r="SF451" s="9"/>
      <c r="SG451" s="9"/>
      <c r="SH451" s="9"/>
      <c r="SI451" s="9"/>
      <c r="SJ451" s="9"/>
      <c r="SK451" s="9"/>
      <c r="SL451" s="9"/>
      <c r="SM451" s="9"/>
      <c r="SN451" s="9"/>
      <c r="SO451" s="9"/>
      <c r="SP451" s="9"/>
      <c r="SQ451" s="9"/>
      <c r="SR451" s="9"/>
      <c r="SS451" s="9"/>
      <c r="ST451" s="9"/>
      <c r="SU451" s="9"/>
      <c r="SV451" s="9"/>
      <c r="SW451" s="9"/>
      <c r="SX451" s="9"/>
      <c r="SY451" s="9"/>
      <c r="SZ451" s="9"/>
      <c r="TA451" s="9"/>
      <c r="TB451" s="9"/>
      <c r="TC451" s="9"/>
      <c r="TD451" s="9"/>
      <c r="TE451" s="9"/>
      <c r="TF451" s="9"/>
      <c r="TG451" s="9"/>
      <c r="TH451" s="9"/>
      <c r="TI451" s="9"/>
      <c r="TJ451" s="9"/>
      <c r="TK451" s="9"/>
      <c r="TL451" s="9"/>
      <c r="TM451" s="9"/>
      <c r="TN451" s="9"/>
      <c r="TO451" s="9"/>
      <c r="TP451" s="9"/>
      <c r="TQ451" s="9"/>
      <c r="TR451" s="9"/>
      <c r="TS451" s="9"/>
      <c r="TT451" s="9"/>
      <c r="TU451" s="9"/>
      <c r="TV451" s="9"/>
      <c r="TW451" s="9"/>
      <c r="TX451" s="9"/>
      <c r="TY451" s="9"/>
      <c r="TZ451" s="9"/>
      <c r="UA451" s="9"/>
      <c r="UB451" s="9"/>
      <c r="UC451" s="9"/>
      <c r="UD451" s="9"/>
      <c r="UE451" s="9"/>
      <c r="UF451" s="9"/>
      <c r="UG451" s="9"/>
      <c r="UH451" s="9"/>
      <c r="UI451" s="9"/>
      <c r="UJ451" s="9"/>
    </row>
    <row r="452">
      <c r="A452" s="8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  <c r="IW452" s="9"/>
      <c r="IX452" s="9"/>
      <c r="IY452" s="9"/>
      <c r="IZ452" s="9"/>
      <c r="JA452" s="9"/>
      <c r="JB452" s="9"/>
      <c r="JC452" s="9"/>
      <c r="JD452" s="9"/>
      <c r="JE452" s="9"/>
      <c r="JF452" s="9"/>
      <c r="JG452" s="9"/>
      <c r="JH452" s="9"/>
      <c r="JI452" s="9"/>
      <c r="JJ452" s="9"/>
      <c r="JK452" s="9"/>
      <c r="JL452" s="9"/>
      <c r="JM452" s="9"/>
      <c r="JN452" s="9"/>
      <c r="JO452" s="9"/>
      <c r="JP452" s="9"/>
      <c r="JQ452" s="9"/>
      <c r="JR452" s="9"/>
      <c r="JS452" s="9"/>
      <c r="JT452" s="9"/>
      <c r="JU452" s="9"/>
      <c r="JV452" s="9"/>
      <c r="JW452" s="9"/>
      <c r="JX452" s="9"/>
      <c r="JY452" s="9"/>
      <c r="JZ452" s="9"/>
      <c r="KA452" s="9"/>
      <c r="KB452" s="9"/>
      <c r="KC452" s="9"/>
      <c r="KD452" s="9"/>
      <c r="KE452" s="9"/>
      <c r="KF452" s="9"/>
      <c r="KG452" s="9"/>
      <c r="KH452" s="9"/>
      <c r="KI452" s="9"/>
      <c r="KJ452" s="9"/>
      <c r="KK452" s="9"/>
      <c r="KL452" s="9"/>
      <c r="KM452" s="9"/>
      <c r="KN452" s="9"/>
      <c r="KO452" s="9"/>
      <c r="KP452" s="9"/>
      <c r="KQ452" s="9"/>
      <c r="KR452" s="9"/>
      <c r="KS452" s="9"/>
      <c r="KT452" s="9"/>
      <c r="KU452" s="9"/>
      <c r="KV452" s="9"/>
      <c r="KW452" s="9"/>
      <c r="KX452" s="9"/>
      <c r="KY452" s="9"/>
      <c r="KZ452" s="9"/>
      <c r="LA452" s="9"/>
      <c r="LB452" s="9"/>
      <c r="LC452" s="9"/>
      <c r="LD452" s="9"/>
      <c r="LE452" s="9"/>
      <c r="LF452" s="9"/>
      <c r="LG452" s="9"/>
      <c r="LH452" s="9"/>
      <c r="LI452" s="9"/>
      <c r="LJ452" s="9"/>
      <c r="LK452" s="9"/>
      <c r="LL452" s="9"/>
      <c r="LM452" s="9"/>
      <c r="LN452" s="9"/>
      <c r="LO452" s="9"/>
      <c r="LP452" s="9"/>
      <c r="LQ452" s="9"/>
      <c r="LR452" s="9"/>
      <c r="LS452" s="9"/>
      <c r="LT452" s="9"/>
      <c r="LU452" s="9"/>
      <c r="LV452" s="9"/>
      <c r="LW452" s="9"/>
      <c r="LX452" s="9"/>
      <c r="LY452" s="9"/>
      <c r="LZ452" s="9"/>
      <c r="MA452" s="9"/>
      <c r="MB452" s="9"/>
      <c r="MC452" s="9"/>
      <c r="MD452" s="9"/>
      <c r="ME452" s="9"/>
      <c r="MF452" s="9"/>
      <c r="MG452" s="9"/>
      <c r="MH452" s="9"/>
      <c r="MI452" s="9"/>
      <c r="MJ452" s="9"/>
      <c r="MK452" s="9"/>
      <c r="ML452" s="9"/>
      <c r="MM452" s="9"/>
      <c r="MN452" s="9"/>
      <c r="MO452" s="9"/>
      <c r="MP452" s="9"/>
      <c r="MQ452" s="9"/>
      <c r="MR452" s="9"/>
      <c r="MS452" s="9"/>
      <c r="MT452" s="9"/>
      <c r="MU452" s="9"/>
      <c r="MV452" s="9"/>
      <c r="MW452" s="9"/>
      <c r="MX452" s="9"/>
      <c r="MY452" s="9"/>
      <c r="MZ452" s="9"/>
      <c r="NA452" s="9"/>
      <c r="NB452" s="9"/>
      <c r="NC452" s="9"/>
      <c r="ND452" s="9"/>
      <c r="NE452" s="9"/>
      <c r="NF452" s="9"/>
      <c r="NG452" s="9"/>
      <c r="NH452" s="9"/>
      <c r="NI452" s="9"/>
      <c r="NJ452" s="9"/>
      <c r="NK452" s="9"/>
      <c r="NL452" s="9"/>
      <c r="NM452" s="9"/>
      <c r="NN452" s="9"/>
      <c r="NO452" s="9"/>
      <c r="NP452" s="9"/>
      <c r="NQ452" s="9"/>
      <c r="NR452" s="9"/>
      <c r="NS452" s="9"/>
      <c r="NT452" s="9"/>
      <c r="NU452" s="9"/>
      <c r="NV452" s="9"/>
      <c r="NW452" s="9"/>
      <c r="NX452" s="9"/>
      <c r="NY452" s="9"/>
      <c r="NZ452" s="9"/>
      <c r="OA452" s="9"/>
      <c r="OB452" s="9"/>
      <c r="OC452" s="9"/>
      <c r="OD452" s="9"/>
      <c r="OE452" s="9"/>
      <c r="OF452" s="9"/>
      <c r="OG452" s="9"/>
      <c r="OH452" s="9"/>
      <c r="OI452" s="9"/>
      <c r="OJ452" s="9"/>
      <c r="OK452" s="9"/>
      <c r="OL452" s="9"/>
      <c r="OM452" s="9"/>
      <c r="ON452" s="9"/>
      <c r="OO452" s="9"/>
      <c r="OP452" s="9"/>
      <c r="OQ452" s="9"/>
      <c r="OR452" s="9"/>
      <c r="OS452" s="9"/>
      <c r="OT452" s="9"/>
      <c r="OU452" s="9"/>
      <c r="OV452" s="9"/>
      <c r="OW452" s="9"/>
      <c r="OX452" s="9"/>
      <c r="OY452" s="9"/>
      <c r="OZ452" s="9"/>
      <c r="PA452" s="9"/>
      <c r="PB452" s="9"/>
      <c r="PC452" s="9"/>
      <c r="PD452" s="9"/>
      <c r="PE452" s="9"/>
      <c r="PF452" s="9"/>
      <c r="PG452" s="9"/>
      <c r="PH452" s="9"/>
      <c r="PI452" s="9"/>
      <c r="PJ452" s="9"/>
      <c r="PK452" s="9"/>
      <c r="PL452" s="9"/>
      <c r="PM452" s="9"/>
      <c r="PN452" s="9"/>
      <c r="PO452" s="9"/>
      <c r="PP452" s="9"/>
      <c r="PQ452" s="9"/>
      <c r="PR452" s="9"/>
      <c r="PS452" s="9"/>
      <c r="PT452" s="9"/>
      <c r="PU452" s="9"/>
      <c r="PV452" s="9"/>
      <c r="PW452" s="9"/>
      <c r="PX452" s="9"/>
      <c r="PY452" s="9"/>
      <c r="PZ452" s="9"/>
      <c r="QA452" s="9"/>
      <c r="QB452" s="9"/>
      <c r="QC452" s="9"/>
      <c r="QD452" s="9"/>
      <c r="QE452" s="9"/>
      <c r="QF452" s="9"/>
      <c r="QG452" s="9"/>
      <c r="QH452" s="9"/>
      <c r="QI452" s="9"/>
      <c r="QJ452" s="9"/>
      <c r="QK452" s="9"/>
      <c r="QL452" s="9"/>
      <c r="QM452" s="9"/>
      <c r="QN452" s="9"/>
      <c r="QO452" s="9"/>
      <c r="QP452" s="9"/>
      <c r="QQ452" s="9"/>
      <c r="QR452" s="9"/>
      <c r="QS452" s="9"/>
      <c r="QT452" s="9"/>
      <c r="QU452" s="9"/>
      <c r="QV452" s="9"/>
      <c r="QW452" s="9"/>
      <c r="QX452" s="9"/>
      <c r="QY452" s="9"/>
      <c r="QZ452" s="9"/>
      <c r="RA452" s="9"/>
      <c r="RB452" s="9"/>
      <c r="RC452" s="9"/>
      <c r="RD452" s="9"/>
      <c r="RE452" s="9"/>
      <c r="RF452" s="9"/>
      <c r="RG452" s="9"/>
      <c r="RH452" s="9"/>
      <c r="RI452" s="9"/>
      <c r="RJ452" s="9"/>
      <c r="RK452" s="9"/>
      <c r="RL452" s="9"/>
      <c r="RM452" s="9"/>
      <c r="RN452" s="9"/>
      <c r="RO452" s="9"/>
      <c r="RP452" s="9"/>
      <c r="RQ452" s="9"/>
      <c r="RR452" s="9"/>
      <c r="RS452" s="9"/>
      <c r="RT452" s="9"/>
      <c r="RU452" s="9"/>
      <c r="RV452" s="9"/>
      <c r="RW452" s="9"/>
      <c r="RX452" s="9"/>
      <c r="RY452" s="9"/>
      <c r="RZ452" s="9"/>
      <c r="SA452" s="9"/>
      <c r="SB452" s="9"/>
      <c r="SC452" s="9"/>
      <c r="SD452" s="9"/>
      <c r="SE452" s="9"/>
      <c r="SF452" s="9"/>
      <c r="SG452" s="9"/>
      <c r="SH452" s="9"/>
      <c r="SI452" s="9"/>
      <c r="SJ452" s="9"/>
      <c r="SK452" s="9"/>
      <c r="SL452" s="9"/>
      <c r="SM452" s="9"/>
      <c r="SN452" s="9"/>
      <c r="SO452" s="9"/>
      <c r="SP452" s="9"/>
      <c r="SQ452" s="9"/>
      <c r="SR452" s="9"/>
      <c r="SS452" s="9"/>
      <c r="ST452" s="9"/>
      <c r="SU452" s="9"/>
      <c r="SV452" s="9"/>
      <c r="SW452" s="9"/>
      <c r="SX452" s="9"/>
      <c r="SY452" s="9"/>
      <c r="SZ452" s="9"/>
      <c r="TA452" s="9"/>
      <c r="TB452" s="9"/>
      <c r="TC452" s="9"/>
      <c r="TD452" s="9"/>
      <c r="TE452" s="9"/>
      <c r="TF452" s="9"/>
      <c r="TG452" s="9"/>
      <c r="TH452" s="9"/>
      <c r="TI452" s="9"/>
      <c r="TJ452" s="9"/>
      <c r="TK452" s="9"/>
      <c r="TL452" s="9"/>
      <c r="TM452" s="9"/>
      <c r="TN452" s="9"/>
      <c r="TO452" s="9"/>
      <c r="TP452" s="9"/>
      <c r="TQ452" s="9"/>
      <c r="TR452" s="9"/>
      <c r="TS452" s="9"/>
      <c r="TT452" s="9"/>
      <c r="TU452" s="9"/>
      <c r="TV452" s="9"/>
      <c r="TW452" s="9"/>
      <c r="TX452" s="9"/>
      <c r="TY452" s="9"/>
      <c r="TZ452" s="9"/>
      <c r="UA452" s="9"/>
      <c r="UB452" s="9"/>
      <c r="UC452" s="9"/>
      <c r="UD452" s="9"/>
      <c r="UE452" s="9"/>
      <c r="UF452" s="9"/>
      <c r="UG452" s="9"/>
      <c r="UH452" s="9"/>
      <c r="UI452" s="9"/>
      <c r="UJ452" s="9"/>
    </row>
    <row r="453">
      <c r="A453" s="8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</row>
    <row r="454">
      <c r="A454" s="8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</row>
    <row r="455">
      <c r="A455" s="8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</row>
    <row r="456">
      <c r="A456" s="8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</row>
    <row r="457">
      <c r="A457" s="8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</row>
    <row r="458">
      <c r="A458" s="8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</row>
    <row r="459">
      <c r="A459" s="8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  <c r="IN459" s="9"/>
      <c r="IO459" s="9"/>
      <c r="IP459" s="9"/>
      <c r="IQ459" s="9"/>
      <c r="IR459" s="9"/>
      <c r="IS459" s="9"/>
      <c r="IT459" s="9"/>
      <c r="IU459" s="9"/>
      <c r="IV459" s="9"/>
      <c r="IW459" s="9"/>
      <c r="IX459" s="9"/>
      <c r="IY459" s="9"/>
      <c r="IZ459" s="9"/>
      <c r="JA459" s="9"/>
      <c r="JB459" s="9"/>
      <c r="JC459" s="9"/>
      <c r="JD459" s="9"/>
      <c r="JE459" s="9"/>
      <c r="JF459" s="9"/>
      <c r="JG459" s="9"/>
      <c r="JH459" s="9"/>
      <c r="JI459" s="9"/>
      <c r="JJ459" s="9"/>
      <c r="JK459" s="9"/>
      <c r="JL459" s="9"/>
      <c r="JM459" s="9"/>
      <c r="JN459" s="9"/>
      <c r="JO459" s="9"/>
      <c r="JP459" s="9"/>
      <c r="JQ459" s="9"/>
      <c r="JR459" s="9"/>
      <c r="JS459" s="9"/>
      <c r="JT459" s="9"/>
      <c r="JU459" s="9"/>
      <c r="JV459" s="9"/>
      <c r="JW459" s="9"/>
      <c r="JX459" s="9"/>
      <c r="JY459" s="9"/>
      <c r="JZ459" s="9"/>
      <c r="KA459" s="9"/>
      <c r="KB459" s="9"/>
      <c r="KC459" s="9"/>
      <c r="KD459" s="9"/>
      <c r="KE459" s="9"/>
      <c r="KF459" s="9"/>
      <c r="KG459" s="9"/>
      <c r="KH459" s="9"/>
      <c r="KI459" s="9"/>
      <c r="KJ459" s="9"/>
      <c r="KK459" s="9"/>
      <c r="KL459" s="9"/>
      <c r="KM459" s="9"/>
      <c r="KN459" s="9"/>
      <c r="KO459" s="9"/>
      <c r="KP459" s="9"/>
      <c r="KQ459" s="9"/>
      <c r="KR459" s="9"/>
      <c r="KS459" s="9"/>
      <c r="KT459" s="9"/>
      <c r="KU459" s="9"/>
      <c r="KV459" s="9"/>
      <c r="KW459" s="9"/>
      <c r="KX459" s="9"/>
      <c r="KY459" s="9"/>
      <c r="KZ459" s="9"/>
      <c r="LA459" s="9"/>
      <c r="LB459" s="9"/>
      <c r="LC459" s="9"/>
      <c r="LD459" s="9"/>
      <c r="LE459" s="9"/>
      <c r="LF459" s="9"/>
      <c r="LG459" s="9"/>
      <c r="LH459" s="9"/>
      <c r="LI459" s="9"/>
      <c r="LJ459" s="9"/>
      <c r="LK459" s="9"/>
      <c r="LL459" s="9"/>
      <c r="LM459" s="9"/>
      <c r="LN459" s="9"/>
      <c r="LO459" s="9"/>
      <c r="LP459" s="9"/>
      <c r="LQ459" s="9"/>
      <c r="LR459" s="9"/>
      <c r="LS459" s="9"/>
      <c r="LT459" s="9"/>
      <c r="LU459" s="9"/>
      <c r="LV459" s="9"/>
      <c r="LW459" s="9"/>
      <c r="LX459" s="9"/>
      <c r="LY459" s="9"/>
      <c r="LZ459" s="9"/>
      <c r="MA459" s="9"/>
      <c r="MB459" s="9"/>
      <c r="MC459" s="9"/>
      <c r="MD459" s="9"/>
      <c r="ME459" s="9"/>
      <c r="MF459" s="9"/>
      <c r="MG459" s="9"/>
      <c r="MH459" s="9"/>
      <c r="MI459" s="9"/>
      <c r="MJ459" s="9"/>
      <c r="MK459" s="9"/>
      <c r="ML459" s="9"/>
      <c r="MM459" s="9"/>
      <c r="MN459" s="9"/>
      <c r="MO459" s="9"/>
      <c r="MP459" s="9"/>
      <c r="MQ459" s="9"/>
      <c r="MR459" s="9"/>
      <c r="MS459" s="9"/>
      <c r="MT459" s="9"/>
      <c r="MU459" s="9"/>
      <c r="MV459" s="9"/>
      <c r="MW459" s="9"/>
      <c r="MX459" s="9"/>
      <c r="MY459" s="9"/>
      <c r="MZ459" s="9"/>
      <c r="NA459" s="9"/>
      <c r="NB459" s="9"/>
      <c r="NC459" s="9"/>
      <c r="ND459" s="9"/>
      <c r="NE459" s="9"/>
      <c r="NF459" s="9"/>
      <c r="NG459" s="9"/>
      <c r="NH459" s="9"/>
      <c r="NI459" s="9"/>
      <c r="NJ459" s="9"/>
      <c r="NK459" s="9"/>
      <c r="NL459" s="9"/>
      <c r="NM459" s="9"/>
      <c r="NN459" s="9"/>
      <c r="NO459" s="9"/>
      <c r="NP459" s="9"/>
      <c r="NQ459" s="9"/>
      <c r="NR459" s="9"/>
      <c r="NS459" s="9"/>
      <c r="NT459" s="9"/>
      <c r="NU459" s="9"/>
      <c r="NV459" s="9"/>
      <c r="NW459" s="9"/>
      <c r="NX459" s="9"/>
      <c r="NY459" s="9"/>
      <c r="NZ459" s="9"/>
      <c r="OA459" s="9"/>
      <c r="OB459" s="9"/>
      <c r="OC459" s="9"/>
      <c r="OD459" s="9"/>
      <c r="OE459" s="9"/>
      <c r="OF459" s="9"/>
      <c r="OG459" s="9"/>
      <c r="OH459" s="9"/>
      <c r="OI459" s="9"/>
      <c r="OJ459" s="9"/>
      <c r="OK459" s="9"/>
      <c r="OL459" s="9"/>
      <c r="OM459" s="9"/>
      <c r="ON459" s="9"/>
      <c r="OO459" s="9"/>
      <c r="OP459" s="9"/>
      <c r="OQ459" s="9"/>
      <c r="OR459" s="9"/>
      <c r="OS459" s="9"/>
      <c r="OT459" s="9"/>
      <c r="OU459" s="9"/>
      <c r="OV459" s="9"/>
      <c r="OW459" s="9"/>
      <c r="OX459" s="9"/>
      <c r="OY459" s="9"/>
      <c r="OZ459" s="9"/>
      <c r="PA459" s="9"/>
      <c r="PB459" s="9"/>
      <c r="PC459" s="9"/>
      <c r="PD459" s="9"/>
      <c r="PE459" s="9"/>
      <c r="PF459" s="9"/>
      <c r="PG459" s="9"/>
      <c r="PH459" s="9"/>
      <c r="PI459" s="9"/>
      <c r="PJ459" s="9"/>
      <c r="PK459" s="9"/>
      <c r="PL459" s="9"/>
      <c r="PM459" s="9"/>
      <c r="PN459" s="9"/>
      <c r="PO459" s="9"/>
      <c r="PP459" s="9"/>
      <c r="PQ459" s="9"/>
      <c r="PR459" s="9"/>
      <c r="PS459" s="9"/>
      <c r="PT459" s="9"/>
      <c r="PU459" s="9"/>
      <c r="PV459" s="9"/>
      <c r="PW459" s="9"/>
      <c r="PX459" s="9"/>
      <c r="PY459" s="9"/>
      <c r="PZ459" s="9"/>
      <c r="QA459" s="9"/>
      <c r="QB459" s="9"/>
      <c r="QC459" s="9"/>
      <c r="QD459" s="9"/>
      <c r="QE459" s="9"/>
      <c r="QF459" s="9"/>
      <c r="QG459" s="9"/>
      <c r="QH459" s="9"/>
      <c r="QI459" s="9"/>
      <c r="QJ459" s="9"/>
      <c r="QK459" s="9"/>
      <c r="QL459" s="9"/>
      <c r="QM459" s="9"/>
      <c r="QN459" s="9"/>
      <c r="QO459" s="9"/>
      <c r="QP459" s="9"/>
      <c r="QQ459" s="9"/>
      <c r="QR459" s="9"/>
      <c r="QS459" s="9"/>
      <c r="QT459" s="9"/>
      <c r="QU459" s="9"/>
      <c r="QV459" s="9"/>
      <c r="QW459" s="9"/>
      <c r="QX459" s="9"/>
      <c r="QY459" s="9"/>
      <c r="QZ459" s="9"/>
      <c r="RA459" s="9"/>
      <c r="RB459" s="9"/>
      <c r="RC459" s="9"/>
      <c r="RD459" s="9"/>
      <c r="RE459" s="9"/>
      <c r="RF459" s="9"/>
      <c r="RG459" s="9"/>
      <c r="RH459" s="9"/>
      <c r="RI459" s="9"/>
      <c r="RJ459" s="9"/>
      <c r="RK459" s="9"/>
      <c r="RL459" s="9"/>
      <c r="RM459" s="9"/>
      <c r="RN459" s="9"/>
      <c r="RO459" s="9"/>
      <c r="RP459" s="9"/>
      <c r="RQ459" s="9"/>
      <c r="RR459" s="9"/>
      <c r="RS459" s="9"/>
      <c r="RT459" s="9"/>
      <c r="RU459" s="9"/>
      <c r="RV459" s="9"/>
      <c r="RW459" s="9"/>
      <c r="RX459" s="9"/>
      <c r="RY459" s="9"/>
      <c r="RZ459" s="9"/>
      <c r="SA459" s="9"/>
      <c r="SB459" s="9"/>
      <c r="SC459" s="9"/>
      <c r="SD459" s="9"/>
      <c r="SE459" s="9"/>
      <c r="SF459" s="9"/>
      <c r="SG459" s="9"/>
      <c r="SH459" s="9"/>
      <c r="SI459" s="9"/>
      <c r="SJ459" s="9"/>
      <c r="SK459" s="9"/>
      <c r="SL459" s="9"/>
      <c r="SM459" s="9"/>
      <c r="SN459" s="9"/>
      <c r="SO459" s="9"/>
      <c r="SP459" s="9"/>
      <c r="SQ459" s="9"/>
      <c r="SR459" s="9"/>
      <c r="SS459" s="9"/>
      <c r="ST459" s="9"/>
      <c r="SU459" s="9"/>
      <c r="SV459" s="9"/>
      <c r="SW459" s="9"/>
      <c r="SX459" s="9"/>
      <c r="SY459" s="9"/>
      <c r="SZ459" s="9"/>
      <c r="TA459" s="9"/>
      <c r="TB459" s="9"/>
      <c r="TC459" s="9"/>
      <c r="TD459" s="9"/>
      <c r="TE459" s="9"/>
      <c r="TF459" s="9"/>
      <c r="TG459" s="9"/>
      <c r="TH459" s="9"/>
      <c r="TI459" s="9"/>
      <c r="TJ459" s="9"/>
      <c r="TK459" s="9"/>
      <c r="TL459" s="9"/>
      <c r="TM459" s="9"/>
      <c r="TN459" s="9"/>
      <c r="TO459" s="9"/>
      <c r="TP459" s="9"/>
      <c r="TQ459" s="9"/>
      <c r="TR459" s="9"/>
      <c r="TS459" s="9"/>
      <c r="TT459" s="9"/>
      <c r="TU459" s="9"/>
      <c r="TV459" s="9"/>
      <c r="TW459" s="9"/>
      <c r="TX459" s="9"/>
      <c r="TY459" s="9"/>
      <c r="TZ459" s="9"/>
      <c r="UA459" s="9"/>
      <c r="UB459" s="9"/>
      <c r="UC459" s="9"/>
      <c r="UD459" s="9"/>
      <c r="UE459" s="9"/>
      <c r="UF459" s="9"/>
      <c r="UG459" s="9"/>
      <c r="UH459" s="9"/>
      <c r="UI459" s="9"/>
      <c r="UJ459" s="9"/>
    </row>
    <row r="460">
      <c r="A460" s="8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</row>
    <row r="461">
      <c r="A461" s="8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</row>
    <row r="462">
      <c r="A462" s="8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9"/>
      <c r="IA462" s="9"/>
      <c r="IB462" s="9"/>
      <c r="IC462" s="9"/>
      <c r="ID462" s="9"/>
      <c r="IE462" s="9"/>
      <c r="IF462" s="9"/>
      <c r="IG462" s="9"/>
      <c r="IH462" s="9"/>
      <c r="II462" s="9"/>
      <c r="IJ462" s="9"/>
      <c r="IK462" s="9"/>
      <c r="IL462" s="9"/>
      <c r="IM462" s="9"/>
      <c r="IN462" s="9"/>
      <c r="IO462" s="9"/>
      <c r="IP462" s="9"/>
      <c r="IQ462" s="9"/>
      <c r="IR462" s="9"/>
      <c r="IS462" s="9"/>
      <c r="IT462" s="9"/>
      <c r="IU462" s="9"/>
      <c r="IV462" s="9"/>
      <c r="IW462" s="9"/>
      <c r="IX462" s="9"/>
      <c r="IY462" s="9"/>
      <c r="IZ462" s="9"/>
      <c r="JA462" s="9"/>
      <c r="JB462" s="9"/>
      <c r="JC462" s="9"/>
      <c r="JD462" s="9"/>
      <c r="JE462" s="9"/>
      <c r="JF462" s="9"/>
      <c r="JG462" s="9"/>
      <c r="JH462" s="9"/>
      <c r="JI462" s="9"/>
      <c r="JJ462" s="9"/>
      <c r="JK462" s="9"/>
      <c r="JL462" s="9"/>
      <c r="JM462" s="9"/>
      <c r="JN462" s="9"/>
      <c r="JO462" s="9"/>
      <c r="JP462" s="9"/>
      <c r="JQ462" s="9"/>
      <c r="JR462" s="9"/>
      <c r="JS462" s="9"/>
      <c r="JT462" s="9"/>
      <c r="JU462" s="9"/>
      <c r="JV462" s="9"/>
      <c r="JW462" s="9"/>
      <c r="JX462" s="9"/>
      <c r="JY462" s="9"/>
      <c r="JZ462" s="9"/>
      <c r="KA462" s="9"/>
      <c r="KB462" s="9"/>
      <c r="KC462" s="9"/>
      <c r="KD462" s="9"/>
      <c r="KE462" s="9"/>
      <c r="KF462" s="9"/>
      <c r="KG462" s="9"/>
      <c r="KH462" s="9"/>
      <c r="KI462" s="9"/>
      <c r="KJ462" s="9"/>
      <c r="KK462" s="9"/>
      <c r="KL462" s="9"/>
      <c r="KM462" s="9"/>
      <c r="KN462" s="9"/>
      <c r="KO462" s="9"/>
      <c r="KP462" s="9"/>
      <c r="KQ462" s="9"/>
      <c r="KR462" s="9"/>
      <c r="KS462" s="9"/>
      <c r="KT462" s="9"/>
      <c r="KU462" s="9"/>
      <c r="KV462" s="9"/>
      <c r="KW462" s="9"/>
      <c r="KX462" s="9"/>
      <c r="KY462" s="9"/>
      <c r="KZ462" s="9"/>
      <c r="LA462" s="9"/>
      <c r="LB462" s="9"/>
      <c r="LC462" s="9"/>
      <c r="LD462" s="9"/>
      <c r="LE462" s="9"/>
      <c r="LF462" s="9"/>
      <c r="LG462" s="9"/>
      <c r="LH462" s="9"/>
      <c r="LI462" s="9"/>
      <c r="LJ462" s="9"/>
      <c r="LK462" s="9"/>
      <c r="LL462" s="9"/>
      <c r="LM462" s="9"/>
      <c r="LN462" s="9"/>
      <c r="LO462" s="9"/>
      <c r="LP462" s="9"/>
      <c r="LQ462" s="9"/>
      <c r="LR462" s="9"/>
      <c r="LS462" s="9"/>
      <c r="LT462" s="9"/>
      <c r="LU462" s="9"/>
      <c r="LV462" s="9"/>
      <c r="LW462" s="9"/>
      <c r="LX462" s="9"/>
      <c r="LY462" s="9"/>
      <c r="LZ462" s="9"/>
      <c r="MA462" s="9"/>
      <c r="MB462" s="9"/>
      <c r="MC462" s="9"/>
      <c r="MD462" s="9"/>
      <c r="ME462" s="9"/>
      <c r="MF462" s="9"/>
      <c r="MG462" s="9"/>
      <c r="MH462" s="9"/>
      <c r="MI462" s="9"/>
      <c r="MJ462" s="9"/>
      <c r="MK462" s="9"/>
      <c r="ML462" s="9"/>
      <c r="MM462" s="9"/>
      <c r="MN462" s="9"/>
      <c r="MO462" s="9"/>
      <c r="MP462" s="9"/>
      <c r="MQ462" s="9"/>
      <c r="MR462" s="9"/>
      <c r="MS462" s="9"/>
      <c r="MT462" s="9"/>
      <c r="MU462" s="9"/>
      <c r="MV462" s="9"/>
      <c r="MW462" s="9"/>
      <c r="MX462" s="9"/>
      <c r="MY462" s="9"/>
      <c r="MZ462" s="9"/>
      <c r="NA462" s="9"/>
      <c r="NB462" s="9"/>
      <c r="NC462" s="9"/>
      <c r="ND462" s="9"/>
      <c r="NE462" s="9"/>
      <c r="NF462" s="9"/>
      <c r="NG462" s="9"/>
      <c r="NH462" s="9"/>
      <c r="NI462" s="9"/>
      <c r="NJ462" s="9"/>
      <c r="NK462" s="9"/>
      <c r="NL462" s="9"/>
      <c r="NM462" s="9"/>
      <c r="NN462" s="9"/>
      <c r="NO462" s="9"/>
      <c r="NP462" s="9"/>
      <c r="NQ462" s="9"/>
      <c r="NR462" s="9"/>
      <c r="NS462" s="9"/>
      <c r="NT462" s="9"/>
      <c r="NU462" s="9"/>
      <c r="NV462" s="9"/>
      <c r="NW462" s="9"/>
      <c r="NX462" s="9"/>
      <c r="NY462" s="9"/>
      <c r="NZ462" s="9"/>
      <c r="OA462" s="9"/>
      <c r="OB462" s="9"/>
      <c r="OC462" s="9"/>
      <c r="OD462" s="9"/>
      <c r="OE462" s="9"/>
      <c r="OF462" s="9"/>
      <c r="OG462" s="9"/>
      <c r="OH462" s="9"/>
      <c r="OI462" s="9"/>
      <c r="OJ462" s="9"/>
      <c r="OK462" s="9"/>
      <c r="OL462" s="9"/>
      <c r="OM462" s="9"/>
      <c r="ON462" s="9"/>
      <c r="OO462" s="9"/>
      <c r="OP462" s="9"/>
      <c r="OQ462" s="9"/>
      <c r="OR462" s="9"/>
      <c r="OS462" s="9"/>
      <c r="OT462" s="9"/>
      <c r="OU462" s="9"/>
      <c r="OV462" s="9"/>
      <c r="OW462" s="9"/>
      <c r="OX462" s="9"/>
      <c r="OY462" s="9"/>
      <c r="OZ462" s="9"/>
      <c r="PA462" s="9"/>
      <c r="PB462" s="9"/>
      <c r="PC462" s="9"/>
      <c r="PD462" s="9"/>
      <c r="PE462" s="9"/>
      <c r="PF462" s="9"/>
      <c r="PG462" s="9"/>
      <c r="PH462" s="9"/>
      <c r="PI462" s="9"/>
      <c r="PJ462" s="9"/>
      <c r="PK462" s="9"/>
      <c r="PL462" s="9"/>
      <c r="PM462" s="9"/>
      <c r="PN462" s="9"/>
      <c r="PO462" s="9"/>
      <c r="PP462" s="9"/>
      <c r="PQ462" s="9"/>
      <c r="PR462" s="9"/>
      <c r="PS462" s="9"/>
      <c r="PT462" s="9"/>
      <c r="PU462" s="9"/>
      <c r="PV462" s="9"/>
      <c r="PW462" s="9"/>
      <c r="PX462" s="9"/>
      <c r="PY462" s="9"/>
      <c r="PZ462" s="9"/>
      <c r="QA462" s="9"/>
      <c r="QB462" s="9"/>
      <c r="QC462" s="9"/>
      <c r="QD462" s="9"/>
      <c r="QE462" s="9"/>
      <c r="QF462" s="9"/>
      <c r="QG462" s="9"/>
      <c r="QH462" s="9"/>
      <c r="QI462" s="9"/>
      <c r="QJ462" s="9"/>
      <c r="QK462" s="9"/>
      <c r="QL462" s="9"/>
      <c r="QM462" s="9"/>
      <c r="QN462" s="9"/>
      <c r="QO462" s="9"/>
      <c r="QP462" s="9"/>
      <c r="QQ462" s="9"/>
      <c r="QR462" s="9"/>
      <c r="QS462" s="9"/>
      <c r="QT462" s="9"/>
      <c r="QU462" s="9"/>
      <c r="QV462" s="9"/>
      <c r="QW462" s="9"/>
      <c r="QX462" s="9"/>
      <c r="QY462" s="9"/>
      <c r="QZ462" s="9"/>
      <c r="RA462" s="9"/>
      <c r="RB462" s="9"/>
      <c r="RC462" s="9"/>
      <c r="RD462" s="9"/>
      <c r="RE462" s="9"/>
      <c r="RF462" s="9"/>
      <c r="RG462" s="9"/>
      <c r="RH462" s="9"/>
      <c r="RI462" s="9"/>
      <c r="RJ462" s="9"/>
      <c r="RK462" s="9"/>
      <c r="RL462" s="9"/>
      <c r="RM462" s="9"/>
      <c r="RN462" s="9"/>
      <c r="RO462" s="9"/>
      <c r="RP462" s="9"/>
      <c r="RQ462" s="9"/>
      <c r="RR462" s="9"/>
      <c r="RS462" s="9"/>
      <c r="RT462" s="9"/>
      <c r="RU462" s="9"/>
      <c r="RV462" s="9"/>
      <c r="RW462" s="9"/>
      <c r="RX462" s="9"/>
      <c r="RY462" s="9"/>
      <c r="RZ462" s="9"/>
      <c r="SA462" s="9"/>
      <c r="SB462" s="9"/>
      <c r="SC462" s="9"/>
      <c r="SD462" s="9"/>
      <c r="SE462" s="9"/>
      <c r="SF462" s="9"/>
      <c r="SG462" s="9"/>
      <c r="SH462" s="9"/>
      <c r="SI462" s="9"/>
      <c r="SJ462" s="9"/>
      <c r="SK462" s="9"/>
      <c r="SL462" s="9"/>
      <c r="SM462" s="9"/>
      <c r="SN462" s="9"/>
      <c r="SO462" s="9"/>
      <c r="SP462" s="9"/>
      <c r="SQ462" s="9"/>
      <c r="SR462" s="9"/>
      <c r="SS462" s="9"/>
      <c r="ST462" s="9"/>
      <c r="SU462" s="9"/>
      <c r="SV462" s="9"/>
      <c r="SW462" s="9"/>
      <c r="SX462" s="9"/>
      <c r="SY462" s="9"/>
      <c r="SZ462" s="9"/>
      <c r="TA462" s="9"/>
      <c r="TB462" s="9"/>
      <c r="TC462" s="9"/>
      <c r="TD462" s="9"/>
      <c r="TE462" s="9"/>
      <c r="TF462" s="9"/>
      <c r="TG462" s="9"/>
      <c r="TH462" s="9"/>
      <c r="TI462" s="9"/>
      <c r="TJ462" s="9"/>
      <c r="TK462" s="9"/>
      <c r="TL462" s="9"/>
      <c r="TM462" s="9"/>
      <c r="TN462" s="9"/>
      <c r="TO462" s="9"/>
      <c r="TP462" s="9"/>
      <c r="TQ462" s="9"/>
      <c r="TR462" s="9"/>
      <c r="TS462" s="9"/>
      <c r="TT462" s="9"/>
      <c r="TU462" s="9"/>
      <c r="TV462" s="9"/>
      <c r="TW462" s="9"/>
      <c r="TX462" s="9"/>
      <c r="TY462" s="9"/>
      <c r="TZ462" s="9"/>
      <c r="UA462" s="9"/>
      <c r="UB462" s="9"/>
      <c r="UC462" s="9"/>
      <c r="UD462" s="9"/>
      <c r="UE462" s="9"/>
      <c r="UF462" s="9"/>
      <c r="UG462" s="9"/>
      <c r="UH462" s="9"/>
      <c r="UI462" s="9"/>
      <c r="UJ462" s="9"/>
    </row>
    <row r="463">
      <c r="A463" s="8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  <c r="IC463" s="9"/>
      <c r="ID463" s="9"/>
      <c r="IE463" s="9"/>
      <c r="IF463" s="9"/>
      <c r="IG463" s="9"/>
      <c r="IH463" s="9"/>
      <c r="II463" s="9"/>
      <c r="IJ463" s="9"/>
      <c r="IK463" s="9"/>
      <c r="IL463" s="9"/>
      <c r="IM463" s="9"/>
      <c r="IN463" s="9"/>
      <c r="IO463" s="9"/>
      <c r="IP463" s="9"/>
      <c r="IQ463" s="9"/>
      <c r="IR463" s="9"/>
      <c r="IS463" s="9"/>
      <c r="IT463" s="9"/>
      <c r="IU463" s="9"/>
      <c r="IV463" s="9"/>
      <c r="IW463" s="9"/>
      <c r="IX463" s="9"/>
      <c r="IY463" s="9"/>
      <c r="IZ463" s="9"/>
      <c r="JA463" s="9"/>
      <c r="JB463" s="9"/>
      <c r="JC463" s="9"/>
      <c r="JD463" s="9"/>
      <c r="JE463" s="9"/>
      <c r="JF463" s="9"/>
      <c r="JG463" s="9"/>
      <c r="JH463" s="9"/>
      <c r="JI463" s="9"/>
      <c r="JJ463" s="9"/>
      <c r="JK463" s="9"/>
      <c r="JL463" s="9"/>
      <c r="JM463" s="9"/>
      <c r="JN463" s="9"/>
      <c r="JO463" s="9"/>
      <c r="JP463" s="9"/>
      <c r="JQ463" s="9"/>
      <c r="JR463" s="9"/>
      <c r="JS463" s="9"/>
      <c r="JT463" s="9"/>
      <c r="JU463" s="9"/>
      <c r="JV463" s="9"/>
      <c r="JW463" s="9"/>
      <c r="JX463" s="9"/>
      <c r="JY463" s="9"/>
      <c r="JZ463" s="9"/>
      <c r="KA463" s="9"/>
      <c r="KB463" s="9"/>
      <c r="KC463" s="9"/>
      <c r="KD463" s="9"/>
      <c r="KE463" s="9"/>
      <c r="KF463" s="9"/>
      <c r="KG463" s="9"/>
      <c r="KH463" s="9"/>
      <c r="KI463" s="9"/>
      <c r="KJ463" s="9"/>
      <c r="KK463" s="9"/>
      <c r="KL463" s="9"/>
      <c r="KM463" s="9"/>
      <c r="KN463" s="9"/>
      <c r="KO463" s="9"/>
      <c r="KP463" s="9"/>
      <c r="KQ463" s="9"/>
      <c r="KR463" s="9"/>
      <c r="KS463" s="9"/>
      <c r="KT463" s="9"/>
      <c r="KU463" s="9"/>
      <c r="KV463" s="9"/>
      <c r="KW463" s="9"/>
      <c r="KX463" s="9"/>
      <c r="KY463" s="9"/>
      <c r="KZ463" s="9"/>
      <c r="LA463" s="9"/>
      <c r="LB463" s="9"/>
      <c r="LC463" s="9"/>
      <c r="LD463" s="9"/>
      <c r="LE463" s="9"/>
      <c r="LF463" s="9"/>
      <c r="LG463" s="9"/>
      <c r="LH463" s="9"/>
      <c r="LI463" s="9"/>
      <c r="LJ463" s="9"/>
      <c r="LK463" s="9"/>
      <c r="LL463" s="9"/>
      <c r="LM463" s="9"/>
      <c r="LN463" s="9"/>
      <c r="LO463" s="9"/>
      <c r="LP463" s="9"/>
      <c r="LQ463" s="9"/>
      <c r="LR463" s="9"/>
      <c r="LS463" s="9"/>
      <c r="LT463" s="9"/>
      <c r="LU463" s="9"/>
      <c r="LV463" s="9"/>
      <c r="LW463" s="9"/>
      <c r="LX463" s="9"/>
      <c r="LY463" s="9"/>
      <c r="LZ463" s="9"/>
      <c r="MA463" s="9"/>
      <c r="MB463" s="9"/>
      <c r="MC463" s="9"/>
      <c r="MD463" s="9"/>
      <c r="ME463" s="9"/>
      <c r="MF463" s="9"/>
      <c r="MG463" s="9"/>
      <c r="MH463" s="9"/>
      <c r="MI463" s="9"/>
      <c r="MJ463" s="9"/>
      <c r="MK463" s="9"/>
      <c r="ML463" s="9"/>
      <c r="MM463" s="9"/>
      <c r="MN463" s="9"/>
      <c r="MO463" s="9"/>
      <c r="MP463" s="9"/>
      <c r="MQ463" s="9"/>
      <c r="MR463" s="9"/>
      <c r="MS463" s="9"/>
      <c r="MT463" s="9"/>
      <c r="MU463" s="9"/>
      <c r="MV463" s="9"/>
      <c r="MW463" s="9"/>
      <c r="MX463" s="9"/>
      <c r="MY463" s="9"/>
      <c r="MZ463" s="9"/>
      <c r="NA463" s="9"/>
      <c r="NB463" s="9"/>
      <c r="NC463" s="9"/>
      <c r="ND463" s="9"/>
      <c r="NE463" s="9"/>
      <c r="NF463" s="9"/>
      <c r="NG463" s="9"/>
      <c r="NH463" s="9"/>
      <c r="NI463" s="9"/>
      <c r="NJ463" s="9"/>
      <c r="NK463" s="9"/>
      <c r="NL463" s="9"/>
      <c r="NM463" s="9"/>
      <c r="NN463" s="9"/>
      <c r="NO463" s="9"/>
      <c r="NP463" s="9"/>
      <c r="NQ463" s="9"/>
      <c r="NR463" s="9"/>
      <c r="NS463" s="9"/>
      <c r="NT463" s="9"/>
      <c r="NU463" s="9"/>
      <c r="NV463" s="9"/>
      <c r="NW463" s="9"/>
      <c r="NX463" s="9"/>
      <c r="NY463" s="9"/>
      <c r="NZ463" s="9"/>
      <c r="OA463" s="9"/>
      <c r="OB463" s="9"/>
      <c r="OC463" s="9"/>
      <c r="OD463" s="9"/>
      <c r="OE463" s="9"/>
      <c r="OF463" s="9"/>
      <c r="OG463" s="9"/>
      <c r="OH463" s="9"/>
      <c r="OI463" s="9"/>
      <c r="OJ463" s="9"/>
      <c r="OK463" s="9"/>
      <c r="OL463" s="9"/>
      <c r="OM463" s="9"/>
      <c r="ON463" s="9"/>
      <c r="OO463" s="9"/>
      <c r="OP463" s="9"/>
      <c r="OQ463" s="9"/>
      <c r="OR463" s="9"/>
      <c r="OS463" s="9"/>
      <c r="OT463" s="9"/>
      <c r="OU463" s="9"/>
      <c r="OV463" s="9"/>
      <c r="OW463" s="9"/>
      <c r="OX463" s="9"/>
      <c r="OY463" s="9"/>
      <c r="OZ463" s="9"/>
      <c r="PA463" s="9"/>
      <c r="PB463" s="9"/>
      <c r="PC463" s="9"/>
      <c r="PD463" s="9"/>
      <c r="PE463" s="9"/>
      <c r="PF463" s="9"/>
      <c r="PG463" s="9"/>
      <c r="PH463" s="9"/>
      <c r="PI463" s="9"/>
      <c r="PJ463" s="9"/>
      <c r="PK463" s="9"/>
      <c r="PL463" s="9"/>
      <c r="PM463" s="9"/>
      <c r="PN463" s="9"/>
      <c r="PO463" s="9"/>
      <c r="PP463" s="9"/>
      <c r="PQ463" s="9"/>
      <c r="PR463" s="9"/>
      <c r="PS463" s="9"/>
      <c r="PT463" s="9"/>
      <c r="PU463" s="9"/>
      <c r="PV463" s="9"/>
      <c r="PW463" s="9"/>
      <c r="PX463" s="9"/>
      <c r="PY463" s="9"/>
      <c r="PZ463" s="9"/>
      <c r="QA463" s="9"/>
      <c r="QB463" s="9"/>
      <c r="QC463" s="9"/>
      <c r="QD463" s="9"/>
      <c r="QE463" s="9"/>
      <c r="QF463" s="9"/>
      <c r="QG463" s="9"/>
      <c r="QH463" s="9"/>
      <c r="QI463" s="9"/>
      <c r="QJ463" s="9"/>
      <c r="QK463" s="9"/>
      <c r="QL463" s="9"/>
      <c r="QM463" s="9"/>
      <c r="QN463" s="9"/>
      <c r="QO463" s="9"/>
      <c r="QP463" s="9"/>
      <c r="QQ463" s="9"/>
      <c r="QR463" s="9"/>
      <c r="QS463" s="9"/>
      <c r="QT463" s="9"/>
      <c r="QU463" s="9"/>
      <c r="QV463" s="9"/>
      <c r="QW463" s="9"/>
      <c r="QX463" s="9"/>
      <c r="QY463" s="9"/>
      <c r="QZ463" s="9"/>
      <c r="RA463" s="9"/>
      <c r="RB463" s="9"/>
      <c r="RC463" s="9"/>
      <c r="RD463" s="9"/>
      <c r="RE463" s="9"/>
      <c r="RF463" s="9"/>
      <c r="RG463" s="9"/>
      <c r="RH463" s="9"/>
      <c r="RI463" s="9"/>
      <c r="RJ463" s="9"/>
      <c r="RK463" s="9"/>
      <c r="RL463" s="9"/>
      <c r="RM463" s="9"/>
      <c r="RN463" s="9"/>
      <c r="RO463" s="9"/>
      <c r="RP463" s="9"/>
      <c r="RQ463" s="9"/>
      <c r="RR463" s="9"/>
      <c r="RS463" s="9"/>
      <c r="RT463" s="9"/>
      <c r="RU463" s="9"/>
      <c r="RV463" s="9"/>
      <c r="RW463" s="9"/>
      <c r="RX463" s="9"/>
      <c r="RY463" s="9"/>
      <c r="RZ463" s="9"/>
      <c r="SA463" s="9"/>
      <c r="SB463" s="9"/>
      <c r="SC463" s="9"/>
      <c r="SD463" s="9"/>
      <c r="SE463" s="9"/>
      <c r="SF463" s="9"/>
      <c r="SG463" s="9"/>
      <c r="SH463" s="9"/>
      <c r="SI463" s="9"/>
      <c r="SJ463" s="9"/>
      <c r="SK463" s="9"/>
      <c r="SL463" s="9"/>
      <c r="SM463" s="9"/>
      <c r="SN463" s="9"/>
      <c r="SO463" s="9"/>
      <c r="SP463" s="9"/>
      <c r="SQ463" s="9"/>
      <c r="SR463" s="9"/>
      <c r="SS463" s="9"/>
      <c r="ST463" s="9"/>
      <c r="SU463" s="9"/>
      <c r="SV463" s="9"/>
      <c r="SW463" s="9"/>
      <c r="SX463" s="9"/>
      <c r="SY463" s="9"/>
      <c r="SZ463" s="9"/>
      <c r="TA463" s="9"/>
      <c r="TB463" s="9"/>
      <c r="TC463" s="9"/>
      <c r="TD463" s="9"/>
      <c r="TE463" s="9"/>
      <c r="TF463" s="9"/>
      <c r="TG463" s="9"/>
      <c r="TH463" s="9"/>
      <c r="TI463" s="9"/>
      <c r="TJ463" s="9"/>
      <c r="TK463" s="9"/>
      <c r="TL463" s="9"/>
      <c r="TM463" s="9"/>
      <c r="TN463" s="9"/>
      <c r="TO463" s="9"/>
      <c r="TP463" s="9"/>
      <c r="TQ463" s="9"/>
      <c r="TR463" s="9"/>
      <c r="TS463" s="9"/>
      <c r="TT463" s="9"/>
      <c r="TU463" s="9"/>
      <c r="TV463" s="9"/>
      <c r="TW463" s="9"/>
      <c r="TX463" s="9"/>
      <c r="TY463" s="9"/>
      <c r="TZ463" s="9"/>
      <c r="UA463" s="9"/>
      <c r="UB463" s="9"/>
      <c r="UC463" s="9"/>
      <c r="UD463" s="9"/>
      <c r="UE463" s="9"/>
      <c r="UF463" s="9"/>
      <c r="UG463" s="9"/>
      <c r="UH463" s="9"/>
      <c r="UI463" s="9"/>
      <c r="UJ463" s="9"/>
    </row>
    <row r="464">
      <c r="A464" s="8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  <c r="IC464" s="9"/>
      <c r="ID464" s="9"/>
      <c r="IE464" s="9"/>
      <c r="IF464" s="9"/>
      <c r="IG464" s="9"/>
      <c r="IH464" s="9"/>
      <c r="II464" s="9"/>
      <c r="IJ464" s="9"/>
      <c r="IK464" s="9"/>
      <c r="IL464" s="9"/>
      <c r="IM464" s="9"/>
      <c r="IN464" s="9"/>
      <c r="IO464" s="9"/>
      <c r="IP464" s="9"/>
      <c r="IQ464" s="9"/>
      <c r="IR464" s="9"/>
      <c r="IS464" s="9"/>
      <c r="IT464" s="9"/>
      <c r="IU464" s="9"/>
      <c r="IV464" s="9"/>
      <c r="IW464" s="9"/>
      <c r="IX464" s="9"/>
      <c r="IY464" s="9"/>
      <c r="IZ464" s="9"/>
      <c r="JA464" s="9"/>
      <c r="JB464" s="9"/>
      <c r="JC464" s="9"/>
      <c r="JD464" s="9"/>
      <c r="JE464" s="9"/>
      <c r="JF464" s="9"/>
      <c r="JG464" s="9"/>
      <c r="JH464" s="9"/>
      <c r="JI464" s="9"/>
      <c r="JJ464" s="9"/>
      <c r="JK464" s="9"/>
      <c r="JL464" s="9"/>
      <c r="JM464" s="9"/>
      <c r="JN464" s="9"/>
      <c r="JO464" s="9"/>
      <c r="JP464" s="9"/>
      <c r="JQ464" s="9"/>
      <c r="JR464" s="9"/>
      <c r="JS464" s="9"/>
      <c r="JT464" s="9"/>
      <c r="JU464" s="9"/>
      <c r="JV464" s="9"/>
      <c r="JW464" s="9"/>
      <c r="JX464" s="9"/>
      <c r="JY464" s="9"/>
      <c r="JZ464" s="9"/>
      <c r="KA464" s="9"/>
      <c r="KB464" s="9"/>
      <c r="KC464" s="9"/>
      <c r="KD464" s="9"/>
      <c r="KE464" s="9"/>
      <c r="KF464" s="9"/>
      <c r="KG464" s="9"/>
      <c r="KH464" s="9"/>
      <c r="KI464" s="9"/>
      <c r="KJ464" s="9"/>
      <c r="KK464" s="9"/>
      <c r="KL464" s="9"/>
      <c r="KM464" s="9"/>
      <c r="KN464" s="9"/>
      <c r="KO464" s="9"/>
      <c r="KP464" s="9"/>
      <c r="KQ464" s="9"/>
      <c r="KR464" s="9"/>
      <c r="KS464" s="9"/>
      <c r="KT464" s="9"/>
      <c r="KU464" s="9"/>
      <c r="KV464" s="9"/>
      <c r="KW464" s="9"/>
      <c r="KX464" s="9"/>
      <c r="KY464" s="9"/>
      <c r="KZ464" s="9"/>
      <c r="LA464" s="9"/>
      <c r="LB464" s="9"/>
      <c r="LC464" s="9"/>
      <c r="LD464" s="9"/>
      <c r="LE464" s="9"/>
      <c r="LF464" s="9"/>
      <c r="LG464" s="9"/>
      <c r="LH464" s="9"/>
      <c r="LI464" s="9"/>
      <c r="LJ464" s="9"/>
      <c r="LK464" s="9"/>
      <c r="LL464" s="9"/>
      <c r="LM464" s="9"/>
      <c r="LN464" s="9"/>
      <c r="LO464" s="9"/>
      <c r="LP464" s="9"/>
      <c r="LQ464" s="9"/>
      <c r="LR464" s="9"/>
      <c r="LS464" s="9"/>
      <c r="LT464" s="9"/>
      <c r="LU464" s="9"/>
      <c r="LV464" s="9"/>
      <c r="LW464" s="9"/>
      <c r="LX464" s="9"/>
      <c r="LY464" s="9"/>
      <c r="LZ464" s="9"/>
      <c r="MA464" s="9"/>
      <c r="MB464" s="9"/>
      <c r="MC464" s="9"/>
      <c r="MD464" s="9"/>
      <c r="ME464" s="9"/>
      <c r="MF464" s="9"/>
      <c r="MG464" s="9"/>
      <c r="MH464" s="9"/>
      <c r="MI464" s="9"/>
      <c r="MJ464" s="9"/>
      <c r="MK464" s="9"/>
      <c r="ML464" s="9"/>
      <c r="MM464" s="9"/>
      <c r="MN464" s="9"/>
      <c r="MO464" s="9"/>
      <c r="MP464" s="9"/>
      <c r="MQ464" s="9"/>
      <c r="MR464" s="9"/>
      <c r="MS464" s="9"/>
      <c r="MT464" s="9"/>
      <c r="MU464" s="9"/>
      <c r="MV464" s="9"/>
      <c r="MW464" s="9"/>
      <c r="MX464" s="9"/>
      <c r="MY464" s="9"/>
      <c r="MZ464" s="9"/>
      <c r="NA464" s="9"/>
      <c r="NB464" s="9"/>
      <c r="NC464" s="9"/>
      <c r="ND464" s="9"/>
      <c r="NE464" s="9"/>
      <c r="NF464" s="9"/>
      <c r="NG464" s="9"/>
      <c r="NH464" s="9"/>
      <c r="NI464" s="9"/>
      <c r="NJ464" s="9"/>
      <c r="NK464" s="9"/>
      <c r="NL464" s="9"/>
      <c r="NM464" s="9"/>
      <c r="NN464" s="9"/>
      <c r="NO464" s="9"/>
      <c r="NP464" s="9"/>
      <c r="NQ464" s="9"/>
      <c r="NR464" s="9"/>
      <c r="NS464" s="9"/>
      <c r="NT464" s="9"/>
      <c r="NU464" s="9"/>
      <c r="NV464" s="9"/>
      <c r="NW464" s="9"/>
      <c r="NX464" s="9"/>
      <c r="NY464" s="9"/>
      <c r="NZ464" s="9"/>
      <c r="OA464" s="9"/>
      <c r="OB464" s="9"/>
      <c r="OC464" s="9"/>
      <c r="OD464" s="9"/>
      <c r="OE464" s="9"/>
      <c r="OF464" s="9"/>
      <c r="OG464" s="9"/>
      <c r="OH464" s="9"/>
      <c r="OI464" s="9"/>
      <c r="OJ464" s="9"/>
      <c r="OK464" s="9"/>
      <c r="OL464" s="9"/>
      <c r="OM464" s="9"/>
      <c r="ON464" s="9"/>
      <c r="OO464" s="9"/>
      <c r="OP464" s="9"/>
      <c r="OQ464" s="9"/>
      <c r="OR464" s="9"/>
      <c r="OS464" s="9"/>
      <c r="OT464" s="9"/>
      <c r="OU464" s="9"/>
      <c r="OV464" s="9"/>
      <c r="OW464" s="9"/>
      <c r="OX464" s="9"/>
      <c r="OY464" s="9"/>
      <c r="OZ464" s="9"/>
      <c r="PA464" s="9"/>
      <c r="PB464" s="9"/>
      <c r="PC464" s="9"/>
      <c r="PD464" s="9"/>
      <c r="PE464" s="9"/>
      <c r="PF464" s="9"/>
      <c r="PG464" s="9"/>
      <c r="PH464" s="9"/>
      <c r="PI464" s="9"/>
      <c r="PJ464" s="9"/>
      <c r="PK464" s="9"/>
      <c r="PL464" s="9"/>
      <c r="PM464" s="9"/>
      <c r="PN464" s="9"/>
      <c r="PO464" s="9"/>
      <c r="PP464" s="9"/>
      <c r="PQ464" s="9"/>
      <c r="PR464" s="9"/>
      <c r="PS464" s="9"/>
      <c r="PT464" s="9"/>
      <c r="PU464" s="9"/>
      <c r="PV464" s="9"/>
      <c r="PW464" s="9"/>
      <c r="PX464" s="9"/>
      <c r="PY464" s="9"/>
      <c r="PZ464" s="9"/>
      <c r="QA464" s="9"/>
      <c r="QB464" s="9"/>
      <c r="QC464" s="9"/>
      <c r="QD464" s="9"/>
      <c r="QE464" s="9"/>
      <c r="QF464" s="9"/>
      <c r="QG464" s="9"/>
      <c r="QH464" s="9"/>
      <c r="QI464" s="9"/>
      <c r="QJ464" s="9"/>
      <c r="QK464" s="9"/>
      <c r="QL464" s="9"/>
      <c r="QM464" s="9"/>
      <c r="QN464" s="9"/>
      <c r="QO464" s="9"/>
      <c r="QP464" s="9"/>
      <c r="QQ464" s="9"/>
      <c r="QR464" s="9"/>
      <c r="QS464" s="9"/>
      <c r="QT464" s="9"/>
      <c r="QU464" s="9"/>
      <c r="QV464" s="9"/>
      <c r="QW464" s="9"/>
      <c r="QX464" s="9"/>
      <c r="QY464" s="9"/>
      <c r="QZ464" s="9"/>
      <c r="RA464" s="9"/>
      <c r="RB464" s="9"/>
      <c r="RC464" s="9"/>
      <c r="RD464" s="9"/>
      <c r="RE464" s="9"/>
      <c r="RF464" s="9"/>
      <c r="RG464" s="9"/>
      <c r="RH464" s="9"/>
      <c r="RI464" s="9"/>
      <c r="RJ464" s="9"/>
      <c r="RK464" s="9"/>
      <c r="RL464" s="9"/>
      <c r="RM464" s="9"/>
      <c r="RN464" s="9"/>
      <c r="RO464" s="9"/>
      <c r="RP464" s="9"/>
      <c r="RQ464" s="9"/>
      <c r="RR464" s="9"/>
      <c r="RS464" s="9"/>
      <c r="RT464" s="9"/>
      <c r="RU464" s="9"/>
      <c r="RV464" s="9"/>
      <c r="RW464" s="9"/>
      <c r="RX464" s="9"/>
      <c r="RY464" s="9"/>
      <c r="RZ464" s="9"/>
      <c r="SA464" s="9"/>
      <c r="SB464" s="9"/>
      <c r="SC464" s="9"/>
      <c r="SD464" s="9"/>
      <c r="SE464" s="9"/>
      <c r="SF464" s="9"/>
      <c r="SG464" s="9"/>
      <c r="SH464" s="9"/>
      <c r="SI464" s="9"/>
      <c r="SJ464" s="9"/>
      <c r="SK464" s="9"/>
      <c r="SL464" s="9"/>
      <c r="SM464" s="9"/>
      <c r="SN464" s="9"/>
      <c r="SO464" s="9"/>
      <c r="SP464" s="9"/>
      <c r="SQ464" s="9"/>
      <c r="SR464" s="9"/>
      <c r="SS464" s="9"/>
      <c r="ST464" s="9"/>
      <c r="SU464" s="9"/>
      <c r="SV464" s="9"/>
      <c r="SW464" s="9"/>
      <c r="SX464" s="9"/>
      <c r="SY464" s="9"/>
      <c r="SZ464" s="9"/>
      <c r="TA464" s="9"/>
      <c r="TB464" s="9"/>
      <c r="TC464" s="9"/>
      <c r="TD464" s="9"/>
      <c r="TE464" s="9"/>
      <c r="TF464" s="9"/>
      <c r="TG464" s="9"/>
      <c r="TH464" s="9"/>
      <c r="TI464" s="9"/>
      <c r="TJ464" s="9"/>
      <c r="TK464" s="9"/>
      <c r="TL464" s="9"/>
      <c r="TM464" s="9"/>
      <c r="TN464" s="9"/>
      <c r="TO464" s="9"/>
      <c r="TP464" s="9"/>
      <c r="TQ464" s="9"/>
      <c r="TR464" s="9"/>
      <c r="TS464" s="9"/>
      <c r="TT464" s="9"/>
      <c r="TU464" s="9"/>
      <c r="TV464" s="9"/>
      <c r="TW464" s="9"/>
      <c r="TX464" s="9"/>
      <c r="TY464" s="9"/>
      <c r="TZ464" s="9"/>
      <c r="UA464" s="9"/>
      <c r="UB464" s="9"/>
      <c r="UC464" s="9"/>
      <c r="UD464" s="9"/>
      <c r="UE464" s="9"/>
      <c r="UF464" s="9"/>
      <c r="UG464" s="9"/>
      <c r="UH464" s="9"/>
      <c r="UI464" s="9"/>
      <c r="UJ464" s="9"/>
    </row>
    <row r="465">
      <c r="A465" s="8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  <c r="IN465" s="9"/>
      <c r="IO465" s="9"/>
      <c r="IP465" s="9"/>
      <c r="IQ465" s="9"/>
      <c r="IR465" s="9"/>
      <c r="IS465" s="9"/>
      <c r="IT465" s="9"/>
      <c r="IU465" s="9"/>
      <c r="IV465" s="9"/>
      <c r="IW465" s="9"/>
      <c r="IX465" s="9"/>
      <c r="IY465" s="9"/>
      <c r="IZ465" s="9"/>
      <c r="JA465" s="9"/>
      <c r="JB465" s="9"/>
      <c r="JC465" s="9"/>
      <c r="JD465" s="9"/>
      <c r="JE465" s="9"/>
      <c r="JF465" s="9"/>
      <c r="JG465" s="9"/>
      <c r="JH465" s="9"/>
      <c r="JI465" s="9"/>
      <c r="JJ465" s="9"/>
      <c r="JK465" s="9"/>
      <c r="JL465" s="9"/>
      <c r="JM465" s="9"/>
      <c r="JN465" s="9"/>
      <c r="JO465" s="9"/>
      <c r="JP465" s="9"/>
      <c r="JQ465" s="9"/>
      <c r="JR465" s="9"/>
      <c r="JS465" s="9"/>
      <c r="JT465" s="9"/>
      <c r="JU465" s="9"/>
      <c r="JV465" s="9"/>
      <c r="JW465" s="9"/>
      <c r="JX465" s="9"/>
      <c r="JY465" s="9"/>
      <c r="JZ465" s="9"/>
      <c r="KA465" s="9"/>
      <c r="KB465" s="9"/>
      <c r="KC465" s="9"/>
      <c r="KD465" s="9"/>
      <c r="KE465" s="9"/>
      <c r="KF465" s="9"/>
      <c r="KG465" s="9"/>
      <c r="KH465" s="9"/>
      <c r="KI465" s="9"/>
      <c r="KJ465" s="9"/>
      <c r="KK465" s="9"/>
      <c r="KL465" s="9"/>
      <c r="KM465" s="9"/>
      <c r="KN465" s="9"/>
      <c r="KO465" s="9"/>
      <c r="KP465" s="9"/>
      <c r="KQ465" s="9"/>
      <c r="KR465" s="9"/>
      <c r="KS465" s="9"/>
      <c r="KT465" s="9"/>
      <c r="KU465" s="9"/>
      <c r="KV465" s="9"/>
      <c r="KW465" s="9"/>
      <c r="KX465" s="9"/>
      <c r="KY465" s="9"/>
      <c r="KZ465" s="9"/>
      <c r="LA465" s="9"/>
      <c r="LB465" s="9"/>
      <c r="LC465" s="9"/>
      <c r="LD465" s="9"/>
      <c r="LE465" s="9"/>
      <c r="LF465" s="9"/>
      <c r="LG465" s="9"/>
      <c r="LH465" s="9"/>
      <c r="LI465" s="9"/>
      <c r="LJ465" s="9"/>
      <c r="LK465" s="9"/>
      <c r="LL465" s="9"/>
      <c r="LM465" s="9"/>
      <c r="LN465" s="9"/>
      <c r="LO465" s="9"/>
      <c r="LP465" s="9"/>
      <c r="LQ465" s="9"/>
      <c r="LR465" s="9"/>
      <c r="LS465" s="9"/>
      <c r="LT465" s="9"/>
      <c r="LU465" s="9"/>
      <c r="LV465" s="9"/>
      <c r="LW465" s="9"/>
      <c r="LX465" s="9"/>
      <c r="LY465" s="9"/>
      <c r="LZ465" s="9"/>
      <c r="MA465" s="9"/>
      <c r="MB465" s="9"/>
      <c r="MC465" s="9"/>
      <c r="MD465" s="9"/>
      <c r="ME465" s="9"/>
      <c r="MF465" s="9"/>
      <c r="MG465" s="9"/>
      <c r="MH465" s="9"/>
      <c r="MI465" s="9"/>
      <c r="MJ465" s="9"/>
      <c r="MK465" s="9"/>
      <c r="ML465" s="9"/>
      <c r="MM465" s="9"/>
      <c r="MN465" s="9"/>
      <c r="MO465" s="9"/>
      <c r="MP465" s="9"/>
      <c r="MQ465" s="9"/>
      <c r="MR465" s="9"/>
      <c r="MS465" s="9"/>
      <c r="MT465" s="9"/>
      <c r="MU465" s="9"/>
      <c r="MV465" s="9"/>
      <c r="MW465" s="9"/>
      <c r="MX465" s="9"/>
      <c r="MY465" s="9"/>
      <c r="MZ465" s="9"/>
      <c r="NA465" s="9"/>
      <c r="NB465" s="9"/>
      <c r="NC465" s="9"/>
      <c r="ND465" s="9"/>
      <c r="NE465" s="9"/>
      <c r="NF465" s="9"/>
      <c r="NG465" s="9"/>
      <c r="NH465" s="9"/>
      <c r="NI465" s="9"/>
      <c r="NJ465" s="9"/>
      <c r="NK465" s="9"/>
      <c r="NL465" s="9"/>
      <c r="NM465" s="9"/>
      <c r="NN465" s="9"/>
      <c r="NO465" s="9"/>
      <c r="NP465" s="9"/>
      <c r="NQ465" s="9"/>
      <c r="NR465" s="9"/>
      <c r="NS465" s="9"/>
      <c r="NT465" s="9"/>
      <c r="NU465" s="9"/>
      <c r="NV465" s="9"/>
      <c r="NW465" s="9"/>
      <c r="NX465" s="9"/>
      <c r="NY465" s="9"/>
      <c r="NZ465" s="9"/>
      <c r="OA465" s="9"/>
      <c r="OB465" s="9"/>
      <c r="OC465" s="9"/>
      <c r="OD465" s="9"/>
      <c r="OE465" s="9"/>
      <c r="OF465" s="9"/>
      <c r="OG465" s="9"/>
      <c r="OH465" s="9"/>
      <c r="OI465" s="9"/>
      <c r="OJ465" s="9"/>
      <c r="OK465" s="9"/>
      <c r="OL465" s="9"/>
      <c r="OM465" s="9"/>
      <c r="ON465" s="9"/>
      <c r="OO465" s="9"/>
      <c r="OP465" s="9"/>
      <c r="OQ465" s="9"/>
      <c r="OR465" s="9"/>
      <c r="OS465" s="9"/>
      <c r="OT465" s="9"/>
      <c r="OU465" s="9"/>
      <c r="OV465" s="9"/>
      <c r="OW465" s="9"/>
      <c r="OX465" s="9"/>
      <c r="OY465" s="9"/>
      <c r="OZ465" s="9"/>
      <c r="PA465" s="9"/>
      <c r="PB465" s="9"/>
      <c r="PC465" s="9"/>
      <c r="PD465" s="9"/>
      <c r="PE465" s="9"/>
      <c r="PF465" s="9"/>
      <c r="PG465" s="9"/>
      <c r="PH465" s="9"/>
      <c r="PI465" s="9"/>
      <c r="PJ465" s="9"/>
      <c r="PK465" s="9"/>
      <c r="PL465" s="9"/>
      <c r="PM465" s="9"/>
      <c r="PN465" s="9"/>
      <c r="PO465" s="9"/>
      <c r="PP465" s="9"/>
      <c r="PQ465" s="9"/>
      <c r="PR465" s="9"/>
      <c r="PS465" s="9"/>
      <c r="PT465" s="9"/>
      <c r="PU465" s="9"/>
      <c r="PV465" s="9"/>
      <c r="PW465" s="9"/>
      <c r="PX465" s="9"/>
      <c r="PY465" s="9"/>
      <c r="PZ465" s="9"/>
      <c r="QA465" s="9"/>
      <c r="QB465" s="9"/>
      <c r="QC465" s="9"/>
      <c r="QD465" s="9"/>
      <c r="QE465" s="9"/>
      <c r="QF465" s="9"/>
      <c r="QG465" s="9"/>
      <c r="QH465" s="9"/>
      <c r="QI465" s="9"/>
      <c r="QJ465" s="9"/>
      <c r="QK465" s="9"/>
      <c r="QL465" s="9"/>
      <c r="QM465" s="9"/>
      <c r="QN465" s="9"/>
      <c r="QO465" s="9"/>
      <c r="QP465" s="9"/>
      <c r="QQ465" s="9"/>
      <c r="QR465" s="9"/>
      <c r="QS465" s="9"/>
      <c r="QT465" s="9"/>
      <c r="QU465" s="9"/>
      <c r="QV465" s="9"/>
      <c r="QW465" s="9"/>
      <c r="QX465" s="9"/>
      <c r="QY465" s="9"/>
      <c r="QZ465" s="9"/>
      <c r="RA465" s="9"/>
      <c r="RB465" s="9"/>
      <c r="RC465" s="9"/>
      <c r="RD465" s="9"/>
      <c r="RE465" s="9"/>
      <c r="RF465" s="9"/>
      <c r="RG465" s="9"/>
      <c r="RH465" s="9"/>
      <c r="RI465" s="9"/>
      <c r="RJ465" s="9"/>
      <c r="RK465" s="9"/>
      <c r="RL465" s="9"/>
      <c r="RM465" s="9"/>
      <c r="RN465" s="9"/>
      <c r="RO465" s="9"/>
      <c r="RP465" s="9"/>
      <c r="RQ465" s="9"/>
      <c r="RR465" s="9"/>
      <c r="RS465" s="9"/>
      <c r="RT465" s="9"/>
      <c r="RU465" s="9"/>
      <c r="RV465" s="9"/>
      <c r="RW465" s="9"/>
      <c r="RX465" s="9"/>
      <c r="RY465" s="9"/>
      <c r="RZ465" s="9"/>
      <c r="SA465" s="9"/>
      <c r="SB465" s="9"/>
      <c r="SC465" s="9"/>
      <c r="SD465" s="9"/>
      <c r="SE465" s="9"/>
      <c r="SF465" s="9"/>
      <c r="SG465" s="9"/>
      <c r="SH465" s="9"/>
      <c r="SI465" s="9"/>
      <c r="SJ465" s="9"/>
      <c r="SK465" s="9"/>
      <c r="SL465" s="9"/>
      <c r="SM465" s="9"/>
      <c r="SN465" s="9"/>
      <c r="SO465" s="9"/>
      <c r="SP465" s="9"/>
      <c r="SQ465" s="9"/>
      <c r="SR465" s="9"/>
      <c r="SS465" s="9"/>
      <c r="ST465" s="9"/>
      <c r="SU465" s="9"/>
      <c r="SV465" s="9"/>
      <c r="SW465" s="9"/>
      <c r="SX465" s="9"/>
      <c r="SY465" s="9"/>
      <c r="SZ465" s="9"/>
      <c r="TA465" s="9"/>
      <c r="TB465" s="9"/>
      <c r="TC465" s="9"/>
      <c r="TD465" s="9"/>
      <c r="TE465" s="9"/>
      <c r="TF465" s="9"/>
      <c r="TG465" s="9"/>
      <c r="TH465" s="9"/>
      <c r="TI465" s="9"/>
      <c r="TJ465" s="9"/>
      <c r="TK465" s="9"/>
      <c r="TL465" s="9"/>
      <c r="TM465" s="9"/>
      <c r="TN465" s="9"/>
      <c r="TO465" s="9"/>
      <c r="TP465" s="9"/>
      <c r="TQ465" s="9"/>
      <c r="TR465" s="9"/>
      <c r="TS465" s="9"/>
      <c r="TT465" s="9"/>
      <c r="TU465" s="9"/>
      <c r="TV465" s="9"/>
      <c r="TW465" s="9"/>
      <c r="TX465" s="9"/>
      <c r="TY465" s="9"/>
      <c r="TZ465" s="9"/>
      <c r="UA465" s="9"/>
      <c r="UB465" s="9"/>
      <c r="UC465" s="9"/>
      <c r="UD465" s="9"/>
      <c r="UE465" s="9"/>
      <c r="UF465" s="9"/>
      <c r="UG465" s="9"/>
      <c r="UH465" s="9"/>
      <c r="UI465" s="9"/>
      <c r="UJ465" s="9"/>
    </row>
    <row r="466">
      <c r="A466" s="8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  <c r="IC466" s="9"/>
      <c r="ID466" s="9"/>
      <c r="IE466" s="9"/>
      <c r="IF466" s="9"/>
      <c r="IG466" s="9"/>
      <c r="IH466" s="9"/>
      <c r="II466" s="9"/>
      <c r="IJ466" s="9"/>
      <c r="IK466" s="9"/>
      <c r="IL466" s="9"/>
      <c r="IM466" s="9"/>
      <c r="IN466" s="9"/>
      <c r="IO466" s="9"/>
      <c r="IP466" s="9"/>
      <c r="IQ466" s="9"/>
      <c r="IR466" s="9"/>
      <c r="IS466" s="9"/>
      <c r="IT466" s="9"/>
      <c r="IU466" s="9"/>
      <c r="IV466" s="9"/>
      <c r="IW466" s="9"/>
      <c r="IX466" s="9"/>
      <c r="IY466" s="9"/>
      <c r="IZ466" s="9"/>
      <c r="JA466" s="9"/>
      <c r="JB466" s="9"/>
      <c r="JC466" s="9"/>
      <c r="JD466" s="9"/>
      <c r="JE466" s="9"/>
      <c r="JF466" s="9"/>
      <c r="JG466" s="9"/>
      <c r="JH466" s="9"/>
      <c r="JI466" s="9"/>
      <c r="JJ466" s="9"/>
      <c r="JK466" s="9"/>
      <c r="JL466" s="9"/>
      <c r="JM466" s="9"/>
      <c r="JN466" s="9"/>
      <c r="JO466" s="9"/>
      <c r="JP466" s="9"/>
      <c r="JQ466" s="9"/>
      <c r="JR466" s="9"/>
      <c r="JS466" s="9"/>
      <c r="JT466" s="9"/>
      <c r="JU466" s="9"/>
      <c r="JV466" s="9"/>
      <c r="JW466" s="9"/>
      <c r="JX466" s="9"/>
      <c r="JY466" s="9"/>
      <c r="JZ466" s="9"/>
      <c r="KA466" s="9"/>
      <c r="KB466" s="9"/>
      <c r="KC466" s="9"/>
      <c r="KD466" s="9"/>
      <c r="KE466" s="9"/>
      <c r="KF466" s="9"/>
      <c r="KG466" s="9"/>
      <c r="KH466" s="9"/>
      <c r="KI466" s="9"/>
      <c r="KJ466" s="9"/>
      <c r="KK466" s="9"/>
      <c r="KL466" s="9"/>
      <c r="KM466" s="9"/>
      <c r="KN466" s="9"/>
      <c r="KO466" s="9"/>
      <c r="KP466" s="9"/>
      <c r="KQ466" s="9"/>
      <c r="KR466" s="9"/>
      <c r="KS466" s="9"/>
      <c r="KT466" s="9"/>
      <c r="KU466" s="9"/>
      <c r="KV466" s="9"/>
      <c r="KW466" s="9"/>
      <c r="KX466" s="9"/>
      <c r="KY466" s="9"/>
      <c r="KZ466" s="9"/>
      <c r="LA466" s="9"/>
      <c r="LB466" s="9"/>
      <c r="LC466" s="9"/>
      <c r="LD466" s="9"/>
      <c r="LE466" s="9"/>
      <c r="LF466" s="9"/>
      <c r="LG466" s="9"/>
      <c r="LH466" s="9"/>
      <c r="LI466" s="9"/>
      <c r="LJ466" s="9"/>
      <c r="LK466" s="9"/>
      <c r="LL466" s="9"/>
      <c r="LM466" s="9"/>
      <c r="LN466" s="9"/>
      <c r="LO466" s="9"/>
      <c r="LP466" s="9"/>
      <c r="LQ466" s="9"/>
      <c r="LR466" s="9"/>
      <c r="LS466" s="9"/>
      <c r="LT466" s="9"/>
      <c r="LU466" s="9"/>
      <c r="LV466" s="9"/>
      <c r="LW466" s="9"/>
      <c r="LX466" s="9"/>
      <c r="LY466" s="9"/>
      <c r="LZ466" s="9"/>
      <c r="MA466" s="9"/>
      <c r="MB466" s="9"/>
      <c r="MC466" s="9"/>
      <c r="MD466" s="9"/>
      <c r="ME466" s="9"/>
      <c r="MF466" s="9"/>
      <c r="MG466" s="9"/>
      <c r="MH466" s="9"/>
      <c r="MI466" s="9"/>
      <c r="MJ466" s="9"/>
      <c r="MK466" s="9"/>
      <c r="ML466" s="9"/>
      <c r="MM466" s="9"/>
      <c r="MN466" s="9"/>
      <c r="MO466" s="9"/>
      <c r="MP466" s="9"/>
      <c r="MQ466" s="9"/>
      <c r="MR466" s="9"/>
      <c r="MS466" s="9"/>
      <c r="MT466" s="9"/>
      <c r="MU466" s="9"/>
      <c r="MV466" s="9"/>
      <c r="MW466" s="9"/>
      <c r="MX466" s="9"/>
      <c r="MY466" s="9"/>
      <c r="MZ466" s="9"/>
      <c r="NA466" s="9"/>
      <c r="NB466" s="9"/>
      <c r="NC466" s="9"/>
      <c r="ND466" s="9"/>
      <c r="NE466" s="9"/>
      <c r="NF466" s="9"/>
      <c r="NG466" s="9"/>
      <c r="NH466" s="9"/>
      <c r="NI466" s="9"/>
      <c r="NJ466" s="9"/>
      <c r="NK466" s="9"/>
      <c r="NL466" s="9"/>
      <c r="NM466" s="9"/>
      <c r="NN466" s="9"/>
      <c r="NO466" s="9"/>
      <c r="NP466" s="9"/>
      <c r="NQ466" s="9"/>
      <c r="NR466" s="9"/>
      <c r="NS466" s="9"/>
      <c r="NT466" s="9"/>
      <c r="NU466" s="9"/>
      <c r="NV466" s="9"/>
      <c r="NW466" s="9"/>
      <c r="NX466" s="9"/>
      <c r="NY466" s="9"/>
      <c r="NZ466" s="9"/>
      <c r="OA466" s="9"/>
      <c r="OB466" s="9"/>
      <c r="OC466" s="9"/>
      <c r="OD466" s="9"/>
      <c r="OE466" s="9"/>
      <c r="OF466" s="9"/>
      <c r="OG466" s="9"/>
      <c r="OH466" s="9"/>
      <c r="OI466" s="9"/>
      <c r="OJ466" s="9"/>
      <c r="OK466" s="9"/>
      <c r="OL466" s="9"/>
      <c r="OM466" s="9"/>
      <c r="ON466" s="9"/>
      <c r="OO466" s="9"/>
      <c r="OP466" s="9"/>
      <c r="OQ466" s="9"/>
      <c r="OR466" s="9"/>
      <c r="OS466" s="9"/>
      <c r="OT466" s="9"/>
      <c r="OU466" s="9"/>
      <c r="OV466" s="9"/>
      <c r="OW466" s="9"/>
      <c r="OX466" s="9"/>
      <c r="OY466" s="9"/>
      <c r="OZ466" s="9"/>
      <c r="PA466" s="9"/>
      <c r="PB466" s="9"/>
      <c r="PC466" s="9"/>
      <c r="PD466" s="9"/>
      <c r="PE466" s="9"/>
      <c r="PF466" s="9"/>
      <c r="PG466" s="9"/>
      <c r="PH466" s="9"/>
      <c r="PI466" s="9"/>
      <c r="PJ466" s="9"/>
      <c r="PK466" s="9"/>
      <c r="PL466" s="9"/>
      <c r="PM466" s="9"/>
      <c r="PN466" s="9"/>
      <c r="PO466" s="9"/>
      <c r="PP466" s="9"/>
      <c r="PQ466" s="9"/>
      <c r="PR466" s="9"/>
      <c r="PS466" s="9"/>
      <c r="PT466" s="9"/>
      <c r="PU466" s="9"/>
      <c r="PV466" s="9"/>
      <c r="PW466" s="9"/>
      <c r="PX466" s="9"/>
      <c r="PY466" s="9"/>
      <c r="PZ466" s="9"/>
      <c r="QA466" s="9"/>
      <c r="QB466" s="9"/>
      <c r="QC466" s="9"/>
      <c r="QD466" s="9"/>
      <c r="QE466" s="9"/>
      <c r="QF466" s="9"/>
      <c r="QG466" s="9"/>
      <c r="QH466" s="9"/>
      <c r="QI466" s="9"/>
      <c r="QJ466" s="9"/>
      <c r="QK466" s="9"/>
      <c r="QL466" s="9"/>
      <c r="QM466" s="9"/>
      <c r="QN466" s="9"/>
      <c r="QO466" s="9"/>
      <c r="QP466" s="9"/>
      <c r="QQ466" s="9"/>
      <c r="QR466" s="9"/>
      <c r="QS466" s="9"/>
      <c r="QT466" s="9"/>
      <c r="QU466" s="9"/>
      <c r="QV466" s="9"/>
      <c r="QW466" s="9"/>
      <c r="QX466" s="9"/>
      <c r="QY466" s="9"/>
      <c r="QZ466" s="9"/>
      <c r="RA466" s="9"/>
      <c r="RB466" s="9"/>
      <c r="RC466" s="9"/>
      <c r="RD466" s="9"/>
      <c r="RE466" s="9"/>
      <c r="RF466" s="9"/>
      <c r="RG466" s="9"/>
      <c r="RH466" s="9"/>
      <c r="RI466" s="9"/>
      <c r="RJ466" s="9"/>
      <c r="RK466" s="9"/>
      <c r="RL466" s="9"/>
      <c r="RM466" s="9"/>
      <c r="RN466" s="9"/>
      <c r="RO466" s="9"/>
      <c r="RP466" s="9"/>
      <c r="RQ466" s="9"/>
      <c r="RR466" s="9"/>
      <c r="RS466" s="9"/>
      <c r="RT466" s="9"/>
      <c r="RU466" s="9"/>
      <c r="RV466" s="9"/>
      <c r="RW466" s="9"/>
      <c r="RX466" s="9"/>
      <c r="RY466" s="9"/>
      <c r="RZ466" s="9"/>
      <c r="SA466" s="9"/>
      <c r="SB466" s="9"/>
      <c r="SC466" s="9"/>
      <c r="SD466" s="9"/>
      <c r="SE466" s="9"/>
      <c r="SF466" s="9"/>
      <c r="SG466" s="9"/>
      <c r="SH466" s="9"/>
      <c r="SI466" s="9"/>
      <c r="SJ466" s="9"/>
      <c r="SK466" s="9"/>
      <c r="SL466" s="9"/>
      <c r="SM466" s="9"/>
      <c r="SN466" s="9"/>
      <c r="SO466" s="9"/>
      <c r="SP466" s="9"/>
      <c r="SQ466" s="9"/>
      <c r="SR466" s="9"/>
      <c r="SS466" s="9"/>
      <c r="ST466" s="9"/>
      <c r="SU466" s="9"/>
      <c r="SV466" s="9"/>
      <c r="SW466" s="9"/>
      <c r="SX466" s="9"/>
      <c r="SY466" s="9"/>
      <c r="SZ466" s="9"/>
      <c r="TA466" s="9"/>
      <c r="TB466" s="9"/>
      <c r="TC466" s="9"/>
      <c r="TD466" s="9"/>
      <c r="TE466" s="9"/>
      <c r="TF466" s="9"/>
      <c r="TG466" s="9"/>
      <c r="TH466" s="9"/>
      <c r="TI466" s="9"/>
      <c r="TJ466" s="9"/>
      <c r="TK466" s="9"/>
      <c r="TL466" s="9"/>
      <c r="TM466" s="9"/>
      <c r="TN466" s="9"/>
      <c r="TO466" s="9"/>
      <c r="TP466" s="9"/>
      <c r="TQ466" s="9"/>
      <c r="TR466" s="9"/>
      <c r="TS466" s="9"/>
      <c r="TT466" s="9"/>
      <c r="TU466" s="9"/>
      <c r="TV466" s="9"/>
      <c r="TW466" s="9"/>
      <c r="TX466" s="9"/>
      <c r="TY466" s="9"/>
      <c r="TZ466" s="9"/>
      <c r="UA466" s="9"/>
      <c r="UB466" s="9"/>
      <c r="UC466" s="9"/>
      <c r="UD466" s="9"/>
      <c r="UE466" s="9"/>
      <c r="UF466" s="9"/>
      <c r="UG466" s="9"/>
      <c r="UH466" s="9"/>
      <c r="UI466" s="9"/>
      <c r="UJ466" s="9"/>
    </row>
    <row r="467">
      <c r="A467" s="8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9"/>
      <c r="IQ467" s="9"/>
      <c r="IR467" s="9"/>
      <c r="IS467" s="9"/>
      <c r="IT467" s="9"/>
      <c r="IU467" s="9"/>
      <c r="IV467" s="9"/>
      <c r="IW467" s="9"/>
      <c r="IX467" s="9"/>
      <c r="IY467" s="9"/>
      <c r="IZ467" s="9"/>
      <c r="JA467" s="9"/>
      <c r="JB467" s="9"/>
      <c r="JC467" s="9"/>
      <c r="JD467" s="9"/>
      <c r="JE467" s="9"/>
      <c r="JF467" s="9"/>
      <c r="JG467" s="9"/>
      <c r="JH467" s="9"/>
      <c r="JI467" s="9"/>
      <c r="JJ467" s="9"/>
      <c r="JK467" s="9"/>
      <c r="JL467" s="9"/>
      <c r="JM467" s="9"/>
      <c r="JN467" s="9"/>
      <c r="JO467" s="9"/>
      <c r="JP467" s="9"/>
      <c r="JQ467" s="9"/>
      <c r="JR467" s="9"/>
      <c r="JS467" s="9"/>
      <c r="JT467" s="9"/>
      <c r="JU467" s="9"/>
      <c r="JV467" s="9"/>
      <c r="JW467" s="9"/>
      <c r="JX467" s="9"/>
      <c r="JY467" s="9"/>
      <c r="JZ467" s="9"/>
      <c r="KA467" s="9"/>
      <c r="KB467" s="9"/>
      <c r="KC467" s="9"/>
      <c r="KD467" s="9"/>
      <c r="KE467" s="9"/>
      <c r="KF467" s="9"/>
      <c r="KG467" s="9"/>
      <c r="KH467" s="9"/>
      <c r="KI467" s="9"/>
      <c r="KJ467" s="9"/>
      <c r="KK467" s="9"/>
      <c r="KL467" s="9"/>
      <c r="KM467" s="9"/>
      <c r="KN467" s="9"/>
      <c r="KO467" s="9"/>
      <c r="KP467" s="9"/>
      <c r="KQ467" s="9"/>
      <c r="KR467" s="9"/>
      <c r="KS467" s="9"/>
      <c r="KT467" s="9"/>
      <c r="KU467" s="9"/>
      <c r="KV467" s="9"/>
      <c r="KW467" s="9"/>
      <c r="KX467" s="9"/>
      <c r="KY467" s="9"/>
      <c r="KZ467" s="9"/>
      <c r="LA467" s="9"/>
      <c r="LB467" s="9"/>
      <c r="LC467" s="9"/>
      <c r="LD467" s="9"/>
      <c r="LE467" s="9"/>
      <c r="LF467" s="9"/>
      <c r="LG467" s="9"/>
      <c r="LH467" s="9"/>
      <c r="LI467" s="9"/>
      <c r="LJ467" s="9"/>
      <c r="LK467" s="9"/>
      <c r="LL467" s="9"/>
      <c r="LM467" s="9"/>
      <c r="LN467" s="9"/>
      <c r="LO467" s="9"/>
      <c r="LP467" s="9"/>
      <c r="LQ467" s="9"/>
      <c r="LR467" s="9"/>
      <c r="LS467" s="9"/>
      <c r="LT467" s="9"/>
      <c r="LU467" s="9"/>
      <c r="LV467" s="9"/>
      <c r="LW467" s="9"/>
      <c r="LX467" s="9"/>
      <c r="LY467" s="9"/>
      <c r="LZ467" s="9"/>
      <c r="MA467" s="9"/>
      <c r="MB467" s="9"/>
      <c r="MC467" s="9"/>
      <c r="MD467" s="9"/>
      <c r="ME467" s="9"/>
      <c r="MF467" s="9"/>
      <c r="MG467" s="9"/>
      <c r="MH467" s="9"/>
      <c r="MI467" s="9"/>
      <c r="MJ467" s="9"/>
      <c r="MK467" s="9"/>
      <c r="ML467" s="9"/>
      <c r="MM467" s="9"/>
      <c r="MN467" s="9"/>
      <c r="MO467" s="9"/>
      <c r="MP467" s="9"/>
      <c r="MQ467" s="9"/>
      <c r="MR467" s="9"/>
      <c r="MS467" s="9"/>
      <c r="MT467" s="9"/>
      <c r="MU467" s="9"/>
      <c r="MV467" s="9"/>
      <c r="MW467" s="9"/>
      <c r="MX467" s="9"/>
      <c r="MY467" s="9"/>
      <c r="MZ467" s="9"/>
      <c r="NA467" s="9"/>
      <c r="NB467" s="9"/>
      <c r="NC467" s="9"/>
      <c r="ND467" s="9"/>
      <c r="NE467" s="9"/>
      <c r="NF467" s="9"/>
      <c r="NG467" s="9"/>
      <c r="NH467" s="9"/>
      <c r="NI467" s="9"/>
      <c r="NJ467" s="9"/>
      <c r="NK467" s="9"/>
      <c r="NL467" s="9"/>
      <c r="NM467" s="9"/>
      <c r="NN467" s="9"/>
      <c r="NO467" s="9"/>
      <c r="NP467" s="9"/>
      <c r="NQ467" s="9"/>
      <c r="NR467" s="9"/>
      <c r="NS467" s="9"/>
      <c r="NT467" s="9"/>
      <c r="NU467" s="9"/>
      <c r="NV467" s="9"/>
      <c r="NW467" s="9"/>
      <c r="NX467" s="9"/>
      <c r="NY467" s="9"/>
      <c r="NZ467" s="9"/>
      <c r="OA467" s="9"/>
      <c r="OB467" s="9"/>
      <c r="OC467" s="9"/>
      <c r="OD467" s="9"/>
      <c r="OE467" s="9"/>
      <c r="OF467" s="9"/>
      <c r="OG467" s="9"/>
      <c r="OH467" s="9"/>
      <c r="OI467" s="9"/>
      <c r="OJ467" s="9"/>
      <c r="OK467" s="9"/>
      <c r="OL467" s="9"/>
      <c r="OM467" s="9"/>
      <c r="ON467" s="9"/>
      <c r="OO467" s="9"/>
      <c r="OP467" s="9"/>
      <c r="OQ467" s="9"/>
      <c r="OR467" s="9"/>
      <c r="OS467" s="9"/>
      <c r="OT467" s="9"/>
      <c r="OU467" s="9"/>
      <c r="OV467" s="9"/>
      <c r="OW467" s="9"/>
      <c r="OX467" s="9"/>
      <c r="OY467" s="9"/>
      <c r="OZ467" s="9"/>
      <c r="PA467" s="9"/>
      <c r="PB467" s="9"/>
      <c r="PC467" s="9"/>
      <c r="PD467" s="9"/>
      <c r="PE467" s="9"/>
      <c r="PF467" s="9"/>
      <c r="PG467" s="9"/>
      <c r="PH467" s="9"/>
      <c r="PI467" s="9"/>
      <c r="PJ467" s="9"/>
      <c r="PK467" s="9"/>
      <c r="PL467" s="9"/>
      <c r="PM467" s="9"/>
      <c r="PN467" s="9"/>
      <c r="PO467" s="9"/>
      <c r="PP467" s="9"/>
      <c r="PQ467" s="9"/>
      <c r="PR467" s="9"/>
      <c r="PS467" s="9"/>
      <c r="PT467" s="9"/>
      <c r="PU467" s="9"/>
      <c r="PV467" s="9"/>
      <c r="PW467" s="9"/>
      <c r="PX467" s="9"/>
      <c r="PY467" s="9"/>
      <c r="PZ467" s="9"/>
      <c r="QA467" s="9"/>
      <c r="QB467" s="9"/>
      <c r="QC467" s="9"/>
      <c r="QD467" s="9"/>
      <c r="QE467" s="9"/>
      <c r="QF467" s="9"/>
      <c r="QG467" s="9"/>
      <c r="QH467" s="9"/>
      <c r="QI467" s="9"/>
      <c r="QJ467" s="9"/>
      <c r="QK467" s="9"/>
      <c r="QL467" s="9"/>
      <c r="QM467" s="9"/>
      <c r="QN467" s="9"/>
      <c r="QO467" s="9"/>
      <c r="QP467" s="9"/>
      <c r="QQ467" s="9"/>
      <c r="QR467" s="9"/>
      <c r="QS467" s="9"/>
      <c r="QT467" s="9"/>
      <c r="QU467" s="9"/>
      <c r="QV467" s="9"/>
      <c r="QW467" s="9"/>
      <c r="QX467" s="9"/>
      <c r="QY467" s="9"/>
      <c r="QZ467" s="9"/>
      <c r="RA467" s="9"/>
      <c r="RB467" s="9"/>
      <c r="RC467" s="9"/>
      <c r="RD467" s="9"/>
      <c r="RE467" s="9"/>
      <c r="RF467" s="9"/>
      <c r="RG467" s="9"/>
      <c r="RH467" s="9"/>
      <c r="RI467" s="9"/>
      <c r="RJ467" s="9"/>
      <c r="RK467" s="9"/>
      <c r="RL467" s="9"/>
      <c r="RM467" s="9"/>
      <c r="RN467" s="9"/>
      <c r="RO467" s="9"/>
      <c r="RP467" s="9"/>
      <c r="RQ467" s="9"/>
      <c r="RR467" s="9"/>
      <c r="RS467" s="9"/>
      <c r="RT467" s="9"/>
      <c r="RU467" s="9"/>
      <c r="RV467" s="9"/>
      <c r="RW467" s="9"/>
      <c r="RX467" s="9"/>
      <c r="RY467" s="9"/>
      <c r="RZ467" s="9"/>
      <c r="SA467" s="9"/>
      <c r="SB467" s="9"/>
      <c r="SC467" s="9"/>
      <c r="SD467" s="9"/>
      <c r="SE467" s="9"/>
      <c r="SF467" s="9"/>
      <c r="SG467" s="9"/>
      <c r="SH467" s="9"/>
      <c r="SI467" s="9"/>
      <c r="SJ467" s="9"/>
      <c r="SK467" s="9"/>
      <c r="SL467" s="9"/>
      <c r="SM467" s="9"/>
      <c r="SN467" s="9"/>
      <c r="SO467" s="9"/>
      <c r="SP467" s="9"/>
      <c r="SQ467" s="9"/>
      <c r="SR467" s="9"/>
      <c r="SS467" s="9"/>
      <c r="ST467" s="9"/>
      <c r="SU467" s="9"/>
      <c r="SV467" s="9"/>
      <c r="SW467" s="9"/>
      <c r="SX467" s="9"/>
      <c r="SY467" s="9"/>
      <c r="SZ467" s="9"/>
      <c r="TA467" s="9"/>
      <c r="TB467" s="9"/>
      <c r="TC467" s="9"/>
      <c r="TD467" s="9"/>
      <c r="TE467" s="9"/>
      <c r="TF467" s="9"/>
      <c r="TG467" s="9"/>
      <c r="TH467" s="9"/>
      <c r="TI467" s="9"/>
      <c r="TJ467" s="9"/>
      <c r="TK467" s="9"/>
      <c r="TL467" s="9"/>
      <c r="TM467" s="9"/>
      <c r="TN467" s="9"/>
      <c r="TO467" s="9"/>
      <c r="TP467" s="9"/>
      <c r="TQ467" s="9"/>
      <c r="TR467" s="9"/>
      <c r="TS467" s="9"/>
      <c r="TT467" s="9"/>
      <c r="TU467" s="9"/>
      <c r="TV467" s="9"/>
      <c r="TW467" s="9"/>
      <c r="TX467" s="9"/>
      <c r="TY467" s="9"/>
      <c r="TZ467" s="9"/>
      <c r="UA467" s="9"/>
      <c r="UB467" s="9"/>
      <c r="UC467" s="9"/>
      <c r="UD467" s="9"/>
      <c r="UE467" s="9"/>
      <c r="UF467" s="9"/>
      <c r="UG467" s="9"/>
      <c r="UH467" s="9"/>
      <c r="UI467" s="9"/>
      <c r="UJ467" s="9"/>
    </row>
    <row r="468">
      <c r="A468" s="8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  <c r="IC468" s="9"/>
      <c r="ID468" s="9"/>
      <c r="IE468" s="9"/>
      <c r="IF468" s="9"/>
      <c r="IG468" s="9"/>
      <c r="IH468" s="9"/>
      <c r="II468" s="9"/>
      <c r="IJ468" s="9"/>
      <c r="IK468" s="9"/>
      <c r="IL468" s="9"/>
      <c r="IM468" s="9"/>
      <c r="IN468" s="9"/>
      <c r="IO468" s="9"/>
      <c r="IP468" s="9"/>
      <c r="IQ468" s="9"/>
      <c r="IR468" s="9"/>
      <c r="IS468" s="9"/>
      <c r="IT468" s="9"/>
      <c r="IU468" s="9"/>
      <c r="IV468" s="9"/>
      <c r="IW468" s="9"/>
      <c r="IX468" s="9"/>
      <c r="IY468" s="9"/>
      <c r="IZ468" s="9"/>
      <c r="JA468" s="9"/>
      <c r="JB468" s="9"/>
      <c r="JC468" s="9"/>
      <c r="JD468" s="9"/>
      <c r="JE468" s="9"/>
      <c r="JF468" s="9"/>
      <c r="JG468" s="9"/>
      <c r="JH468" s="9"/>
      <c r="JI468" s="9"/>
      <c r="JJ468" s="9"/>
      <c r="JK468" s="9"/>
      <c r="JL468" s="9"/>
      <c r="JM468" s="9"/>
      <c r="JN468" s="9"/>
      <c r="JO468" s="9"/>
      <c r="JP468" s="9"/>
      <c r="JQ468" s="9"/>
      <c r="JR468" s="9"/>
      <c r="JS468" s="9"/>
      <c r="JT468" s="9"/>
      <c r="JU468" s="9"/>
      <c r="JV468" s="9"/>
      <c r="JW468" s="9"/>
      <c r="JX468" s="9"/>
      <c r="JY468" s="9"/>
      <c r="JZ468" s="9"/>
      <c r="KA468" s="9"/>
      <c r="KB468" s="9"/>
      <c r="KC468" s="9"/>
      <c r="KD468" s="9"/>
      <c r="KE468" s="9"/>
      <c r="KF468" s="9"/>
      <c r="KG468" s="9"/>
      <c r="KH468" s="9"/>
      <c r="KI468" s="9"/>
      <c r="KJ468" s="9"/>
      <c r="KK468" s="9"/>
      <c r="KL468" s="9"/>
      <c r="KM468" s="9"/>
      <c r="KN468" s="9"/>
      <c r="KO468" s="9"/>
      <c r="KP468" s="9"/>
      <c r="KQ468" s="9"/>
      <c r="KR468" s="9"/>
      <c r="KS468" s="9"/>
      <c r="KT468" s="9"/>
      <c r="KU468" s="9"/>
      <c r="KV468" s="9"/>
      <c r="KW468" s="9"/>
      <c r="KX468" s="9"/>
      <c r="KY468" s="9"/>
      <c r="KZ468" s="9"/>
      <c r="LA468" s="9"/>
      <c r="LB468" s="9"/>
      <c r="LC468" s="9"/>
      <c r="LD468" s="9"/>
      <c r="LE468" s="9"/>
      <c r="LF468" s="9"/>
      <c r="LG468" s="9"/>
      <c r="LH468" s="9"/>
      <c r="LI468" s="9"/>
      <c r="LJ468" s="9"/>
      <c r="LK468" s="9"/>
      <c r="LL468" s="9"/>
      <c r="LM468" s="9"/>
      <c r="LN468" s="9"/>
      <c r="LO468" s="9"/>
      <c r="LP468" s="9"/>
      <c r="LQ468" s="9"/>
      <c r="LR468" s="9"/>
      <c r="LS468" s="9"/>
      <c r="LT468" s="9"/>
      <c r="LU468" s="9"/>
      <c r="LV468" s="9"/>
      <c r="LW468" s="9"/>
      <c r="LX468" s="9"/>
      <c r="LY468" s="9"/>
      <c r="LZ468" s="9"/>
      <c r="MA468" s="9"/>
      <c r="MB468" s="9"/>
      <c r="MC468" s="9"/>
      <c r="MD468" s="9"/>
      <c r="ME468" s="9"/>
      <c r="MF468" s="9"/>
      <c r="MG468" s="9"/>
      <c r="MH468" s="9"/>
      <c r="MI468" s="9"/>
      <c r="MJ468" s="9"/>
      <c r="MK468" s="9"/>
      <c r="ML468" s="9"/>
      <c r="MM468" s="9"/>
      <c r="MN468" s="9"/>
      <c r="MO468" s="9"/>
      <c r="MP468" s="9"/>
      <c r="MQ468" s="9"/>
      <c r="MR468" s="9"/>
      <c r="MS468" s="9"/>
      <c r="MT468" s="9"/>
      <c r="MU468" s="9"/>
      <c r="MV468" s="9"/>
      <c r="MW468" s="9"/>
      <c r="MX468" s="9"/>
      <c r="MY468" s="9"/>
      <c r="MZ468" s="9"/>
      <c r="NA468" s="9"/>
      <c r="NB468" s="9"/>
      <c r="NC468" s="9"/>
      <c r="ND468" s="9"/>
      <c r="NE468" s="9"/>
      <c r="NF468" s="9"/>
      <c r="NG468" s="9"/>
      <c r="NH468" s="9"/>
      <c r="NI468" s="9"/>
      <c r="NJ468" s="9"/>
      <c r="NK468" s="9"/>
      <c r="NL468" s="9"/>
      <c r="NM468" s="9"/>
      <c r="NN468" s="9"/>
      <c r="NO468" s="9"/>
      <c r="NP468" s="9"/>
      <c r="NQ468" s="9"/>
      <c r="NR468" s="9"/>
      <c r="NS468" s="9"/>
      <c r="NT468" s="9"/>
      <c r="NU468" s="9"/>
      <c r="NV468" s="9"/>
      <c r="NW468" s="9"/>
      <c r="NX468" s="9"/>
      <c r="NY468" s="9"/>
      <c r="NZ468" s="9"/>
      <c r="OA468" s="9"/>
      <c r="OB468" s="9"/>
      <c r="OC468" s="9"/>
      <c r="OD468" s="9"/>
      <c r="OE468" s="9"/>
      <c r="OF468" s="9"/>
      <c r="OG468" s="9"/>
      <c r="OH468" s="9"/>
      <c r="OI468" s="9"/>
      <c r="OJ468" s="9"/>
      <c r="OK468" s="9"/>
      <c r="OL468" s="9"/>
      <c r="OM468" s="9"/>
      <c r="ON468" s="9"/>
      <c r="OO468" s="9"/>
      <c r="OP468" s="9"/>
      <c r="OQ468" s="9"/>
      <c r="OR468" s="9"/>
      <c r="OS468" s="9"/>
      <c r="OT468" s="9"/>
      <c r="OU468" s="9"/>
      <c r="OV468" s="9"/>
      <c r="OW468" s="9"/>
      <c r="OX468" s="9"/>
      <c r="OY468" s="9"/>
      <c r="OZ468" s="9"/>
      <c r="PA468" s="9"/>
      <c r="PB468" s="9"/>
      <c r="PC468" s="9"/>
      <c r="PD468" s="9"/>
      <c r="PE468" s="9"/>
      <c r="PF468" s="9"/>
      <c r="PG468" s="9"/>
      <c r="PH468" s="9"/>
      <c r="PI468" s="9"/>
      <c r="PJ468" s="9"/>
      <c r="PK468" s="9"/>
      <c r="PL468" s="9"/>
      <c r="PM468" s="9"/>
      <c r="PN468" s="9"/>
      <c r="PO468" s="9"/>
      <c r="PP468" s="9"/>
      <c r="PQ468" s="9"/>
      <c r="PR468" s="9"/>
      <c r="PS468" s="9"/>
      <c r="PT468" s="9"/>
      <c r="PU468" s="9"/>
      <c r="PV468" s="9"/>
      <c r="PW468" s="9"/>
      <c r="PX468" s="9"/>
      <c r="PY468" s="9"/>
      <c r="PZ468" s="9"/>
      <c r="QA468" s="9"/>
      <c r="QB468" s="9"/>
      <c r="QC468" s="9"/>
      <c r="QD468" s="9"/>
      <c r="QE468" s="9"/>
      <c r="QF468" s="9"/>
      <c r="QG468" s="9"/>
      <c r="QH468" s="9"/>
      <c r="QI468" s="9"/>
      <c r="QJ468" s="9"/>
      <c r="QK468" s="9"/>
      <c r="QL468" s="9"/>
      <c r="QM468" s="9"/>
      <c r="QN468" s="9"/>
      <c r="QO468" s="9"/>
      <c r="QP468" s="9"/>
      <c r="QQ468" s="9"/>
      <c r="QR468" s="9"/>
      <c r="QS468" s="9"/>
      <c r="QT468" s="9"/>
      <c r="QU468" s="9"/>
      <c r="QV468" s="9"/>
      <c r="QW468" s="9"/>
      <c r="QX468" s="9"/>
      <c r="QY468" s="9"/>
      <c r="QZ468" s="9"/>
      <c r="RA468" s="9"/>
      <c r="RB468" s="9"/>
      <c r="RC468" s="9"/>
      <c r="RD468" s="9"/>
      <c r="RE468" s="9"/>
      <c r="RF468" s="9"/>
      <c r="RG468" s="9"/>
      <c r="RH468" s="9"/>
      <c r="RI468" s="9"/>
      <c r="RJ468" s="9"/>
      <c r="RK468" s="9"/>
      <c r="RL468" s="9"/>
      <c r="RM468" s="9"/>
      <c r="RN468" s="9"/>
      <c r="RO468" s="9"/>
      <c r="RP468" s="9"/>
      <c r="RQ468" s="9"/>
      <c r="RR468" s="9"/>
      <c r="RS468" s="9"/>
      <c r="RT468" s="9"/>
      <c r="RU468" s="9"/>
      <c r="RV468" s="9"/>
      <c r="RW468" s="9"/>
      <c r="RX468" s="9"/>
      <c r="RY468" s="9"/>
      <c r="RZ468" s="9"/>
      <c r="SA468" s="9"/>
      <c r="SB468" s="9"/>
      <c r="SC468" s="9"/>
      <c r="SD468" s="9"/>
      <c r="SE468" s="9"/>
      <c r="SF468" s="9"/>
      <c r="SG468" s="9"/>
      <c r="SH468" s="9"/>
      <c r="SI468" s="9"/>
      <c r="SJ468" s="9"/>
      <c r="SK468" s="9"/>
      <c r="SL468" s="9"/>
      <c r="SM468" s="9"/>
      <c r="SN468" s="9"/>
      <c r="SO468" s="9"/>
      <c r="SP468" s="9"/>
      <c r="SQ468" s="9"/>
      <c r="SR468" s="9"/>
      <c r="SS468" s="9"/>
      <c r="ST468" s="9"/>
      <c r="SU468" s="9"/>
      <c r="SV468" s="9"/>
      <c r="SW468" s="9"/>
      <c r="SX468" s="9"/>
      <c r="SY468" s="9"/>
      <c r="SZ468" s="9"/>
      <c r="TA468" s="9"/>
      <c r="TB468" s="9"/>
      <c r="TC468" s="9"/>
      <c r="TD468" s="9"/>
      <c r="TE468" s="9"/>
      <c r="TF468" s="9"/>
      <c r="TG468" s="9"/>
      <c r="TH468" s="9"/>
      <c r="TI468" s="9"/>
      <c r="TJ468" s="9"/>
      <c r="TK468" s="9"/>
      <c r="TL468" s="9"/>
      <c r="TM468" s="9"/>
      <c r="TN468" s="9"/>
      <c r="TO468" s="9"/>
      <c r="TP468" s="9"/>
      <c r="TQ468" s="9"/>
      <c r="TR468" s="9"/>
      <c r="TS468" s="9"/>
      <c r="TT468" s="9"/>
      <c r="TU468" s="9"/>
      <c r="TV468" s="9"/>
      <c r="TW468" s="9"/>
      <c r="TX468" s="9"/>
      <c r="TY468" s="9"/>
      <c r="TZ468" s="9"/>
      <c r="UA468" s="9"/>
      <c r="UB468" s="9"/>
      <c r="UC468" s="9"/>
      <c r="UD468" s="9"/>
      <c r="UE468" s="9"/>
      <c r="UF468" s="9"/>
      <c r="UG468" s="9"/>
      <c r="UH468" s="9"/>
      <c r="UI468" s="9"/>
      <c r="UJ468" s="9"/>
    </row>
    <row r="469">
      <c r="A469" s="8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  <c r="IC469" s="9"/>
      <c r="ID469" s="9"/>
      <c r="IE469" s="9"/>
      <c r="IF469" s="9"/>
      <c r="IG469" s="9"/>
      <c r="IH469" s="9"/>
      <c r="II469" s="9"/>
      <c r="IJ469" s="9"/>
      <c r="IK469" s="9"/>
      <c r="IL469" s="9"/>
      <c r="IM469" s="9"/>
      <c r="IN469" s="9"/>
      <c r="IO469" s="9"/>
      <c r="IP469" s="9"/>
      <c r="IQ469" s="9"/>
      <c r="IR469" s="9"/>
      <c r="IS469" s="9"/>
      <c r="IT469" s="9"/>
      <c r="IU469" s="9"/>
      <c r="IV469" s="9"/>
      <c r="IW469" s="9"/>
      <c r="IX469" s="9"/>
      <c r="IY469" s="9"/>
      <c r="IZ469" s="9"/>
      <c r="JA469" s="9"/>
      <c r="JB469" s="9"/>
      <c r="JC469" s="9"/>
      <c r="JD469" s="9"/>
      <c r="JE469" s="9"/>
      <c r="JF469" s="9"/>
      <c r="JG469" s="9"/>
      <c r="JH469" s="9"/>
      <c r="JI469" s="9"/>
      <c r="JJ469" s="9"/>
      <c r="JK469" s="9"/>
      <c r="JL469" s="9"/>
      <c r="JM469" s="9"/>
      <c r="JN469" s="9"/>
      <c r="JO469" s="9"/>
      <c r="JP469" s="9"/>
      <c r="JQ469" s="9"/>
      <c r="JR469" s="9"/>
      <c r="JS469" s="9"/>
      <c r="JT469" s="9"/>
      <c r="JU469" s="9"/>
      <c r="JV469" s="9"/>
      <c r="JW469" s="9"/>
      <c r="JX469" s="9"/>
      <c r="JY469" s="9"/>
      <c r="JZ469" s="9"/>
      <c r="KA469" s="9"/>
      <c r="KB469" s="9"/>
      <c r="KC469" s="9"/>
      <c r="KD469" s="9"/>
      <c r="KE469" s="9"/>
      <c r="KF469" s="9"/>
      <c r="KG469" s="9"/>
      <c r="KH469" s="9"/>
      <c r="KI469" s="9"/>
      <c r="KJ469" s="9"/>
      <c r="KK469" s="9"/>
      <c r="KL469" s="9"/>
      <c r="KM469" s="9"/>
      <c r="KN469" s="9"/>
      <c r="KO469" s="9"/>
      <c r="KP469" s="9"/>
      <c r="KQ469" s="9"/>
      <c r="KR469" s="9"/>
      <c r="KS469" s="9"/>
      <c r="KT469" s="9"/>
      <c r="KU469" s="9"/>
      <c r="KV469" s="9"/>
      <c r="KW469" s="9"/>
      <c r="KX469" s="9"/>
      <c r="KY469" s="9"/>
      <c r="KZ469" s="9"/>
      <c r="LA469" s="9"/>
      <c r="LB469" s="9"/>
      <c r="LC469" s="9"/>
      <c r="LD469" s="9"/>
      <c r="LE469" s="9"/>
      <c r="LF469" s="9"/>
      <c r="LG469" s="9"/>
      <c r="LH469" s="9"/>
      <c r="LI469" s="9"/>
      <c r="LJ469" s="9"/>
      <c r="LK469" s="9"/>
      <c r="LL469" s="9"/>
      <c r="LM469" s="9"/>
      <c r="LN469" s="9"/>
      <c r="LO469" s="9"/>
      <c r="LP469" s="9"/>
      <c r="LQ469" s="9"/>
      <c r="LR469" s="9"/>
      <c r="LS469" s="9"/>
      <c r="LT469" s="9"/>
      <c r="LU469" s="9"/>
      <c r="LV469" s="9"/>
      <c r="LW469" s="9"/>
      <c r="LX469" s="9"/>
      <c r="LY469" s="9"/>
      <c r="LZ469" s="9"/>
      <c r="MA469" s="9"/>
      <c r="MB469" s="9"/>
      <c r="MC469" s="9"/>
      <c r="MD469" s="9"/>
      <c r="ME469" s="9"/>
      <c r="MF469" s="9"/>
      <c r="MG469" s="9"/>
      <c r="MH469" s="9"/>
      <c r="MI469" s="9"/>
      <c r="MJ469" s="9"/>
      <c r="MK469" s="9"/>
      <c r="ML469" s="9"/>
      <c r="MM469" s="9"/>
      <c r="MN469" s="9"/>
      <c r="MO469" s="9"/>
      <c r="MP469" s="9"/>
      <c r="MQ469" s="9"/>
      <c r="MR469" s="9"/>
      <c r="MS469" s="9"/>
      <c r="MT469" s="9"/>
      <c r="MU469" s="9"/>
      <c r="MV469" s="9"/>
      <c r="MW469" s="9"/>
      <c r="MX469" s="9"/>
      <c r="MY469" s="9"/>
      <c r="MZ469" s="9"/>
      <c r="NA469" s="9"/>
      <c r="NB469" s="9"/>
      <c r="NC469" s="9"/>
      <c r="ND469" s="9"/>
      <c r="NE469" s="9"/>
      <c r="NF469" s="9"/>
      <c r="NG469" s="9"/>
      <c r="NH469" s="9"/>
      <c r="NI469" s="9"/>
      <c r="NJ469" s="9"/>
      <c r="NK469" s="9"/>
      <c r="NL469" s="9"/>
      <c r="NM469" s="9"/>
      <c r="NN469" s="9"/>
      <c r="NO469" s="9"/>
      <c r="NP469" s="9"/>
      <c r="NQ469" s="9"/>
      <c r="NR469" s="9"/>
      <c r="NS469" s="9"/>
      <c r="NT469" s="9"/>
      <c r="NU469" s="9"/>
      <c r="NV469" s="9"/>
      <c r="NW469" s="9"/>
      <c r="NX469" s="9"/>
      <c r="NY469" s="9"/>
      <c r="NZ469" s="9"/>
      <c r="OA469" s="9"/>
      <c r="OB469" s="9"/>
      <c r="OC469" s="9"/>
      <c r="OD469" s="9"/>
      <c r="OE469" s="9"/>
      <c r="OF469" s="9"/>
      <c r="OG469" s="9"/>
      <c r="OH469" s="9"/>
      <c r="OI469" s="9"/>
      <c r="OJ469" s="9"/>
      <c r="OK469" s="9"/>
      <c r="OL469" s="9"/>
      <c r="OM469" s="9"/>
      <c r="ON469" s="9"/>
      <c r="OO469" s="9"/>
      <c r="OP469" s="9"/>
      <c r="OQ469" s="9"/>
      <c r="OR469" s="9"/>
      <c r="OS469" s="9"/>
      <c r="OT469" s="9"/>
      <c r="OU469" s="9"/>
      <c r="OV469" s="9"/>
      <c r="OW469" s="9"/>
      <c r="OX469" s="9"/>
      <c r="OY469" s="9"/>
      <c r="OZ469" s="9"/>
      <c r="PA469" s="9"/>
      <c r="PB469" s="9"/>
      <c r="PC469" s="9"/>
      <c r="PD469" s="9"/>
      <c r="PE469" s="9"/>
      <c r="PF469" s="9"/>
      <c r="PG469" s="9"/>
      <c r="PH469" s="9"/>
      <c r="PI469" s="9"/>
      <c r="PJ469" s="9"/>
      <c r="PK469" s="9"/>
      <c r="PL469" s="9"/>
      <c r="PM469" s="9"/>
      <c r="PN469" s="9"/>
      <c r="PO469" s="9"/>
      <c r="PP469" s="9"/>
      <c r="PQ469" s="9"/>
      <c r="PR469" s="9"/>
      <c r="PS469" s="9"/>
      <c r="PT469" s="9"/>
      <c r="PU469" s="9"/>
      <c r="PV469" s="9"/>
      <c r="PW469" s="9"/>
      <c r="PX469" s="9"/>
      <c r="PY469" s="9"/>
      <c r="PZ469" s="9"/>
      <c r="QA469" s="9"/>
      <c r="QB469" s="9"/>
      <c r="QC469" s="9"/>
      <c r="QD469" s="9"/>
      <c r="QE469" s="9"/>
      <c r="QF469" s="9"/>
      <c r="QG469" s="9"/>
      <c r="QH469" s="9"/>
      <c r="QI469" s="9"/>
      <c r="QJ469" s="9"/>
      <c r="QK469" s="9"/>
      <c r="QL469" s="9"/>
      <c r="QM469" s="9"/>
      <c r="QN469" s="9"/>
      <c r="QO469" s="9"/>
      <c r="QP469" s="9"/>
      <c r="QQ469" s="9"/>
      <c r="QR469" s="9"/>
      <c r="QS469" s="9"/>
      <c r="QT469" s="9"/>
      <c r="QU469" s="9"/>
      <c r="QV469" s="9"/>
      <c r="QW469" s="9"/>
      <c r="QX469" s="9"/>
      <c r="QY469" s="9"/>
      <c r="QZ469" s="9"/>
      <c r="RA469" s="9"/>
      <c r="RB469" s="9"/>
      <c r="RC469" s="9"/>
      <c r="RD469" s="9"/>
      <c r="RE469" s="9"/>
      <c r="RF469" s="9"/>
      <c r="RG469" s="9"/>
      <c r="RH469" s="9"/>
      <c r="RI469" s="9"/>
      <c r="RJ469" s="9"/>
      <c r="RK469" s="9"/>
      <c r="RL469" s="9"/>
      <c r="RM469" s="9"/>
      <c r="RN469" s="9"/>
      <c r="RO469" s="9"/>
      <c r="RP469" s="9"/>
      <c r="RQ469" s="9"/>
      <c r="RR469" s="9"/>
      <c r="RS469" s="9"/>
      <c r="RT469" s="9"/>
      <c r="RU469" s="9"/>
      <c r="RV469" s="9"/>
      <c r="RW469" s="9"/>
      <c r="RX469" s="9"/>
      <c r="RY469" s="9"/>
      <c r="RZ469" s="9"/>
      <c r="SA469" s="9"/>
      <c r="SB469" s="9"/>
      <c r="SC469" s="9"/>
      <c r="SD469" s="9"/>
      <c r="SE469" s="9"/>
      <c r="SF469" s="9"/>
      <c r="SG469" s="9"/>
      <c r="SH469" s="9"/>
      <c r="SI469" s="9"/>
      <c r="SJ469" s="9"/>
      <c r="SK469" s="9"/>
      <c r="SL469" s="9"/>
      <c r="SM469" s="9"/>
      <c r="SN469" s="9"/>
      <c r="SO469" s="9"/>
      <c r="SP469" s="9"/>
      <c r="SQ469" s="9"/>
      <c r="SR469" s="9"/>
      <c r="SS469" s="9"/>
      <c r="ST469" s="9"/>
      <c r="SU469" s="9"/>
      <c r="SV469" s="9"/>
      <c r="SW469" s="9"/>
      <c r="SX469" s="9"/>
      <c r="SY469" s="9"/>
      <c r="SZ469" s="9"/>
      <c r="TA469" s="9"/>
      <c r="TB469" s="9"/>
      <c r="TC469" s="9"/>
      <c r="TD469" s="9"/>
      <c r="TE469" s="9"/>
      <c r="TF469" s="9"/>
      <c r="TG469" s="9"/>
      <c r="TH469" s="9"/>
      <c r="TI469" s="9"/>
      <c r="TJ469" s="9"/>
      <c r="TK469" s="9"/>
      <c r="TL469" s="9"/>
      <c r="TM469" s="9"/>
      <c r="TN469" s="9"/>
      <c r="TO469" s="9"/>
      <c r="TP469" s="9"/>
      <c r="TQ469" s="9"/>
      <c r="TR469" s="9"/>
      <c r="TS469" s="9"/>
      <c r="TT469" s="9"/>
      <c r="TU469" s="9"/>
      <c r="TV469" s="9"/>
      <c r="TW469" s="9"/>
      <c r="TX469" s="9"/>
      <c r="TY469" s="9"/>
      <c r="TZ469" s="9"/>
      <c r="UA469" s="9"/>
      <c r="UB469" s="9"/>
      <c r="UC469" s="9"/>
      <c r="UD469" s="9"/>
      <c r="UE469" s="9"/>
      <c r="UF469" s="9"/>
      <c r="UG469" s="9"/>
      <c r="UH469" s="9"/>
      <c r="UI469" s="9"/>
      <c r="UJ469" s="9"/>
    </row>
    <row r="470">
      <c r="A470" s="8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</row>
    <row r="471">
      <c r="A471" s="8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</row>
    <row r="472">
      <c r="A472" s="8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</row>
    <row r="473">
      <c r="A473" s="8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</row>
    <row r="474">
      <c r="A474" s="8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9"/>
      <c r="IA474" s="9"/>
      <c r="IB474" s="9"/>
      <c r="IC474" s="9"/>
      <c r="ID474" s="9"/>
      <c r="IE474" s="9"/>
      <c r="IF474" s="9"/>
      <c r="IG474" s="9"/>
      <c r="IH474" s="9"/>
      <c r="II474" s="9"/>
      <c r="IJ474" s="9"/>
      <c r="IK474" s="9"/>
      <c r="IL474" s="9"/>
      <c r="IM474" s="9"/>
      <c r="IN474" s="9"/>
      <c r="IO474" s="9"/>
      <c r="IP474" s="9"/>
      <c r="IQ474" s="9"/>
      <c r="IR474" s="9"/>
      <c r="IS474" s="9"/>
      <c r="IT474" s="9"/>
      <c r="IU474" s="9"/>
      <c r="IV474" s="9"/>
      <c r="IW474" s="9"/>
      <c r="IX474" s="9"/>
      <c r="IY474" s="9"/>
      <c r="IZ474" s="9"/>
      <c r="JA474" s="9"/>
      <c r="JB474" s="9"/>
      <c r="JC474" s="9"/>
      <c r="JD474" s="9"/>
      <c r="JE474" s="9"/>
      <c r="JF474" s="9"/>
      <c r="JG474" s="9"/>
      <c r="JH474" s="9"/>
      <c r="JI474" s="9"/>
      <c r="JJ474" s="9"/>
      <c r="JK474" s="9"/>
      <c r="JL474" s="9"/>
      <c r="JM474" s="9"/>
      <c r="JN474" s="9"/>
      <c r="JO474" s="9"/>
      <c r="JP474" s="9"/>
      <c r="JQ474" s="9"/>
      <c r="JR474" s="9"/>
      <c r="JS474" s="9"/>
      <c r="JT474" s="9"/>
      <c r="JU474" s="9"/>
      <c r="JV474" s="9"/>
      <c r="JW474" s="9"/>
      <c r="JX474" s="9"/>
      <c r="JY474" s="9"/>
      <c r="JZ474" s="9"/>
      <c r="KA474" s="9"/>
      <c r="KB474" s="9"/>
      <c r="KC474" s="9"/>
      <c r="KD474" s="9"/>
      <c r="KE474" s="9"/>
      <c r="KF474" s="9"/>
      <c r="KG474" s="9"/>
      <c r="KH474" s="9"/>
      <c r="KI474" s="9"/>
      <c r="KJ474" s="9"/>
      <c r="KK474" s="9"/>
      <c r="KL474" s="9"/>
      <c r="KM474" s="9"/>
      <c r="KN474" s="9"/>
      <c r="KO474" s="9"/>
      <c r="KP474" s="9"/>
      <c r="KQ474" s="9"/>
      <c r="KR474" s="9"/>
      <c r="KS474" s="9"/>
      <c r="KT474" s="9"/>
      <c r="KU474" s="9"/>
      <c r="KV474" s="9"/>
      <c r="KW474" s="9"/>
      <c r="KX474" s="9"/>
      <c r="KY474" s="9"/>
      <c r="KZ474" s="9"/>
      <c r="LA474" s="9"/>
      <c r="LB474" s="9"/>
      <c r="LC474" s="9"/>
      <c r="LD474" s="9"/>
      <c r="LE474" s="9"/>
      <c r="LF474" s="9"/>
      <c r="LG474" s="9"/>
      <c r="LH474" s="9"/>
      <c r="LI474" s="9"/>
      <c r="LJ474" s="9"/>
      <c r="LK474" s="9"/>
      <c r="LL474" s="9"/>
      <c r="LM474" s="9"/>
      <c r="LN474" s="9"/>
      <c r="LO474" s="9"/>
      <c r="LP474" s="9"/>
      <c r="LQ474" s="9"/>
      <c r="LR474" s="9"/>
      <c r="LS474" s="9"/>
      <c r="LT474" s="9"/>
      <c r="LU474" s="9"/>
      <c r="LV474" s="9"/>
      <c r="LW474" s="9"/>
      <c r="LX474" s="9"/>
      <c r="LY474" s="9"/>
      <c r="LZ474" s="9"/>
      <c r="MA474" s="9"/>
      <c r="MB474" s="9"/>
      <c r="MC474" s="9"/>
      <c r="MD474" s="9"/>
      <c r="ME474" s="9"/>
      <c r="MF474" s="9"/>
      <c r="MG474" s="9"/>
      <c r="MH474" s="9"/>
      <c r="MI474" s="9"/>
      <c r="MJ474" s="9"/>
      <c r="MK474" s="9"/>
      <c r="ML474" s="9"/>
      <c r="MM474" s="9"/>
      <c r="MN474" s="9"/>
      <c r="MO474" s="9"/>
      <c r="MP474" s="9"/>
      <c r="MQ474" s="9"/>
      <c r="MR474" s="9"/>
      <c r="MS474" s="9"/>
      <c r="MT474" s="9"/>
      <c r="MU474" s="9"/>
      <c r="MV474" s="9"/>
      <c r="MW474" s="9"/>
      <c r="MX474" s="9"/>
      <c r="MY474" s="9"/>
      <c r="MZ474" s="9"/>
      <c r="NA474" s="9"/>
      <c r="NB474" s="9"/>
      <c r="NC474" s="9"/>
      <c r="ND474" s="9"/>
      <c r="NE474" s="9"/>
      <c r="NF474" s="9"/>
      <c r="NG474" s="9"/>
      <c r="NH474" s="9"/>
      <c r="NI474" s="9"/>
      <c r="NJ474" s="9"/>
      <c r="NK474" s="9"/>
      <c r="NL474" s="9"/>
      <c r="NM474" s="9"/>
      <c r="NN474" s="9"/>
      <c r="NO474" s="9"/>
      <c r="NP474" s="9"/>
      <c r="NQ474" s="9"/>
      <c r="NR474" s="9"/>
      <c r="NS474" s="9"/>
      <c r="NT474" s="9"/>
      <c r="NU474" s="9"/>
      <c r="NV474" s="9"/>
      <c r="NW474" s="9"/>
      <c r="NX474" s="9"/>
      <c r="NY474" s="9"/>
      <c r="NZ474" s="9"/>
      <c r="OA474" s="9"/>
      <c r="OB474" s="9"/>
      <c r="OC474" s="9"/>
      <c r="OD474" s="9"/>
      <c r="OE474" s="9"/>
      <c r="OF474" s="9"/>
      <c r="OG474" s="9"/>
      <c r="OH474" s="9"/>
      <c r="OI474" s="9"/>
      <c r="OJ474" s="9"/>
      <c r="OK474" s="9"/>
      <c r="OL474" s="9"/>
      <c r="OM474" s="9"/>
      <c r="ON474" s="9"/>
      <c r="OO474" s="9"/>
      <c r="OP474" s="9"/>
      <c r="OQ474" s="9"/>
      <c r="OR474" s="9"/>
      <c r="OS474" s="9"/>
      <c r="OT474" s="9"/>
      <c r="OU474" s="9"/>
      <c r="OV474" s="9"/>
      <c r="OW474" s="9"/>
      <c r="OX474" s="9"/>
      <c r="OY474" s="9"/>
      <c r="OZ474" s="9"/>
      <c r="PA474" s="9"/>
      <c r="PB474" s="9"/>
      <c r="PC474" s="9"/>
      <c r="PD474" s="9"/>
      <c r="PE474" s="9"/>
      <c r="PF474" s="9"/>
      <c r="PG474" s="9"/>
      <c r="PH474" s="9"/>
      <c r="PI474" s="9"/>
      <c r="PJ474" s="9"/>
      <c r="PK474" s="9"/>
      <c r="PL474" s="9"/>
      <c r="PM474" s="9"/>
      <c r="PN474" s="9"/>
      <c r="PO474" s="9"/>
      <c r="PP474" s="9"/>
      <c r="PQ474" s="9"/>
      <c r="PR474" s="9"/>
      <c r="PS474" s="9"/>
      <c r="PT474" s="9"/>
      <c r="PU474" s="9"/>
      <c r="PV474" s="9"/>
      <c r="PW474" s="9"/>
      <c r="PX474" s="9"/>
      <c r="PY474" s="9"/>
      <c r="PZ474" s="9"/>
      <c r="QA474" s="9"/>
      <c r="QB474" s="9"/>
      <c r="QC474" s="9"/>
      <c r="QD474" s="9"/>
      <c r="QE474" s="9"/>
      <c r="QF474" s="9"/>
      <c r="QG474" s="9"/>
      <c r="QH474" s="9"/>
      <c r="QI474" s="9"/>
      <c r="QJ474" s="9"/>
      <c r="QK474" s="9"/>
      <c r="QL474" s="9"/>
      <c r="QM474" s="9"/>
      <c r="QN474" s="9"/>
      <c r="QO474" s="9"/>
      <c r="QP474" s="9"/>
      <c r="QQ474" s="9"/>
      <c r="QR474" s="9"/>
      <c r="QS474" s="9"/>
      <c r="QT474" s="9"/>
      <c r="QU474" s="9"/>
      <c r="QV474" s="9"/>
      <c r="QW474" s="9"/>
      <c r="QX474" s="9"/>
      <c r="QY474" s="9"/>
      <c r="QZ474" s="9"/>
      <c r="RA474" s="9"/>
      <c r="RB474" s="9"/>
      <c r="RC474" s="9"/>
      <c r="RD474" s="9"/>
      <c r="RE474" s="9"/>
      <c r="RF474" s="9"/>
      <c r="RG474" s="9"/>
      <c r="RH474" s="9"/>
      <c r="RI474" s="9"/>
      <c r="RJ474" s="9"/>
      <c r="RK474" s="9"/>
      <c r="RL474" s="9"/>
      <c r="RM474" s="9"/>
      <c r="RN474" s="9"/>
      <c r="RO474" s="9"/>
      <c r="RP474" s="9"/>
      <c r="RQ474" s="9"/>
      <c r="RR474" s="9"/>
      <c r="RS474" s="9"/>
      <c r="RT474" s="9"/>
      <c r="RU474" s="9"/>
      <c r="RV474" s="9"/>
      <c r="RW474" s="9"/>
      <c r="RX474" s="9"/>
      <c r="RY474" s="9"/>
      <c r="RZ474" s="9"/>
      <c r="SA474" s="9"/>
      <c r="SB474" s="9"/>
      <c r="SC474" s="9"/>
      <c r="SD474" s="9"/>
      <c r="SE474" s="9"/>
      <c r="SF474" s="9"/>
      <c r="SG474" s="9"/>
      <c r="SH474" s="9"/>
      <c r="SI474" s="9"/>
      <c r="SJ474" s="9"/>
      <c r="SK474" s="9"/>
      <c r="SL474" s="9"/>
      <c r="SM474" s="9"/>
      <c r="SN474" s="9"/>
      <c r="SO474" s="9"/>
      <c r="SP474" s="9"/>
      <c r="SQ474" s="9"/>
      <c r="SR474" s="9"/>
      <c r="SS474" s="9"/>
      <c r="ST474" s="9"/>
      <c r="SU474" s="9"/>
      <c r="SV474" s="9"/>
      <c r="SW474" s="9"/>
      <c r="SX474" s="9"/>
      <c r="SY474" s="9"/>
      <c r="SZ474" s="9"/>
      <c r="TA474" s="9"/>
      <c r="TB474" s="9"/>
      <c r="TC474" s="9"/>
      <c r="TD474" s="9"/>
      <c r="TE474" s="9"/>
      <c r="TF474" s="9"/>
      <c r="TG474" s="9"/>
      <c r="TH474" s="9"/>
      <c r="TI474" s="9"/>
      <c r="TJ474" s="9"/>
      <c r="TK474" s="9"/>
      <c r="TL474" s="9"/>
      <c r="TM474" s="9"/>
      <c r="TN474" s="9"/>
      <c r="TO474" s="9"/>
      <c r="TP474" s="9"/>
      <c r="TQ474" s="9"/>
      <c r="TR474" s="9"/>
      <c r="TS474" s="9"/>
      <c r="TT474" s="9"/>
      <c r="TU474" s="9"/>
      <c r="TV474" s="9"/>
      <c r="TW474" s="9"/>
      <c r="TX474" s="9"/>
      <c r="TY474" s="9"/>
      <c r="TZ474" s="9"/>
      <c r="UA474" s="9"/>
      <c r="UB474" s="9"/>
      <c r="UC474" s="9"/>
      <c r="UD474" s="9"/>
      <c r="UE474" s="9"/>
      <c r="UF474" s="9"/>
      <c r="UG474" s="9"/>
      <c r="UH474" s="9"/>
      <c r="UI474" s="9"/>
      <c r="UJ474" s="9"/>
    </row>
    <row r="475">
      <c r="A475" s="8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  <c r="IC475" s="9"/>
      <c r="ID475" s="9"/>
      <c r="IE475" s="9"/>
      <c r="IF475" s="9"/>
      <c r="IG475" s="9"/>
      <c r="IH475" s="9"/>
      <c r="II475" s="9"/>
      <c r="IJ475" s="9"/>
      <c r="IK475" s="9"/>
      <c r="IL475" s="9"/>
      <c r="IM475" s="9"/>
      <c r="IN475" s="9"/>
      <c r="IO475" s="9"/>
      <c r="IP475" s="9"/>
      <c r="IQ475" s="9"/>
      <c r="IR475" s="9"/>
      <c r="IS475" s="9"/>
      <c r="IT475" s="9"/>
      <c r="IU475" s="9"/>
      <c r="IV475" s="9"/>
      <c r="IW475" s="9"/>
      <c r="IX475" s="9"/>
      <c r="IY475" s="9"/>
      <c r="IZ475" s="9"/>
      <c r="JA475" s="9"/>
      <c r="JB475" s="9"/>
      <c r="JC475" s="9"/>
      <c r="JD475" s="9"/>
      <c r="JE475" s="9"/>
      <c r="JF475" s="9"/>
      <c r="JG475" s="9"/>
      <c r="JH475" s="9"/>
      <c r="JI475" s="9"/>
      <c r="JJ475" s="9"/>
      <c r="JK475" s="9"/>
      <c r="JL475" s="9"/>
      <c r="JM475" s="9"/>
      <c r="JN475" s="9"/>
      <c r="JO475" s="9"/>
      <c r="JP475" s="9"/>
      <c r="JQ475" s="9"/>
      <c r="JR475" s="9"/>
      <c r="JS475" s="9"/>
      <c r="JT475" s="9"/>
      <c r="JU475" s="9"/>
      <c r="JV475" s="9"/>
      <c r="JW475" s="9"/>
      <c r="JX475" s="9"/>
      <c r="JY475" s="9"/>
      <c r="JZ475" s="9"/>
      <c r="KA475" s="9"/>
      <c r="KB475" s="9"/>
      <c r="KC475" s="9"/>
      <c r="KD475" s="9"/>
      <c r="KE475" s="9"/>
      <c r="KF475" s="9"/>
      <c r="KG475" s="9"/>
      <c r="KH475" s="9"/>
      <c r="KI475" s="9"/>
      <c r="KJ475" s="9"/>
      <c r="KK475" s="9"/>
      <c r="KL475" s="9"/>
      <c r="KM475" s="9"/>
      <c r="KN475" s="9"/>
      <c r="KO475" s="9"/>
      <c r="KP475" s="9"/>
      <c r="KQ475" s="9"/>
      <c r="KR475" s="9"/>
      <c r="KS475" s="9"/>
      <c r="KT475" s="9"/>
      <c r="KU475" s="9"/>
      <c r="KV475" s="9"/>
      <c r="KW475" s="9"/>
      <c r="KX475" s="9"/>
      <c r="KY475" s="9"/>
      <c r="KZ475" s="9"/>
      <c r="LA475" s="9"/>
      <c r="LB475" s="9"/>
      <c r="LC475" s="9"/>
      <c r="LD475" s="9"/>
      <c r="LE475" s="9"/>
      <c r="LF475" s="9"/>
      <c r="LG475" s="9"/>
      <c r="LH475" s="9"/>
      <c r="LI475" s="9"/>
      <c r="LJ475" s="9"/>
      <c r="LK475" s="9"/>
      <c r="LL475" s="9"/>
      <c r="LM475" s="9"/>
      <c r="LN475" s="9"/>
      <c r="LO475" s="9"/>
      <c r="LP475" s="9"/>
      <c r="LQ475" s="9"/>
      <c r="LR475" s="9"/>
      <c r="LS475" s="9"/>
      <c r="LT475" s="9"/>
      <c r="LU475" s="9"/>
      <c r="LV475" s="9"/>
      <c r="LW475" s="9"/>
      <c r="LX475" s="9"/>
      <c r="LY475" s="9"/>
      <c r="LZ475" s="9"/>
      <c r="MA475" s="9"/>
      <c r="MB475" s="9"/>
      <c r="MC475" s="9"/>
      <c r="MD475" s="9"/>
      <c r="ME475" s="9"/>
      <c r="MF475" s="9"/>
      <c r="MG475" s="9"/>
      <c r="MH475" s="9"/>
      <c r="MI475" s="9"/>
      <c r="MJ475" s="9"/>
      <c r="MK475" s="9"/>
      <c r="ML475" s="9"/>
      <c r="MM475" s="9"/>
      <c r="MN475" s="9"/>
      <c r="MO475" s="9"/>
      <c r="MP475" s="9"/>
      <c r="MQ475" s="9"/>
      <c r="MR475" s="9"/>
      <c r="MS475" s="9"/>
      <c r="MT475" s="9"/>
      <c r="MU475" s="9"/>
      <c r="MV475" s="9"/>
      <c r="MW475" s="9"/>
      <c r="MX475" s="9"/>
      <c r="MY475" s="9"/>
      <c r="MZ475" s="9"/>
      <c r="NA475" s="9"/>
      <c r="NB475" s="9"/>
      <c r="NC475" s="9"/>
      <c r="ND475" s="9"/>
      <c r="NE475" s="9"/>
      <c r="NF475" s="9"/>
      <c r="NG475" s="9"/>
      <c r="NH475" s="9"/>
      <c r="NI475" s="9"/>
      <c r="NJ475" s="9"/>
      <c r="NK475" s="9"/>
      <c r="NL475" s="9"/>
      <c r="NM475" s="9"/>
      <c r="NN475" s="9"/>
      <c r="NO475" s="9"/>
      <c r="NP475" s="9"/>
      <c r="NQ475" s="9"/>
      <c r="NR475" s="9"/>
      <c r="NS475" s="9"/>
      <c r="NT475" s="9"/>
      <c r="NU475" s="9"/>
      <c r="NV475" s="9"/>
      <c r="NW475" s="9"/>
      <c r="NX475" s="9"/>
      <c r="NY475" s="9"/>
      <c r="NZ475" s="9"/>
      <c r="OA475" s="9"/>
      <c r="OB475" s="9"/>
      <c r="OC475" s="9"/>
      <c r="OD475" s="9"/>
      <c r="OE475" s="9"/>
      <c r="OF475" s="9"/>
      <c r="OG475" s="9"/>
      <c r="OH475" s="9"/>
      <c r="OI475" s="9"/>
      <c r="OJ475" s="9"/>
      <c r="OK475" s="9"/>
      <c r="OL475" s="9"/>
      <c r="OM475" s="9"/>
      <c r="ON475" s="9"/>
      <c r="OO475" s="9"/>
      <c r="OP475" s="9"/>
      <c r="OQ475" s="9"/>
      <c r="OR475" s="9"/>
      <c r="OS475" s="9"/>
      <c r="OT475" s="9"/>
      <c r="OU475" s="9"/>
      <c r="OV475" s="9"/>
      <c r="OW475" s="9"/>
      <c r="OX475" s="9"/>
      <c r="OY475" s="9"/>
      <c r="OZ475" s="9"/>
      <c r="PA475" s="9"/>
      <c r="PB475" s="9"/>
      <c r="PC475" s="9"/>
      <c r="PD475" s="9"/>
      <c r="PE475" s="9"/>
      <c r="PF475" s="9"/>
      <c r="PG475" s="9"/>
      <c r="PH475" s="9"/>
      <c r="PI475" s="9"/>
      <c r="PJ475" s="9"/>
      <c r="PK475" s="9"/>
      <c r="PL475" s="9"/>
      <c r="PM475" s="9"/>
      <c r="PN475" s="9"/>
      <c r="PO475" s="9"/>
      <c r="PP475" s="9"/>
      <c r="PQ475" s="9"/>
      <c r="PR475" s="9"/>
      <c r="PS475" s="9"/>
      <c r="PT475" s="9"/>
      <c r="PU475" s="9"/>
      <c r="PV475" s="9"/>
      <c r="PW475" s="9"/>
      <c r="PX475" s="9"/>
      <c r="PY475" s="9"/>
      <c r="PZ475" s="9"/>
      <c r="QA475" s="9"/>
      <c r="QB475" s="9"/>
      <c r="QC475" s="9"/>
      <c r="QD475" s="9"/>
      <c r="QE475" s="9"/>
      <c r="QF475" s="9"/>
      <c r="QG475" s="9"/>
      <c r="QH475" s="9"/>
      <c r="QI475" s="9"/>
      <c r="QJ475" s="9"/>
      <c r="QK475" s="9"/>
      <c r="QL475" s="9"/>
      <c r="QM475" s="9"/>
      <c r="QN475" s="9"/>
      <c r="QO475" s="9"/>
      <c r="QP475" s="9"/>
      <c r="QQ475" s="9"/>
      <c r="QR475" s="9"/>
      <c r="QS475" s="9"/>
      <c r="QT475" s="9"/>
      <c r="QU475" s="9"/>
      <c r="QV475" s="9"/>
      <c r="QW475" s="9"/>
      <c r="QX475" s="9"/>
      <c r="QY475" s="9"/>
      <c r="QZ475" s="9"/>
      <c r="RA475" s="9"/>
      <c r="RB475" s="9"/>
      <c r="RC475" s="9"/>
      <c r="RD475" s="9"/>
      <c r="RE475" s="9"/>
      <c r="RF475" s="9"/>
      <c r="RG475" s="9"/>
      <c r="RH475" s="9"/>
      <c r="RI475" s="9"/>
      <c r="RJ475" s="9"/>
      <c r="RK475" s="9"/>
      <c r="RL475" s="9"/>
      <c r="RM475" s="9"/>
      <c r="RN475" s="9"/>
      <c r="RO475" s="9"/>
      <c r="RP475" s="9"/>
      <c r="RQ475" s="9"/>
      <c r="RR475" s="9"/>
      <c r="RS475" s="9"/>
      <c r="RT475" s="9"/>
      <c r="RU475" s="9"/>
      <c r="RV475" s="9"/>
      <c r="RW475" s="9"/>
      <c r="RX475" s="9"/>
      <c r="RY475" s="9"/>
      <c r="RZ475" s="9"/>
      <c r="SA475" s="9"/>
      <c r="SB475" s="9"/>
      <c r="SC475" s="9"/>
      <c r="SD475" s="9"/>
      <c r="SE475" s="9"/>
      <c r="SF475" s="9"/>
      <c r="SG475" s="9"/>
      <c r="SH475" s="9"/>
      <c r="SI475" s="9"/>
      <c r="SJ475" s="9"/>
      <c r="SK475" s="9"/>
      <c r="SL475" s="9"/>
      <c r="SM475" s="9"/>
      <c r="SN475" s="9"/>
      <c r="SO475" s="9"/>
      <c r="SP475" s="9"/>
      <c r="SQ475" s="9"/>
      <c r="SR475" s="9"/>
      <c r="SS475" s="9"/>
      <c r="ST475" s="9"/>
      <c r="SU475" s="9"/>
      <c r="SV475" s="9"/>
      <c r="SW475" s="9"/>
      <c r="SX475" s="9"/>
      <c r="SY475" s="9"/>
      <c r="SZ475" s="9"/>
      <c r="TA475" s="9"/>
      <c r="TB475" s="9"/>
      <c r="TC475" s="9"/>
      <c r="TD475" s="9"/>
      <c r="TE475" s="9"/>
      <c r="TF475" s="9"/>
      <c r="TG475" s="9"/>
      <c r="TH475" s="9"/>
      <c r="TI475" s="9"/>
      <c r="TJ475" s="9"/>
      <c r="TK475" s="9"/>
      <c r="TL475" s="9"/>
      <c r="TM475" s="9"/>
      <c r="TN475" s="9"/>
      <c r="TO475" s="9"/>
      <c r="TP475" s="9"/>
      <c r="TQ475" s="9"/>
      <c r="TR475" s="9"/>
      <c r="TS475" s="9"/>
      <c r="TT475" s="9"/>
      <c r="TU475" s="9"/>
      <c r="TV475" s="9"/>
      <c r="TW475" s="9"/>
      <c r="TX475" s="9"/>
      <c r="TY475" s="9"/>
      <c r="TZ475" s="9"/>
      <c r="UA475" s="9"/>
      <c r="UB475" s="9"/>
      <c r="UC475" s="9"/>
      <c r="UD475" s="9"/>
      <c r="UE475" s="9"/>
      <c r="UF475" s="9"/>
      <c r="UG475" s="9"/>
      <c r="UH475" s="9"/>
      <c r="UI475" s="9"/>
      <c r="UJ475" s="9"/>
    </row>
    <row r="476">
      <c r="A476" s="8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9"/>
      <c r="IA476" s="9"/>
      <c r="IB476" s="9"/>
      <c r="IC476" s="9"/>
      <c r="ID476" s="9"/>
      <c r="IE476" s="9"/>
      <c r="IF476" s="9"/>
      <c r="IG476" s="9"/>
      <c r="IH476" s="9"/>
      <c r="II476" s="9"/>
      <c r="IJ476" s="9"/>
      <c r="IK476" s="9"/>
      <c r="IL476" s="9"/>
      <c r="IM476" s="9"/>
      <c r="IN476" s="9"/>
      <c r="IO476" s="9"/>
      <c r="IP476" s="9"/>
      <c r="IQ476" s="9"/>
      <c r="IR476" s="9"/>
      <c r="IS476" s="9"/>
      <c r="IT476" s="9"/>
      <c r="IU476" s="9"/>
      <c r="IV476" s="9"/>
      <c r="IW476" s="9"/>
      <c r="IX476" s="9"/>
      <c r="IY476" s="9"/>
      <c r="IZ476" s="9"/>
      <c r="JA476" s="9"/>
      <c r="JB476" s="9"/>
      <c r="JC476" s="9"/>
      <c r="JD476" s="9"/>
      <c r="JE476" s="9"/>
      <c r="JF476" s="9"/>
      <c r="JG476" s="9"/>
      <c r="JH476" s="9"/>
      <c r="JI476" s="9"/>
      <c r="JJ476" s="9"/>
      <c r="JK476" s="9"/>
      <c r="JL476" s="9"/>
      <c r="JM476" s="9"/>
      <c r="JN476" s="9"/>
      <c r="JO476" s="9"/>
      <c r="JP476" s="9"/>
      <c r="JQ476" s="9"/>
      <c r="JR476" s="9"/>
      <c r="JS476" s="9"/>
      <c r="JT476" s="9"/>
      <c r="JU476" s="9"/>
      <c r="JV476" s="9"/>
      <c r="JW476" s="9"/>
      <c r="JX476" s="9"/>
      <c r="JY476" s="9"/>
      <c r="JZ476" s="9"/>
      <c r="KA476" s="9"/>
      <c r="KB476" s="9"/>
      <c r="KC476" s="9"/>
      <c r="KD476" s="9"/>
      <c r="KE476" s="9"/>
      <c r="KF476" s="9"/>
      <c r="KG476" s="9"/>
      <c r="KH476" s="9"/>
      <c r="KI476" s="9"/>
      <c r="KJ476" s="9"/>
      <c r="KK476" s="9"/>
      <c r="KL476" s="9"/>
      <c r="KM476" s="9"/>
      <c r="KN476" s="9"/>
      <c r="KO476" s="9"/>
      <c r="KP476" s="9"/>
      <c r="KQ476" s="9"/>
      <c r="KR476" s="9"/>
      <c r="KS476" s="9"/>
      <c r="KT476" s="9"/>
      <c r="KU476" s="9"/>
      <c r="KV476" s="9"/>
      <c r="KW476" s="9"/>
      <c r="KX476" s="9"/>
      <c r="KY476" s="9"/>
      <c r="KZ476" s="9"/>
      <c r="LA476" s="9"/>
      <c r="LB476" s="9"/>
      <c r="LC476" s="9"/>
      <c r="LD476" s="9"/>
      <c r="LE476" s="9"/>
      <c r="LF476" s="9"/>
      <c r="LG476" s="9"/>
      <c r="LH476" s="9"/>
      <c r="LI476" s="9"/>
      <c r="LJ476" s="9"/>
      <c r="LK476" s="9"/>
      <c r="LL476" s="9"/>
      <c r="LM476" s="9"/>
      <c r="LN476" s="9"/>
      <c r="LO476" s="9"/>
      <c r="LP476" s="9"/>
      <c r="LQ476" s="9"/>
      <c r="LR476" s="9"/>
      <c r="LS476" s="9"/>
      <c r="LT476" s="9"/>
      <c r="LU476" s="9"/>
      <c r="LV476" s="9"/>
      <c r="LW476" s="9"/>
      <c r="LX476" s="9"/>
      <c r="LY476" s="9"/>
      <c r="LZ476" s="9"/>
      <c r="MA476" s="9"/>
      <c r="MB476" s="9"/>
      <c r="MC476" s="9"/>
      <c r="MD476" s="9"/>
      <c r="ME476" s="9"/>
      <c r="MF476" s="9"/>
      <c r="MG476" s="9"/>
      <c r="MH476" s="9"/>
      <c r="MI476" s="9"/>
      <c r="MJ476" s="9"/>
      <c r="MK476" s="9"/>
      <c r="ML476" s="9"/>
      <c r="MM476" s="9"/>
      <c r="MN476" s="9"/>
      <c r="MO476" s="9"/>
      <c r="MP476" s="9"/>
      <c r="MQ476" s="9"/>
      <c r="MR476" s="9"/>
      <c r="MS476" s="9"/>
      <c r="MT476" s="9"/>
      <c r="MU476" s="9"/>
      <c r="MV476" s="9"/>
      <c r="MW476" s="9"/>
      <c r="MX476" s="9"/>
      <c r="MY476" s="9"/>
      <c r="MZ476" s="9"/>
      <c r="NA476" s="9"/>
      <c r="NB476" s="9"/>
      <c r="NC476" s="9"/>
      <c r="ND476" s="9"/>
      <c r="NE476" s="9"/>
      <c r="NF476" s="9"/>
      <c r="NG476" s="9"/>
      <c r="NH476" s="9"/>
      <c r="NI476" s="9"/>
      <c r="NJ476" s="9"/>
      <c r="NK476" s="9"/>
      <c r="NL476" s="9"/>
      <c r="NM476" s="9"/>
      <c r="NN476" s="9"/>
      <c r="NO476" s="9"/>
      <c r="NP476" s="9"/>
      <c r="NQ476" s="9"/>
      <c r="NR476" s="9"/>
      <c r="NS476" s="9"/>
      <c r="NT476" s="9"/>
      <c r="NU476" s="9"/>
      <c r="NV476" s="9"/>
      <c r="NW476" s="9"/>
      <c r="NX476" s="9"/>
      <c r="NY476" s="9"/>
      <c r="NZ476" s="9"/>
      <c r="OA476" s="9"/>
      <c r="OB476" s="9"/>
      <c r="OC476" s="9"/>
      <c r="OD476" s="9"/>
      <c r="OE476" s="9"/>
      <c r="OF476" s="9"/>
      <c r="OG476" s="9"/>
      <c r="OH476" s="9"/>
      <c r="OI476" s="9"/>
      <c r="OJ476" s="9"/>
      <c r="OK476" s="9"/>
      <c r="OL476" s="9"/>
      <c r="OM476" s="9"/>
      <c r="ON476" s="9"/>
      <c r="OO476" s="9"/>
      <c r="OP476" s="9"/>
      <c r="OQ476" s="9"/>
      <c r="OR476" s="9"/>
      <c r="OS476" s="9"/>
      <c r="OT476" s="9"/>
      <c r="OU476" s="9"/>
      <c r="OV476" s="9"/>
      <c r="OW476" s="9"/>
      <c r="OX476" s="9"/>
      <c r="OY476" s="9"/>
      <c r="OZ476" s="9"/>
      <c r="PA476" s="9"/>
      <c r="PB476" s="9"/>
      <c r="PC476" s="9"/>
      <c r="PD476" s="9"/>
      <c r="PE476" s="9"/>
      <c r="PF476" s="9"/>
      <c r="PG476" s="9"/>
      <c r="PH476" s="9"/>
      <c r="PI476" s="9"/>
      <c r="PJ476" s="9"/>
      <c r="PK476" s="9"/>
      <c r="PL476" s="9"/>
      <c r="PM476" s="9"/>
      <c r="PN476" s="9"/>
      <c r="PO476" s="9"/>
      <c r="PP476" s="9"/>
      <c r="PQ476" s="9"/>
      <c r="PR476" s="9"/>
      <c r="PS476" s="9"/>
      <c r="PT476" s="9"/>
      <c r="PU476" s="9"/>
      <c r="PV476" s="9"/>
      <c r="PW476" s="9"/>
      <c r="PX476" s="9"/>
      <c r="PY476" s="9"/>
      <c r="PZ476" s="9"/>
      <c r="QA476" s="9"/>
      <c r="QB476" s="9"/>
      <c r="QC476" s="9"/>
      <c r="QD476" s="9"/>
      <c r="QE476" s="9"/>
      <c r="QF476" s="9"/>
      <c r="QG476" s="9"/>
      <c r="QH476" s="9"/>
      <c r="QI476" s="9"/>
      <c r="QJ476" s="9"/>
      <c r="QK476" s="9"/>
      <c r="QL476" s="9"/>
      <c r="QM476" s="9"/>
      <c r="QN476" s="9"/>
      <c r="QO476" s="9"/>
      <c r="QP476" s="9"/>
      <c r="QQ476" s="9"/>
      <c r="QR476" s="9"/>
      <c r="QS476" s="9"/>
      <c r="QT476" s="9"/>
      <c r="QU476" s="9"/>
      <c r="QV476" s="9"/>
      <c r="QW476" s="9"/>
      <c r="QX476" s="9"/>
      <c r="QY476" s="9"/>
      <c r="QZ476" s="9"/>
      <c r="RA476" s="9"/>
      <c r="RB476" s="9"/>
      <c r="RC476" s="9"/>
      <c r="RD476" s="9"/>
      <c r="RE476" s="9"/>
      <c r="RF476" s="9"/>
      <c r="RG476" s="9"/>
      <c r="RH476" s="9"/>
      <c r="RI476" s="9"/>
      <c r="RJ476" s="9"/>
      <c r="RK476" s="9"/>
      <c r="RL476" s="9"/>
      <c r="RM476" s="9"/>
      <c r="RN476" s="9"/>
      <c r="RO476" s="9"/>
      <c r="RP476" s="9"/>
      <c r="RQ476" s="9"/>
      <c r="RR476" s="9"/>
      <c r="RS476" s="9"/>
      <c r="RT476" s="9"/>
      <c r="RU476" s="9"/>
      <c r="RV476" s="9"/>
      <c r="RW476" s="9"/>
      <c r="RX476" s="9"/>
      <c r="RY476" s="9"/>
      <c r="RZ476" s="9"/>
      <c r="SA476" s="9"/>
      <c r="SB476" s="9"/>
      <c r="SC476" s="9"/>
      <c r="SD476" s="9"/>
      <c r="SE476" s="9"/>
      <c r="SF476" s="9"/>
      <c r="SG476" s="9"/>
      <c r="SH476" s="9"/>
      <c r="SI476" s="9"/>
      <c r="SJ476" s="9"/>
      <c r="SK476" s="9"/>
      <c r="SL476" s="9"/>
      <c r="SM476" s="9"/>
      <c r="SN476" s="9"/>
      <c r="SO476" s="9"/>
      <c r="SP476" s="9"/>
      <c r="SQ476" s="9"/>
      <c r="SR476" s="9"/>
      <c r="SS476" s="9"/>
      <c r="ST476" s="9"/>
      <c r="SU476" s="9"/>
      <c r="SV476" s="9"/>
      <c r="SW476" s="9"/>
      <c r="SX476" s="9"/>
      <c r="SY476" s="9"/>
      <c r="SZ476" s="9"/>
      <c r="TA476" s="9"/>
      <c r="TB476" s="9"/>
      <c r="TC476" s="9"/>
      <c r="TD476" s="9"/>
      <c r="TE476" s="9"/>
      <c r="TF476" s="9"/>
      <c r="TG476" s="9"/>
      <c r="TH476" s="9"/>
      <c r="TI476" s="9"/>
      <c r="TJ476" s="9"/>
      <c r="TK476" s="9"/>
      <c r="TL476" s="9"/>
      <c r="TM476" s="9"/>
      <c r="TN476" s="9"/>
      <c r="TO476" s="9"/>
      <c r="TP476" s="9"/>
      <c r="TQ476" s="9"/>
      <c r="TR476" s="9"/>
      <c r="TS476" s="9"/>
      <c r="TT476" s="9"/>
      <c r="TU476" s="9"/>
      <c r="TV476" s="9"/>
      <c r="TW476" s="9"/>
      <c r="TX476" s="9"/>
      <c r="TY476" s="9"/>
      <c r="TZ476" s="9"/>
      <c r="UA476" s="9"/>
      <c r="UB476" s="9"/>
      <c r="UC476" s="9"/>
      <c r="UD476" s="9"/>
      <c r="UE476" s="9"/>
      <c r="UF476" s="9"/>
      <c r="UG476" s="9"/>
      <c r="UH476" s="9"/>
      <c r="UI476" s="9"/>
      <c r="UJ476" s="9"/>
    </row>
    <row r="477">
      <c r="A477" s="8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  <c r="IN477" s="9"/>
      <c r="IO477" s="9"/>
      <c r="IP477" s="9"/>
      <c r="IQ477" s="9"/>
      <c r="IR477" s="9"/>
      <c r="IS477" s="9"/>
      <c r="IT477" s="9"/>
      <c r="IU477" s="9"/>
      <c r="IV477" s="9"/>
      <c r="IW477" s="9"/>
      <c r="IX477" s="9"/>
      <c r="IY477" s="9"/>
      <c r="IZ477" s="9"/>
      <c r="JA477" s="9"/>
      <c r="JB477" s="9"/>
      <c r="JC477" s="9"/>
      <c r="JD477" s="9"/>
      <c r="JE477" s="9"/>
      <c r="JF477" s="9"/>
      <c r="JG477" s="9"/>
      <c r="JH477" s="9"/>
      <c r="JI477" s="9"/>
      <c r="JJ477" s="9"/>
      <c r="JK477" s="9"/>
      <c r="JL477" s="9"/>
      <c r="JM477" s="9"/>
      <c r="JN477" s="9"/>
      <c r="JO477" s="9"/>
      <c r="JP477" s="9"/>
      <c r="JQ477" s="9"/>
      <c r="JR477" s="9"/>
      <c r="JS477" s="9"/>
      <c r="JT477" s="9"/>
      <c r="JU477" s="9"/>
      <c r="JV477" s="9"/>
      <c r="JW477" s="9"/>
      <c r="JX477" s="9"/>
      <c r="JY477" s="9"/>
      <c r="JZ477" s="9"/>
      <c r="KA477" s="9"/>
      <c r="KB477" s="9"/>
      <c r="KC477" s="9"/>
      <c r="KD477" s="9"/>
      <c r="KE477" s="9"/>
      <c r="KF477" s="9"/>
      <c r="KG477" s="9"/>
      <c r="KH477" s="9"/>
      <c r="KI477" s="9"/>
      <c r="KJ477" s="9"/>
      <c r="KK477" s="9"/>
      <c r="KL477" s="9"/>
      <c r="KM477" s="9"/>
      <c r="KN477" s="9"/>
      <c r="KO477" s="9"/>
      <c r="KP477" s="9"/>
      <c r="KQ477" s="9"/>
      <c r="KR477" s="9"/>
      <c r="KS477" s="9"/>
      <c r="KT477" s="9"/>
      <c r="KU477" s="9"/>
      <c r="KV477" s="9"/>
      <c r="KW477" s="9"/>
      <c r="KX477" s="9"/>
      <c r="KY477" s="9"/>
      <c r="KZ477" s="9"/>
      <c r="LA477" s="9"/>
      <c r="LB477" s="9"/>
      <c r="LC477" s="9"/>
      <c r="LD477" s="9"/>
      <c r="LE477" s="9"/>
      <c r="LF477" s="9"/>
      <c r="LG477" s="9"/>
      <c r="LH477" s="9"/>
      <c r="LI477" s="9"/>
      <c r="LJ477" s="9"/>
      <c r="LK477" s="9"/>
      <c r="LL477" s="9"/>
      <c r="LM477" s="9"/>
      <c r="LN477" s="9"/>
      <c r="LO477" s="9"/>
      <c r="LP477" s="9"/>
      <c r="LQ477" s="9"/>
      <c r="LR477" s="9"/>
      <c r="LS477" s="9"/>
      <c r="LT477" s="9"/>
      <c r="LU477" s="9"/>
      <c r="LV477" s="9"/>
      <c r="LW477" s="9"/>
      <c r="LX477" s="9"/>
      <c r="LY477" s="9"/>
      <c r="LZ477" s="9"/>
      <c r="MA477" s="9"/>
      <c r="MB477" s="9"/>
      <c r="MC477" s="9"/>
      <c r="MD477" s="9"/>
      <c r="ME477" s="9"/>
      <c r="MF477" s="9"/>
      <c r="MG477" s="9"/>
      <c r="MH477" s="9"/>
      <c r="MI477" s="9"/>
      <c r="MJ477" s="9"/>
      <c r="MK477" s="9"/>
      <c r="ML477" s="9"/>
      <c r="MM477" s="9"/>
      <c r="MN477" s="9"/>
      <c r="MO477" s="9"/>
      <c r="MP477" s="9"/>
      <c r="MQ477" s="9"/>
      <c r="MR477" s="9"/>
      <c r="MS477" s="9"/>
      <c r="MT477" s="9"/>
      <c r="MU477" s="9"/>
      <c r="MV477" s="9"/>
      <c r="MW477" s="9"/>
      <c r="MX477" s="9"/>
      <c r="MY477" s="9"/>
      <c r="MZ477" s="9"/>
      <c r="NA477" s="9"/>
      <c r="NB477" s="9"/>
      <c r="NC477" s="9"/>
      <c r="ND477" s="9"/>
      <c r="NE477" s="9"/>
      <c r="NF477" s="9"/>
      <c r="NG477" s="9"/>
      <c r="NH477" s="9"/>
      <c r="NI477" s="9"/>
      <c r="NJ477" s="9"/>
      <c r="NK477" s="9"/>
      <c r="NL477" s="9"/>
      <c r="NM477" s="9"/>
      <c r="NN477" s="9"/>
      <c r="NO477" s="9"/>
      <c r="NP477" s="9"/>
      <c r="NQ477" s="9"/>
      <c r="NR477" s="9"/>
      <c r="NS477" s="9"/>
      <c r="NT477" s="9"/>
      <c r="NU477" s="9"/>
      <c r="NV477" s="9"/>
      <c r="NW477" s="9"/>
      <c r="NX477" s="9"/>
      <c r="NY477" s="9"/>
      <c r="NZ477" s="9"/>
      <c r="OA477" s="9"/>
      <c r="OB477" s="9"/>
      <c r="OC477" s="9"/>
      <c r="OD477" s="9"/>
      <c r="OE477" s="9"/>
      <c r="OF477" s="9"/>
      <c r="OG477" s="9"/>
      <c r="OH477" s="9"/>
      <c r="OI477" s="9"/>
      <c r="OJ477" s="9"/>
      <c r="OK477" s="9"/>
      <c r="OL477" s="9"/>
      <c r="OM477" s="9"/>
      <c r="ON477" s="9"/>
      <c r="OO477" s="9"/>
      <c r="OP477" s="9"/>
      <c r="OQ477" s="9"/>
      <c r="OR477" s="9"/>
      <c r="OS477" s="9"/>
      <c r="OT477" s="9"/>
      <c r="OU477" s="9"/>
      <c r="OV477" s="9"/>
      <c r="OW477" s="9"/>
      <c r="OX477" s="9"/>
      <c r="OY477" s="9"/>
      <c r="OZ477" s="9"/>
      <c r="PA477" s="9"/>
      <c r="PB477" s="9"/>
      <c r="PC477" s="9"/>
      <c r="PD477" s="9"/>
      <c r="PE477" s="9"/>
      <c r="PF477" s="9"/>
      <c r="PG477" s="9"/>
      <c r="PH477" s="9"/>
      <c r="PI477" s="9"/>
      <c r="PJ477" s="9"/>
      <c r="PK477" s="9"/>
      <c r="PL477" s="9"/>
      <c r="PM477" s="9"/>
      <c r="PN477" s="9"/>
      <c r="PO477" s="9"/>
      <c r="PP477" s="9"/>
      <c r="PQ477" s="9"/>
      <c r="PR477" s="9"/>
      <c r="PS477" s="9"/>
      <c r="PT477" s="9"/>
      <c r="PU477" s="9"/>
      <c r="PV477" s="9"/>
      <c r="PW477" s="9"/>
      <c r="PX477" s="9"/>
      <c r="PY477" s="9"/>
      <c r="PZ477" s="9"/>
      <c r="QA477" s="9"/>
      <c r="QB477" s="9"/>
      <c r="QC477" s="9"/>
      <c r="QD477" s="9"/>
      <c r="QE477" s="9"/>
      <c r="QF477" s="9"/>
      <c r="QG477" s="9"/>
      <c r="QH477" s="9"/>
      <c r="QI477" s="9"/>
      <c r="QJ477" s="9"/>
      <c r="QK477" s="9"/>
      <c r="QL477" s="9"/>
      <c r="QM477" s="9"/>
      <c r="QN477" s="9"/>
      <c r="QO477" s="9"/>
      <c r="QP477" s="9"/>
      <c r="QQ477" s="9"/>
      <c r="QR477" s="9"/>
      <c r="QS477" s="9"/>
      <c r="QT477" s="9"/>
      <c r="QU477" s="9"/>
      <c r="QV477" s="9"/>
      <c r="QW477" s="9"/>
      <c r="QX477" s="9"/>
      <c r="QY477" s="9"/>
      <c r="QZ477" s="9"/>
      <c r="RA477" s="9"/>
      <c r="RB477" s="9"/>
      <c r="RC477" s="9"/>
      <c r="RD477" s="9"/>
      <c r="RE477" s="9"/>
      <c r="RF477" s="9"/>
      <c r="RG477" s="9"/>
      <c r="RH477" s="9"/>
      <c r="RI477" s="9"/>
      <c r="RJ477" s="9"/>
      <c r="RK477" s="9"/>
      <c r="RL477" s="9"/>
      <c r="RM477" s="9"/>
      <c r="RN477" s="9"/>
      <c r="RO477" s="9"/>
      <c r="RP477" s="9"/>
      <c r="RQ477" s="9"/>
      <c r="RR477" s="9"/>
      <c r="RS477" s="9"/>
      <c r="RT477" s="9"/>
      <c r="RU477" s="9"/>
      <c r="RV477" s="9"/>
      <c r="RW477" s="9"/>
      <c r="RX477" s="9"/>
      <c r="RY477" s="9"/>
      <c r="RZ477" s="9"/>
      <c r="SA477" s="9"/>
      <c r="SB477" s="9"/>
      <c r="SC477" s="9"/>
      <c r="SD477" s="9"/>
      <c r="SE477" s="9"/>
      <c r="SF477" s="9"/>
      <c r="SG477" s="9"/>
      <c r="SH477" s="9"/>
      <c r="SI477" s="9"/>
      <c r="SJ477" s="9"/>
      <c r="SK477" s="9"/>
      <c r="SL477" s="9"/>
      <c r="SM477" s="9"/>
      <c r="SN477" s="9"/>
      <c r="SO477" s="9"/>
      <c r="SP477" s="9"/>
      <c r="SQ477" s="9"/>
      <c r="SR477" s="9"/>
      <c r="SS477" s="9"/>
      <c r="ST477" s="9"/>
      <c r="SU477" s="9"/>
      <c r="SV477" s="9"/>
      <c r="SW477" s="9"/>
      <c r="SX477" s="9"/>
      <c r="SY477" s="9"/>
      <c r="SZ477" s="9"/>
      <c r="TA477" s="9"/>
      <c r="TB477" s="9"/>
      <c r="TC477" s="9"/>
      <c r="TD477" s="9"/>
      <c r="TE477" s="9"/>
      <c r="TF477" s="9"/>
      <c r="TG477" s="9"/>
      <c r="TH477" s="9"/>
      <c r="TI477" s="9"/>
      <c r="TJ477" s="9"/>
      <c r="TK477" s="9"/>
      <c r="TL477" s="9"/>
      <c r="TM477" s="9"/>
      <c r="TN477" s="9"/>
      <c r="TO477" s="9"/>
      <c r="TP477" s="9"/>
      <c r="TQ477" s="9"/>
      <c r="TR477" s="9"/>
      <c r="TS477" s="9"/>
      <c r="TT477" s="9"/>
      <c r="TU477" s="9"/>
      <c r="TV477" s="9"/>
      <c r="TW477" s="9"/>
      <c r="TX477" s="9"/>
      <c r="TY477" s="9"/>
      <c r="TZ477" s="9"/>
      <c r="UA477" s="9"/>
      <c r="UB477" s="9"/>
      <c r="UC477" s="9"/>
      <c r="UD477" s="9"/>
      <c r="UE477" s="9"/>
      <c r="UF477" s="9"/>
      <c r="UG477" s="9"/>
      <c r="UH477" s="9"/>
      <c r="UI477" s="9"/>
      <c r="UJ477" s="9"/>
    </row>
    <row r="478">
      <c r="A478" s="8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</row>
    <row r="479">
      <c r="A479" s="8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</row>
    <row r="480">
      <c r="A480" s="8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  <c r="IC480" s="9"/>
      <c r="ID480" s="9"/>
      <c r="IE480" s="9"/>
      <c r="IF480" s="9"/>
      <c r="IG480" s="9"/>
      <c r="IH480" s="9"/>
      <c r="II480" s="9"/>
      <c r="IJ480" s="9"/>
      <c r="IK480" s="9"/>
      <c r="IL480" s="9"/>
      <c r="IM480" s="9"/>
      <c r="IN480" s="9"/>
      <c r="IO480" s="9"/>
      <c r="IP480" s="9"/>
      <c r="IQ480" s="9"/>
      <c r="IR480" s="9"/>
      <c r="IS480" s="9"/>
      <c r="IT480" s="9"/>
      <c r="IU480" s="9"/>
      <c r="IV480" s="9"/>
      <c r="IW480" s="9"/>
      <c r="IX480" s="9"/>
      <c r="IY480" s="9"/>
      <c r="IZ480" s="9"/>
      <c r="JA480" s="9"/>
      <c r="JB480" s="9"/>
      <c r="JC480" s="9"/>
      <c r="JD480" s="9"/>
      <c r="JE480" s="9"/>
      <c r="JF480" s="9"/>
      <c r="JG480" s="9"/>
      <c r="JH480" s="9"/>
      <c r="JI480" s="9"/>
      <c r="JJ480" s="9"/>
      <c r="JK480" s="9"/>
      <c r="JL480" s="9"/>
      <c r="JM480" s="9"/>
      <c r="JN480" s="9"/>
      <c r="JO480" s="9"/>
      <c r="JP480" s="9"/>
      <c r="JQ480" s="9"/>
      <c r="JR480" s="9"/>
      <c r="JS480" s="9"/>
      <c r="JT480" s="9"/>
      <c r="JU480" s="9"/>
      <c r="JV480" s="9"/>
      <c r="JW480" s="9"/>
      <c r="JX480" s="9"/>
      <c r="JY480" s="9"/>
      <c r="JZ480" s="9"/>
      <c r="KA480" s="9"/>
      <c r="KB480" s="9"/>
      <c r="KC480" s="9"/>
      <c r="KD480" s="9"/>
      <c r="KE480" s="9"/>
      <c r="KF480" s="9"/>
      <c r="KG480" s="9"/>
      <c r="KH480" s="9"/>
      <c r="KI480" s="9"/>
      <c r="KJ480" s="9"/>
      <c r="KK480" s="9"/>
      <c r="KL480" s="9"/>
      <c r="KM480" s="9"/>
      <c r="KN480" s="9"/>
      <c r="KO480" s="9"/>
      <c r="KP480" s="9"/>
      <c r="KQ480" s="9"/>
      <c r="KR480" s="9"/>
      <c r="KS480" s="9"/>
      <c r="KT480" s="9"/>
      <c r="KU480" s="9"/>
      <c r="KV480" s="9"/>
      <c r="KW480" s="9"/>
      <c r="KX480" s="9"/>
      <c r="KY480" s="9"/>
      <c r="KZ480" s="9"/>
      <c r="LA480" s="9"/>
      <c r="LB480" s="9"/>
      <c r="LC480" s="9"/>
      <c r="LD480" s="9"/>
      <c r="LE480" s="9"/>
      <c r="LF480" s="9"/>
      <c r="LG480" s="9"/>
      <c r="LH480" s="9"/>
      <c r="LI480" s="9"/>
      <c r="LJ480" s="9"/>
      <c r="LK480" s="9"/>
      <c r="LL480" s="9"/>
      <c r="LM480" s="9"/>
      <c r="LN480" s="9"/>
      <c r="LO480" s="9"/>
      <c r="LP480" s="9"/>
      <c r="LQ480" s="9"/>
      <c r="LR480" s="9"/>
      <c r="LS480" s="9"/>
      <c r="LT480" s="9"/>
      <c r="LU480" s="9"/>
      <c r="LV480" s="9"/>
      <c r="LW480" s="9"/>
      <c r="LX480" s="9"/>
      <c r="LY480" s="9"/>
      <c r="LZ480" s="9"/>
      <c r="MA480" s="9"/>
      <c r="MB480" s="9"/>
      <c r="MC480" s="9"/>
      <c r="MD480" s="9"/>
      <c r="ME480" s="9"/>
      <c r="MF480" s="9"/>
      <c r="MG480" s="9"/>
      <c r="MH480" s="9"/>
      <c r="MI480" s="9"/>
      <c r="MJ480" s="9"/>
      <c r="MK480" s="9"/>
      <c r="ML480" s="9"/>
      <c r="MM480" s="9"/>
      <c r="MN480" s="9"/>
      <c r="MO480" s="9"/>
      <c r="MP480" s="9"/>
      <c r="MQ480" s="9"/>
      <c r="MR480" s="9"/>
      <c r="MS480" s="9"/>
      <c r="MT480" s="9"/>
      <c r="MU480" s="9"/>
      <c r="MV480" s="9"/>
      <c r="MW480" s="9"/>
      <c r="MX480" s="9"/>
      <c r="MY480" s="9"/>
      <c r="MZ480" s="9"/>
      <c r="NA480" s="9"/>
      <c r="NB480" s="9"/>
      <c r="NC480" s="9"/>
      <c r="ND480" s="9"/>
      <c r="NE480" s="9"/>
      <c r="NF480" s="9"/>
      <c r="NG480" s="9"/>
      <c r="NH480" s="9"/>
      <c r="NI480" s="9"/>
      <c r="NJ480" s="9"/>
      <c r="NK480" s="9"/>
      <c r="NL480" s="9"/>
      <c r="NM480" s="9"/>
      <c r="NN480" s="9"/>
      <c r="NO480" s="9"/>
      <c r="NP480" s="9"/>
      <c r="NQ480" s="9"/>
      <c r="NR480" s="9"/>
      <c r="NS480" s="9"/>
      <c r="NT480" s="9"/>
      <c r="NU480" s="9"/>
      <c r="NV480" s="9"/>
      <c r="NW480" s="9"/>
      <c r="NX480" s="9"/>
      <c r="NY480" s="9"/>
      <c r="NZ480" s="9"/>
      <c r="OA480" s="9"/>
      <c r="OB480" s="9"/>
      <c r="OC480" s="9"/>
      <c r="OD480" s="9"/>
      <c r="OE480" s="9"/>
      <c r="OF480" s="9"/>
      <c r="OG480" s="9"/>
      <c r="OH480" s="9"/>
      <c r="OI480" s="9"/>
      <c r="OJ480" s="9"/>
      <c r="OK480" s="9"/>
      <c r="OL480" s="9"/>
      <c r="OM480" s="9"/>
      <c r="ON480" s="9"/>
      <c r="OO480" s="9"/>
      <c r="OP480" s="9"/>
      <c r="OQ480" s="9"/>
      <c r="OR480" s="9"/>
      <c r="OS480" s="9"/>
      <c r="OT480" s="9"/>
      <c r="OU480" s="9"/>
      <c r="OV480" s="9"/>
      <c r="OW480" s="9"/>
      <c r="OX480" s="9"/>
      <c r="OY480" s="9"/>
      <c r="OZ480" s="9"/>
      <c r="PA480" s="9"/>
      <c r="PB480" s="9"/>
      <c r="PC480" s="9"/>
      <c r="PD480" s="9"/>
      <c r="PE480" s="9"/>
      <c r="PF480" s="9"/>
      <c r="PG480" s="9"/>
      <c r="PH480" s="9"/>
      <c r="PI480" s="9"/>
      <c r="PJ480" s="9"/>
      <c r="PK480" s="9"/>
      <c r="PL480" s="9"/>
      <c r="PM480" s="9"/>
      <c r="PN480" s="9"/>
      <c r="PO480" s="9"/>
      <c r="PP480" s="9"/>
      <c r="PQ480" s="9"/>
      <c r="PR480" s="9"/>
      <c r="PS480" s="9"/>
      <c r="PT480" s="9"/>
      <c r="PU480" s="9"/>
      <c r="PV480" s="9"/>
      <c r="PW480" s="9"/>
      <c r="PX480" s="9"/>
      <c r="PY480" s="9"/>
      <c r="PZ480" s="9"/>
      <c r="QA480" s="9"/>
      <c r="QB480" s="9"/>
      <c r="QC480" s="9"/>
      <c r="QD480" s="9"/>
      <c r="QE480" s="9"/>
      <c r="QF480" s="9"/>
      <c r="QG480" s="9"/>
      <c r="QH480" s="9"/>
      <c r="QI480" s="9"/>
      <c r="QJ480" s="9"/>
      <c r="QK480" s="9"/>
      <c r="QL480" s="9"/>
      <c r="QM480" s="9"/>
      <c r="QN480" s="9"/>
      <c r="QO480" s="9"/>
      <c r="QP480" s="9"/>
      <c r="QQ480" s="9"/>
      <c r="QR480" s="9"/>
      <c r="QS480" s="9"/>
      <c r="QT480" s="9"/>
      <c r="QU480" s="9"/>
      <c r="QV480" s="9"/>
      <c r="QW480" s="9"/>
      <c r="QX480" s="9"/>
      <c r="QY480" s="9"/>
      <c r="QZ480" s="9"/>
      <c r="RA480" s="9"/>
      <c r="RB480" s="9"/>
      <c r="RC480" s="9"/>
      <c r="RD480" s="9"/>
      <c r="RE480" s="9"/>
      <c r="RF480" s="9"/>
      <c r="RG480" s="9"/>
      <c r="RH480" s="9"/>
      <c r="RI480" s="9"/>
      <c r="RJ480" s="9"/>
      <c r="RK480" s="9"/>
      <c r="RL480" s="9"/>
      <c r="RM480" s="9"/>
      <c r="RN480" s="9"/>
      <c r="RO480" s="9"/>
      <c r="RP480" s="9"/>
      <c r="RQ480" s="9"/>
      <c r="RR480" s="9"/>
      <c r="RS480" s="9"/>
      <c r="RT480" s="9"/>
      <c r="RU480" s="9"/>
      <c r="RV480" s="9"/>
      <c r="RW480" s="9"/>
      <c r="RX480" s="9"/>
      <c r="RY480" s="9"/>
      <c r="RZ480" s="9"/>
      <c r="SA480" s="9"/>
      <c r="SB480" s="9"/>
      <c r="SC480" s="9"/>
      <c r="SD480" s="9"/>
      <c r="SE480" s="9"/>
      <c r="SF480" s="9"/>
      <c r="SG480" s="9"/>
      <c r="SH480" s="9"/>
      <c r="SI480" s="9"/>
      <c r="SJ480" s="9"/>
      <c r="SK480" s="9"/>
      <c r="SL480" s="9"/>
      <c r="SM480" s="9"/>
      <c r="SN480" s="9"/>
      <c r="SO480" s="9"/>
      <c r="SP480" s="9"/>
      <c r="SQ480" s="9"/>
      <c r="SR480" s="9"/>
      <c r="SS480" s="9"/>
      <c r="ST480" s="9"/>
      <c r="SU480" s="9"/>
      <c r="SV480" s="9"/>
      <c r="SW480" s="9"/>
      <c r="SX480" s="9"/>
      <c r="SY480" s="9"/>
      <c r="SZ480" s="9"/>
      <c r="TA480" s="9"/>
      <c r="TB480" s="9"/>
      <c r="TC480" s="9"/>
      <c r="TD480" s="9"/>
      <c r="TE480" s="9"/>
      <c r="TF480" s="9"/>
      <c r="TG480" s="9"/>
      <c r="TH480" s="9"/>
      <c r="TI480" s="9"/>
      <c r="TJ480" s="9"/>
      <c r="TK480" s="9"/>
      <c r="TL480" s="9"/>
      <c r="TM480" s="9"/>
      <c r="TN480" s="9"/>
      <c r="TO480" s="9"/>
      <c r="TP480" s="9"/>
      <c r="TQ480" s="9"/>
      <c r="TR480" s="9"/>
      <c r="TS480" s="9"/>
      <c r="TT480" s="9"/>
      <c r="TU480" s="9"/>
      <c r="TV480" s="9"/>
      <c r="TW480" s="9"/>
      <c r="TX480" s="9"/>
      <c r="TY480" s="9"/>
      <c r="TZ480" s="9"/>
      <c r="UA480" s="9"/>
      <c r="UB480" s="9"/>
      <c r="UC480" s="9"/>
      <c r="UD480" s="9"/>
      <c r="UE480" s="9"/>
      <c r="UF480" s="9"/>
      <c r="UG480" s="9"/>
      <c r="UH480" s="9"/>
      <c r="UI480" s="9"/>
      <c r="UJ480" s="9"/>
    </row>
    <row r="481">
      <c r="A481" s="8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  <c r="IN481" s="9"/>
      <c r="IO481" s="9"/>
      <c r="IP481" s="9"/>
      <c r="IQ481" s="9"/>
      <c r="IR481" s="9"/>
      <c r="IS481" s="9"/>
      <c r="IT481" s="9"/>
      <c r="IU481" s="9"/>
      <c r="IV481" s="9"/>
      <c r="IW481" s="9"/>
      <c r="IX481" s="9"/>
      <c r="IY481" s="9"/>
      <c r="IZ481" s="9"/>
      <c r="JA481" s="9"/>
      <c r="JB481" s="9"/>
      <c r="JC481" s="9"/>
      <c r="JD481" s="9"/>
      <c r="JE481" s="9"/>
      <c r="JF481" s="9"/>
      <c r="JG481" s="9"/>
      <c r="JH481" s="9"/>
      <c r="JI481" s="9"/>
      <c r="JJ481" s="9"/>
      <c r="JK481" s="9"/>
      <c r="JL481" s="9"/>
      <c r="JM481" s="9"/>
      <c r="JN481" s="9"/>
      <c r="JO481" s="9"/>
      <c r="JP481" s="9"/>
      <c r="JQ481" s="9"/>
      <c r="JR481" s="9"/>
      <c r="JS481" s="9"/>
      <c r="JT481" s="9"/>
      <c r="JU481" s="9"/>
      <c r="JV481" s="9"/>
      <c r="JW481" s="9"/>
      <c r="JX481" s="9"/>
      <c r="JY481" s="9"/>
      <c r="JZ481" s="9"/>
      <c r="KA481" s="9"/>
      <c r="KB481" s="9"/>
      <c r="KC481" s="9"/>
      <c r="KD481" s="9"/>
      <c r="KE481" s="9"/>
      <c r="KF481" s="9"/>
      <c r="KG481" s="9"/>
      <c r="KH481" s="9"/>
      <c r="KI481" s="9"/>
      <c r="KJ481" s="9"/>
      <c r="KK481" s="9"/>
      <c r="KL481" s="9"/>
      <c r="KM481" s="9"/>
      <c r="KN481" s="9"/>
      <c r="KO481" s="9"/>
      <c r="KP481" s="9"/>
      <c r="KQ481" s="9"/>
      <c r="KR481" s="9"/>
      <c r="KS481" s="9"/>
      <c r="KT481" s="9"/>
      <c r="KU481" s="9"/>
      <c r="KV481" s="9"/>
      <c r="KW481" s="9"/>
      <c r="KX481" s="9"/>
      <c r="KY481" s="9"/>
      <c r="KZ481" s="9"/>
      <c r="LA481" s="9"/>
      <c r="LB481" s="9"/>
      <c r="LC481" s="9"/>
      <c r="LD481" s="9"/>
      <c r="LE481" s="9"/>
      <c r="LF481" s="9"/>
      <c r="LG481" s="9"/>
      <c r="LH481" s="9"/>
      <c r="LI481" s="9"/>
      <c r="LJ481" s="9"/>
      <c r="LK481" s="9"/>
      <c r="LL481" s="9"/>
      <c r="LM481" s="9"/>
      <c r="LN481" s="9"/>
      <c r="LO481" s="9"/>
      <c r="LP481" s="9"/>
      <c r="LQ481" s="9"/>
      <c r="LR481" s="9"/>
      <c r="LS481" s="9"/>
      <c r="LT481" s="9"/>
      <c r="LU481" s="9"/>
      <c r="LV481" s="9"/>
      <c r="LW481" s="9"/>
      <c r="LX481" s="9"/>
      <c r="LY481" s="9"/>
      <c r="LZ481" s="9"/>
      <c r="MA481" s="9"/>
      <c r="MB481" s="9"/>
      <c r="MC481" s="9"/>
      <c r="MD481" s="9"/>
      <c r="ME481" s="9"/>
      <c r="MF481" s="9"/>
      <c r="MG481" s="9"/>
      <c r="MH481" s="9"/>
      <c r="MI481" s="9"/>
      <c r="MJ481" s="9"/>
      <c r="MK481" s="9"/>
      <c r="ML481" s="9"/>
      <c r="MM481" s="9"/>
      <c r="MN481" s="9"/>
      <c r="MO481" s="9"/>
      <c r="MP481" s="9"/>
      <c r="MQ481" s="9"/>
      <c r="MR481" s="9"/>
      <c r="MS481" s="9"/>
      <c r="MT481" s="9"/>
      <c r="MU481" s="9"/>
      <c r="MV481" s="9"/>
      <c r="MW481" s="9"/>
      <c r="MX481" s="9"/>
      <c r="MY481" s="9"/>
      <c r="MZ481" s="9"/>
      <c r="NA481" s="9"/>
      <c r="NB481" s="9"/>
      <c r="NC481" s="9"/>
      <c r="ND481" s="9"/>
      <c r="NE481" s="9"/>
      <c r="NF481" s="9"/>
      <c r="NG481" s="9"/>
      <c r="NH481" s="9"/>
      <c r="NI481" s="9"/>
      <c r="NJ481" s="9"/>
      <c r="NK481" s="9"/>
      <c r="NL481" s="9"/>
      <c r="NM481" s="9"/>
      <c r="NN481" s="9"/>
      <c r="NO481" s="9"/>
      <c r="NP481" s="9"/>
      <c r="NQ481" s="9"/>
      <c r="NR481" s="9"/>
      <c r="NS481" s="9"/>
      <c r="NT481" s="9"/>
      <c r="NU481" s="9"/>
      <c r="NV481" s="9"/>
      <c r="NW481" s="9"/>
      <c r="NX481" s="9"/>
      <c r="NY481" s="9"/>
      <c r="NZ481" s="9"/>
      <c r="OA481" s="9"/>
      <c r="OB481" s="9"/>
      <c r="OC481" s="9"/>
      <c r="OD481" s="9"/>
      <c r="OE481" s="9"/>
      <c r="OF481" s="9"/>
      <c r="OG481" s="9"/>
      <c r="OH481" s="9"/>
      <c r="OI481" s="9"/>
      <c r="OJ481" s="9"/>
      <c r="OK481" s="9"/>
      <c r="OL481" s="9"/>
      <c r="OM481" s="9"/>
      <c r="ON481" s="9"/>
      <c r="OO481" s="9"/>
      <c r="OP481" s="9"/>
      <c r="OQ481" s="9"/>
      <c r="OR481" s="9"/>
      <c r="OS481" s="9"/>
      <c r="OT481" s="9"/>
      <c r="OU481" s="9"/>
      <c r="OV481" s="9"/>
      <c r="OW481" s="9"/>
      <c r="OX481" s="9"/>
      <c r="OY481" s="9"/>
      <c r="OZ481" s="9"/>
      <c r="PA481" s="9"/>
      <c r="PB481" s="9"/>
      <c r="PC481" s="9"/>
      <c r="PD481" s="9"/>
      <c r="PE481" s="9"/>
      <c r="PF481" s="9"/>
      <c r="PG481" s="9"/>
      <c r="PH481" s="9"/>
      <c r="PI481" s="9"/>
      <c r="PJ481" s="9"/>
      <c r="PK481" s="9"/>
      <c r="PL481" s="9"/>
      <c r="PM481" s="9"/>
      <c r="PN481" s="9"/>
      <c r="PO481" s="9"/>
      <c r="PP481" s="9"/>
      <c r="PQ481" s="9"/>
      <c r="PR481" s="9"/>
      <c r="PS481" s="9"/>
      <c r="PT481" s="9"/>
      <c r="PU481" s="9"/>
      <c r="PV481" s="9"/>
      <c r="PW481" s="9"/>
      <c r="PX481" s="9"/>
      <c r="PY481" s="9"/>
      <c r="PZ481" s="9"/>
      <c r="QA481" s="9"/>
      <c r="QB481" s="9"/>
      <c r="QC481" s="9"/>
      <c r="QD481" s="9"/>
      <c r="QE481" s="9"/>
      <c r="QF481" s="9"/>
      <c r="QG481" s="9"/>
      <c r="QH481" s="9"/>
      <c r="QI481" s="9"/>
      <c r="QJ481" s="9"/>
      <c r="QK481" s="9"/>
      <c r="QL481" s="9"/>
      <c r="QM481" s="9"/>
      <c r="QN481" s="9"/>
      <c r="QO481" s="9"/>
      <c r="QP481" s="9"/>
      <c r="QQ481" s="9"/>
      <c r="QR481" s="9"/>
      <c r="QS481" s="9"/>
      <c r="QT481" s="9"/>
      <c r="QU481" s="9"/>
      <c r="QV481" s="9"/>
      <c r="QW481" s="9"/>
      <c r="QX481" s="9"/>
      <c r="QY481" s="9"/>
      <c r="QZ481" s="9"/>
      <c r="RA481" s="9"/>
      <c r="RB481" s="9"/>
      <c r="RC481" s="9"/>
      <c r="RD481" s="9"/>
      <c r="RE481" s="9"/>
      <c r="RF481" s="9"/>
      <c r="RG481" s="9"/>
      <c r="RH481" s="9"/>
      <c r="RI481" s="9"/>
      <c r="RJ481" s="9"/>
      <c r="RK481" s="9"/>
      <c r="RL481" s="9"/>
      <c r="RM481" s="9"/>
      <c r="RN481" s="9"/>
      <c r="RO481" s="9"/>
      <c r="RP481" s="9"/>
      <c r="RQ481" s="9"/>
      <c r="RR481" s="9"/>
      <c r="RS481" s="9"/>
      <c r="RT481" s="9"/>
      <c r="RU481" s="9"/>
      <c r="RV481" s="9"/>
      <c r="RW481" s="9"/>
      <c r="RX481" s="9"/>
      <c r="RY481" s="9"/>
      <c r="RZ481" s="9"/>
      <c r="SA481" s="9"/>
      <c r="SB481" s="9"/>
      <c r="SC481" s="9"/>
      <c r="SD481" s="9"/>
      <c r="SE481" s="9"/>
      <c r="SF481" s="9"/>
      <c r="SG481" s="9"/>
      <c r="SH481" s="9"/>
      <c r="SI481" s="9"/>
      <c r="SJ481" s="9"/>
      <c r="SK481" s="9"/>
      <c r="SL481" s="9"/>
      <c r="SM481" s="9"/>
      <c r="SN481" s="9"/>
      <c r="SO481" s="9"/>
      <c r="SP481" s="9"/>
      <c r="SQ481" s="9"/>
      <c r="SR481" s="9"/>
      <c r="SS481" s="9"/>
      <c r="ST481" s="9"/>
      <c r="SU481" s="9"/>
      <c r="SV481" s="9"/>
      <c r="SW481" s="9"/>
      <c r="SX481" s="9"/>
      <c r="SY481" s="9"/>
      <c r="SZ481" s="9"/>
      <c r="TA481" s="9"/>
      <c r="TB481" s="9"/>
      <c r="TC481" s="9"/>
      <c r="TD481" s="9"/>
      <c r="TE481" s="9"/>
      <c r="TF481" s="9"/>
      <c r="TG481" s="9"/>
      <c r="TH481" s="9"/>
      <c r="TI481" s="9"/>
      <c r="TJ481" s="9"/>
      <c r="TK481" s="9"/>
      <c r="TL481" s="9"/>
      <c r="TM481" s="9"/>
      <c r="TN481" s="9"/>
      <c r="TO481" s="9"/>
      <c r="TP481" s="9"/>
      <c r="TQ481" s="9"/>
      <c r="TR481" s="9"/>
      <c r="TS481" s="9"/>
      <c r="TT481" s="9"/>
      <c r="TU481" s="9"/>
      <c r="TV481" s="9"/>
      <c r="TW481" s="9"/>
      <c r="TX481" s="9"/>
      <c r="TY481" s="9"/>
      <c r="TZ481" s="9"/>
      <c r="UA481" s="9"/>
      <c r="UB481" s="9"/>
      <c r="UC481" s="9"/>
      <c r="UD481" s="9"/>
      <c r="UE481" s="9"/>
      <c r="UF481" s="9"/>
      <c r="UG481" s="9"/>
      <c r="UH481" s="9"/>
      <c r="UI481" s="9"/>
      <c r="UJ481" s="9"/>
    </row>
    <row r="482">
      <c r="A482" s="8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  <c r="HZ482" s="9"/>
      <c r="IA482" s="9"/>
      <c r="IB482" s="9"/>
      <c r="IC482" s="9"/>
      <c r="ID482" s="9"/>
      <c r="IE482" s="9"/>
      <c r="IF482" s="9"/>
      <c r="IG482" s="9"/>
      <c r="IH482" s="9"/>
      <c r="II482" s="9"/>
      <c r="IJ482" s="9"/>
      <c r="IK482" s="9"/>
      <c r="IL482" s="9"/>
      <c r="IM482" s="9"/>
      <c r="IN482" s="9"/>
      <c r="IO482" s="9"/>
      <c r="IP482" s="9"/>
      <c r="IQ482" s="9"/>
      <c r="IR482" s="9"/>
      <c r="IS482" s="9"/>
      <c r="IT482" s="9"/>
      <c r="IU482" s="9"/>
      <c r="IV482" s="9"/>
      <c r="IW482" s="9"/>
      <c r="IX482" s="9"/>
      <c r="IY482" s="9"/>
      <c r="IZ482" s="9"/>
      <c r="JA482" s="9"/>
      <c r="JB482" s="9"/>
      <c r="JC482" s="9"/>
      <c r="JD482" s="9"/>
      <c r="JE482" s="9"/>
      <c r="JF482" s="9"/>
      <c r="JG482" s="9"/>
      <c r="JH482" s="9"/>
      <c r="JI482" s="9"/>
      <c r="JJ482" s="9"/>
      <c r="JK482" s="9"/>
      <c r="JL482" s="9"/>
      <c r="JM482" s="9"/>
      <c r="JN482" s="9"/>
      <c r="JO482" s="9"/>
      <c r="JP482" s="9"/>
      <c r="JQ482" s="9"/>
      <c r="JR482" s="9"/>
      <c r="JS482" s="9"/>
      <c r="JT482" s="9"/>
      <c r="JU482" s="9"/>
      <c r="JV482" s="9"/>
      <c r="JW482" s="9"/>
      <c r="JX482" s="9"/>
      <c r="JY482" s="9"/>
      <c r="JZ482" s="9"/>
      <c r="KA482" s="9"/>
      <c r="KB482" s="9"/>
      <c r="KC482" s="9"/>
      <c r="KD482" s="9"/>
      <c r="KE482" s="9"/>
      <c r="KF482" s="9"/>
      <c r="KG482" s="9"/>
      <c r="KH482" s="9"/>
      <c r="KI482" s="9"/>
      <c r="KJ482" s="9"/>
      <c r="KK482" s="9"/>
      <c r="KL482" s="9"/>
      <c r="KM482" s="9"/>
      <c r="KN482" s="9"/>
      <c r="KO482" s="9"/>
      <c r="KP482" s="9"/>
      <c r="KQ482" s="9"/>
      <c r="KR482" s="9"/>
      <c r="KS482" s="9"/>
      <c r="KT482" s="9"/>
      <c r="KU482" s="9"/>
      <c r="KV482" s="9"/>
      <c r="KW482" s="9"/>
      <c r="KX482" s="9"/>
      <c r="KY482" s="9"/>
      <c r="KZ482" s="9"/>
      <c r="LA482" s="9"/>
      <c r="LB482" s="9"/>
      <c r="LC482" s="9"/>
      <c r="LD482" s="9"/>
      <c r="LE482" s="9"/>
      <c r="LF482" s="9"/>
      <c r="LG482" s="9"/>
      <c r="LH482" s="9"/>
      <c r="LI482" s="9"/>
      <c r="LJ482" s="9"/>
      <c r="LK482" s="9"/>
      <c r="LL482" s="9"/>
      <c r="LM482" s="9"/>
      <c r="LN482" s="9"/>
      <c r="LO482" s="9"/>
      <c r="LP482" s="9"/>
      <c r="LQ482" s="9"/>
      <c r="LR482" s="9"/>
      <c r="LS482" s="9"/>
      <c r="LT482" s="9"/>
      <c r="LU482" s="9"/>
      <c r="LV482" s="9"/>
      <c r="LW482" s="9"/>
      <c r="LX482" s="9"/>
      <c r="LY482" s="9"/>
      <c r="LZ482" s="9"/>
      <c r="MA482" s="9"/>
      <c r="MB482" s="9"/>
      <c r="MC482" s="9"/>
      <c r="MD482" s="9"/>
      <c r="ME482" s="9"/>
      <c r="MF482" s="9"/>
      <c r="MG482" s="9"/>
      <c r="MH482" s="9"/>
      <c r="MI482" s="9"/>
      <c r="MJ482" s="9"/>
      <c r="MK482" s="9"/>
      <c r="ML482" s="9"/>
      <c r="MM482" s="9"/>
      <c r="MN482" s="9"/>
      <c r="MO482" s="9"/>
      <c r="MP482" s="9"/>
      <c r="MQ482" s="9"/>
      <c r="MR482" s="9"/>
      <c r="MS482" s="9"/>
      <c r="MT482" s="9"/>
      <c r="MU482" s="9"/>
      <c r="MV482" s="9"/>
      <c r="MW482" s="9"/>
      <c r="MX482" s="9"/>
      <c r="MY482" s="9"/>
      <c r="MZ482" s="9"/>
      <c r="NA482" s="9"/>
      <c r="NB482" s="9"/>
      <c r="NC482" s="9"/>
      <c r="ND482" s="9"/>
      <c r="NE482" s="9"/>
      <c r="NF482" s="9"/>
      <c r="NG482" s="9"/>
      <c r="NH482" s="9"/>
      <c r="NI482" s="9"/>
      <c r="NJ482" s="9"/>
      <c r="NK482" s="9"/>
      <c r="NL482" s="9"/>
      <c r="NM482" s="9"/>
      <c r="NN482" s="9"/>
      <c r="NO482" s="9"/>
      <c r="NP482" s="9"/>
      <c r="NQ482" s="9"/>
      <c r="NR482" s="9"/>
      <c r="NS482" s="9"/>
      <c r="NT482" s="9"/>
      <c r="NU482" s="9"/>
      <c r="NV482" s="9"/>
      <c r="NW482" s="9"/>
      <c r="NX482" s="9"/>
      <c r="NY482" s="9"/>
      <c r="NZ482" s="9"/>
      <c r="OA482" s="9"/>
      <c r="OB482" s="9"/>
      <c r="OC482" s="9"/>
      <c r="OD482" s="9"/>
      <c r="OE482" s="9"/>
      <c r="OF482" s="9"/>
      <c r="OG482" s="9"/>
      <c r="OH482" s="9"/>
      <c r="OI482" s="9"/>
      <c r="OJ482" s="9"/>
      <c r="OK482" s="9"/>
      <c r="OL482" s="9"/>
      <c r="OM482" s="9"/>
      <c r="ON482" s="9"/>
      <c r="OO482" s="9"/>
      <c r="OP482" s="9"/>
      <c r="OQ482" s="9"/>
      <c r="OR482" s="9"/>
      <c r="OS482" s="9"/>
      <c r="OT482" s="9"/>
      <c r="OU482" s="9"/>
      <c r="OV482" s="9"/>
      <c r="OW482" s="9"/>
      <c r="OX482" s="9"/>
      <c r="OY482" s="9"/>
      <c r="OZ482" s="9"/>
      <c r="PA482" s="9"/>
      <c r="PB482" s="9"/>
      <c r="PC482" s="9"/>
      <c r="PD482" s="9"/>
      <c r="PE482" s="9"/>
      <c r="PF482" s="9"/>
      <c r="PG482" s="9"/>
      <c r="PH482" s="9"/>
      <c r="PI482" s="9"/>
      <c r="PJ482" s="9"/>
      <c r="PK482" s="9"/>
      <c r="PL482" s="9"/>
      <c r="PM482" s="9"/>
      <c r="PN482" s="9"/>
      <c r="PO482" s="9"/>
      <c r="PP482" s="9"/>
      <c r="PQ482" s="9"/>
      <c r="PR482" s="9"/>
      <c r="PS482" s="9"/>
      <c r="PT482" s="9"/>
      <c r="PU482" s="9"/>
      <c r="PV482" s="9"/>
      <c r="PW482" s="9"/>
      <c r="PX482" s="9"/>
      <c r="PY482" s="9"/>
      <c r="PZ482" s="9"/>
      <c r="QA482" s="9"/>
      <c r="QB482" s="9"/>
      <c r="QC482" s="9"/>
      <c r="QD482" s="9"/>
      <c r="QE482" s="9"/>
      <c r="QF482" s="9"/>
      <c r="QG482" s="9"/>
      <c r="QH482" s="9"/>
      <c r="QI482" s="9"/>
      <c r="QJ482" s="9"/>
      <c r="QK482" s="9"/>
      <c r="QL482" s="9"/>
      <c r="QM482" s="9"/>
      <c r="QN482" s="9"/>
      <c r="QO482" s="9"/>
      <c r="QP482" s="9"/>
      <c r="QQ482" s="9"/>
      <c r="QR482" s="9"/>
      <c r="QS482" s="9"/>
      <c r="QT482" s="9"/>
      <c r="QU482" s="9"/>
      <c r="QV482" s="9"/>
      <c r="QW482" s="9"/>
      <c r="QX482" s="9"/>
      <c r="QY482" s="9"/>
      <c r="QZ482" s="9"/>
      <c r="RA482" s="9"/>
      <c r="RB482" s="9"/>
      <c r="RC482" s="9"/>
      <c r="RD482" s="9"/>
      <c r="RE482" s="9"/>
      <c r="RF482" s="9"/>
      <c r="RG482" s="9"/>
      <c r="RH482" s="9"/>
      <c r="RI482" s="9"/>
      <c r="RJ482" s="9"/>
      <c r="RK482" s="9"/>
      <c r="RL482" s="9"/>
      <c r="RM482" s="9"/>
      <c r="RN482" s="9"/>
      <c r="RO482" s="9"/>
      <c r="RP482" s="9"/>
      <c r="RQ482" s="9"/>
      <c r="RR482" s="9"/>
      <c r="RS482" s="9"/>
      <c r="RT482" s="9"/>
      <c r="RU482" s="9"/>
      <c r="RV482" s="9"/>
      <c r="RW482" s="9"/>
      <c r="RX482" s="9"/>
      <c r="RY482" s="9"/>
      <c r="RZ482" s="9"/>
      <c r="SA482" s="9"/>
      <c r="SB482" s="9"/>
      <c r="SC482" s="9"/>
      <c r="SD482" s="9"/>
      <c r="SE482" s="9"/>
      <c r="SF482" s="9"/>
      <c r="SG482" s="9"/>
      <c r="SH482" s="9"/>
      <c r="SI482" s="9"/>
      <c r="SJ482" s="9"/>
      <c r="SK482" s="9"/>
      <c r="SL482" s="9"/>
      <c r="SM482" s="9"/>
      <c r="SN482" s="9"/>
      <c r="SO482" s="9"/>
      <c r="SP482" s="9"/>
      <c r="SQ482" s="9"/>
      <c r="SR482" s="9"/>
      <c r="SS482" s="9"/>
      <c r="ST482" s="9"/>
      <c r="SU482" s="9"/>
      <c r="SV482" s="9"/>
      <c r="SW482" s="9"/>
      <c r="SX482" s="9"/>
      <c r="SY482" s="9"/>
      <c r="SZ482" s="9"/>
      <c r="TA482" s="9"/>
      <c r="TB482" s="9"/>
      <c r="TC482" s="9"/>
      <c r="TD482" s="9"/>
      <c r="TE482" s="9"/>
      <c r="TF482" s="9"/>
      <c r="TG482" s="9"/>
      <c r="TH482" s="9"/>
      <c r="TI482" s="9"/>
      <c r="TJ482" s="9"/>
      <c r="TK482" s="9"/>
      <c r="TL482" s="9"/>
      <c r="TM482" s="9"/>
      <c r="TN482" s="9"/>
      <c r="TO482" s="9"/>
      <c r="TP482" s="9"/>
      <c r="TQ482" s="9"/>
      <c r="TR482" s="9"/>
      <c r="TS482" s="9"/>
      <c r="TT482" s="9"/>
      <c r="TU482" s="9"/>
      <c r="TV482" s="9"/>
      <c r="TW482" s="9"/>
      <c r="TX482" s="9"/>
      <c r="TY482" s="9"/>
      <c r="TZ482" s="9"/>
      <c r="UA482" s="9"/>
      <c r="UB482" s="9"/>
      <c r="UC482" s="9"/>
      <c r="UD482" s="9"/>
      <c r="UE482" s="9"/>
      <c r="UF482" s="9"/>
      <c r="UG482" s="9"/>
      <c r="UH482" s="9"/>
      <c r="UI482" s="9"/>
      <c r="UJ482" s="9"/>
    </row>
    <row r="483">
      <c r="A483" s="8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  <c r="IC483" s="9"/>
      <c r="ID483" s="9"/>
      <c r="IE483" s="9"/>
      <c r="IF483" s="9"/>
      <c r="IG483" s="9"/>
      <c r="IH483" s="9"/>
      <c r="II483" s="9"/>
      <c r="IJ483" s="9"/>
      <c r="IK483" s="9"/>
      <c r="IL483" s="9"/>
      <c r="IM483" s="9"/>
      <c r="IN483" s="9"/>
      <c r="IO483" s="9"/>
      <c r="IP483" s="9"/>
      <c r="IQ483" s="9"/>
      <c r="IR483" s="9"/>
      <c r="IS483" s="9"/>
      <c r="IT483" s="9"/>
      <c r="IU483" s="9"/>
      <c r="IV483" s="9"/>
      <c r="IW483" s="9"/>
      <c r="IX483" s="9"/>
      <c r="IY483" s="9"/>
      <c r="IZ483" s="9"/>
      <c r="JA483" s="9"/>
      <c r="JB483" s="9"/>
      <c r="JC483" s="9"/>
      <c r="JD483" s="9"/>
      <c r="JE483" s="9"/>
      <c r="JF483" s="9"/>
      <c r="JG483" s="9"/>
      <c r="JH483" s="9"/>
      <c r="JI483" s="9"/>
      <c r="JJ483" s="9"/>
      <c r="JK483" s="9"/>
      <c r="JL483" s="9"/>
      <c r="JM483" s="9"/>
      <c r="JN483" s="9"/>
      <c r="JO483" s="9"/>
      <c r="JP483" s="9"/>
      <c r="JQ483" s="9"/>
      <c r="JR483" s="9"/>
      <c r="JS483" s="9"/>
      <c r="JT483" s="9"/>
      <c r="JU483" s="9"/>
      <c r="JV483" s="9"/>
      <c r="JW483" s="9"/>
      <c r="JX483" s="9"/>
      <c r="JY483" s="9"/>
      <c r="JZ483" s="9"/>
      <c r="KA483" s="9"/>
      <c r="KB483" s="9"/>
      <c r="KC483" s="9"/>
      <c r="KD483" s="9"/>
      <c r="KE483" s="9"/>
      <c r="KF483" s="9"/>
      <c r="KG483" s="9"/>
      <c r="KH483" s="9"/>
      <c r="KI483" s="9"/>
      <c r="KJ483" s="9"/>
      <c r="KK483" s="9"/>
      <c r="KL483" s="9"/>
      <c r="KM483" s="9"/>
      <c r="KN483" s="9"/>
      <c r="KO483" s="9"/>
      <c r="KP483" s="9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9"/>
      <c r="MN483" s="9"/>
      <c r="MO483" s="9"/>
      <c r="MP483" s="9"/>
      <c r="MQ483" s="9"/>
      <c r="MR483" s="9"/>
      <c r="MS483" s="9"/>
      <c r="MT483" s="9"/>
      <c r="MU483" s="9"/>
      <c r="MV483" s="9"/>
      <c r="MW483" s="9"/>
      <c r="MX483" s="9"/>
      <c r="MY483" s="9"/>
      <c r="MZ483" s="9"/>
      <c r="NA483" s="9"/>
      <c r="NB483" s="9"/>
      <c r="NC483" s="9"/>
      <c r="ND483" s="9"/>
      <c r="NE483" s="9"/>
      <c r="NF483" s="9"/>
      <c r="NG483" s="9"/>
      <c r="NH483" s="9"/>
      <c r="NI483" s="9"/>
      <c r="NJ483" s="9"/>
      <c r="NK483" s="9"/>
      <c r="NL483" s="9"/>
      <c r="NM483" s="9"/>
      <c r="NN483" s="9"/>
      <c r="NO483" s="9"/>
      <c r="NP483" s="9"/>
      <c r="NQ483" s="9"/>
      <c r="NR483" s="9"/>
      <c r="NS483" s="9"/>
      <c r="NT483" s="9"/>
      <c r="NU483" s="9"/>
      <c r="NV483" s="9"/>
      <c r="NW483" s="9"/>
      <c r="NX483" s="9"/>
      <c r="NY483" s="9"/>
      <c r="NZ483" s="9"/>
      <c r="OA483" s="9"/>
      <c r="OB483" s="9"/>
      <c r="OC483" s="9"/>
      <c r="OD483" s="9"/>
      <c r="OE483" s="9"/>
      <c r="OF483" s="9"/>
      <c r="OG483" s="9"/>
      <c r="OH483" s="9"/>
      <c r="OI483" s="9"/>
      <c r="OJ483" s="9"/>
      <c r="OK483" s="9"/>
      <c r="OL483" s="9"/>
      <c r="OM483" s="9"/>
      <c r="ON483" s="9"/>
      <c r="OO483" s="9"/>
      <c r="OP483" s="9"/>
      <c r="OQ483" s="9"/>
      <c r="OR483" s="9"/>
      <c r="OS483" s="9"/>
      <c r="OT483" s="9"/>
      <c r="OU483" s="9"/>
      <c r="OV483" s="9"/>
      <c r="OW483" s="9"/>
      <c r="OX483" s="9"/>
      <c r="OY483" s="9"/>
      <c r="OZ483" s="9"/>
      <c r="PA483" s="9"/>
      <c r="PB483" s="9"/>
      <c r="PC483" s="9"/>
      <c r="PD483" s="9"/>
      <c r="PE483" s="9"/>
      <c r="PF483" s="9"/>
      <c r="PG483" s="9"/>
      <c r="PH483" s="9"/>
      <c r="PI483" s="9"/>
      <c r="PJ483" s="9"/>
      <c r="PK483" s="9"/>
      <c r="PL483" s="9"/>
      <c r="PM483" s="9"/>
      <c r="PN483" s="9"/>
      <c r="PO483" s="9"/>
      <c r="PP483" s="9"/>
      <c r="PQ483" s="9"/>
      <c r="PR483" s="9"/>
      <c r="PS483" s="9"/>
      <c r="PT483" s="9"/>
      <c r="PU483" s="9"/>
      <c r="PV483" s="9"/>
      <c r="PW483" s="9"/>
      <c r="PX483" s="9"/>
      <c r="PY483" s="9"/>
      <c r="PZ483" s="9"/>
      <c r="QA483" s="9"/>
      <c r="QB483" s="9"/>
      <c r="QC483" s="9"/>
      <c r="QD483" s="9"/>
      <c r="QE483" s="9"/>
      <c r="QF483" s="9"/>
      <c r="QG483" s="9"/>
      <c r="QH483" s="9"/>
      <c r="QI483" s="9"/>
      <c r="QJ483" s="9"/>
      <c r="QK483" s="9"/>
      <c r="QL483" s="9"/>
      <c r="QM483" s="9"/>
      <c r="QN483" s="9"/>
      <c r="QO483" s="9"/>
      <c r="QP483" s="9"/>
      <c r="QQ483" s="9"/>
      <c r="QR483" s="9"/>
      <c r="QS483" s="9"/>
      <c r="QT483" s="9"/>
      <c r="QU483" s="9"/>
      <c r="QV483" s="9"/>
      <c r="QW483" s="9"/>
      <c r="QX483" s="9"/>
      <c r="QY483" s="9"/>
      <c r="QZ483" s="9"/>
      <c r="RA483" s="9"/>
      <c r="RB483" s="9"/>
      <c r="RC483" s="9"/>
      <c r="RD483" s="9"/>
      <c r="RE483" s="9"/>
      <c r="RF483" s="9"/>
      <c r="RG483" s="9"/>
      <c r="RH483" s="9"/>
      <c r="RI483" s="9"/>
      <c r="RJ483" s="9"/>
      <c r="RK483" s="9"/>
      <c r="RL483" s="9"/>
      <c r="RM483" s="9"/>
      <c r="RN483" s="9"/>
      <c r="RO483" s="9"/>
      <c r="RP483" s="9"/>
      <c r="RQ483" s="9"/>
      <c r="RR483" s="9"/>
      <c r="RS483" s="9"/>
      <c r="RT483" s="9"/>
      <c r="RU483" s="9"/>
      <c r="RV483" s="9"/>
      <c r="RW483" s="9"/>
      <c r="RX483" s="9"/>
      <c r="RY483" s="9"/>
      <c r="RZ483" s="9"/>
      <c r="SA483" s="9"/>
      <c r="SB483" s="9"/>
      <c r="SC483" s="9"/>
      <c r="SD483" s="9"/>
      <c r="SE483" s="9"/>
      <c r="SF483" s="9"/>
      <c r="SG483" s="9"/>
      <c r="SH483" s="9"/>
      <c r="SI483" s="9"/>
      <c r="SJ483" s="9"/>
      <c r="SK483" s="9"/>
      <c r="SL483" s="9"/>
      <c r="SM483" s="9"/>
      <c r="SN483" s="9"/>
      <c r="SO483" s="9"/>
      <c r="SP483" s="9"/>
      <c r="SQ483" s="9"/>
      <c r="SR483" s="9"/>
      <c r="SS483" s="9"/>
      <c r="ST483" s="9"/>
      <c r="SU483" s="9"/>
      <c r="SV483" s="9"/>
      <c r="SW483" s="9"/>
      <c r="SX483" s="9"/>
      <c r="SY483" s="9"/>
      <c r="SZ483" s="9"/>
      <c r="TA483" s="9"/>
      <c r="TB483" s="9"/>
      <c r="TC483" s="9"/>
      <c r="TD483" s="9"/>
      <c r="TE483" s="9"/>
      <c r="TF483" s="9"/>
      <c r="TG483" s="9"/>
      <c r="TH483" s="9"/>
      <c r="TI483" s="9"/>
      <c r="TJ483" s="9"/>
      <c r="TK483" s="9"/>
      <c r="TL483" s="9"/>
      <c r="TM483" s="9"/>
      <c r="TN483" s="9"/>
      <c r="TO483" s="9"/>
      <c r="TP483" s="9"/>
      <c r="TQ483" s="9"/>
      <c r="TR483" s="9"/>
      <c r="TS483" s="9"/>
      <c r="TT483" s="9"/>
      <c r="TU483" s="9"/>
      <c r="TV483" s="9"/>
      <c r="TW483" s="9"/>
      <c r="TX483" s="9"/>
      <c r="TY483" s="9"/>
      <c r="TZ483" s="9"/>
      <c r="UA483" s="9"/>
      <c r="UB483" s="9"/>
      <c r="UC483" s="9"/>
      <c r="UD483" s="9"/>
      <c r="UE483" s="9"/>
      <c r="UF483" s="9"/>
      <c r="UG483" s="9"/>
      <c r="UH483" s="9"/>
      <c r="UI483" s="9"/>
      <c r="UJ483" s="9"/>
    </row>
    <row r="484">
      <c r="A484" s="8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  <c r="IN484" s="9"/>
      <c r="IO484" s="9"/>
      <c r="IP484" s="9"/>
      <c r="IQ484" s="9"/>
      <c r="IR484" s="9"/>
      <c r="IS484" s="9"/>
      <c r="IT484" s="9"/>
      <c r="IU484" s="9"/>
      <c r="IV484" s="9"/>
      <c r="IW484" s="9"/>
      <c r="IX484" s="9"/>
      <c r="IY484" s="9"/>
      <c r="IZ484" s="9"/>
      <c r="JA484" s="9"/>
      <c r="JB484" s="9"/>
      <c r="JC484" s="9"/>
      <c r="JD484" s="9"/>
      <c r="JE484" s="9"/>
      <c r="JF484" s="9"/>
      <c r="JG484" s="9"/>
      <c r="JH484" s="9"/>
      <c r="JI484" s="9"/>
      <c r="JJ484" s="9"/>
      <c r="JK484" s="9"/>
      <c r="JL484" s="9"/>
      <c r="JM484" s="9"/>
      <c r="JN484" s="9"/>
      <c r="JO484" s="9"/>
      <c r="JP484" s="9"/>
      <c r="JQ484" s="9"/>
      <c r="JR484" s="9"/>
      <c r="JS484" s="9"/>
      <c r="JT484" s="9"/>
      <c r="JU484" s="9"/>
      <c r="JV484" s="9"/>
      <c r="JW484" s="9"/>
      <c r="JX484" s="9"/>
      <c r="JY484" s="9"/>
      <c r="JZ484" s="9"/>
      <c r="KA484" s="9"/>
      <c r="KB484" s="9"/>
      <c r="KC484" s="9"/>
      <c r="KD484" s="9"/>
      <c r="KE484" s="9"/>
      <c r="KF484" s="9"/>
      <c r="KG484" s="9"/>
      <c r="KH484" s="9"/>
      <c r="KI484" s="9"/>
      <c r="KJ484" s="9"/>
      <c r="KK484" s="9"/>
      <c r="KL484" s="9"/>
      <c r="KM484" s="9"/>
      <c r="KN484" s="9"/>
      <c r="KO484" s="9"/>
      <c r="KP484" s="9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9"/>
      <c r="MN484" s="9"/>
      <c r="MO484" s="9"/>
      <c r="MP484" s="9"/>
      <c r="MQ484" s="9"/>
      <c r="MR484" s="9"/>
      <c r="MS484" s="9"/>
      <c r="MT484" s="9"/>
      <c r="MU484" s="9"/>
      <c r="MV484" s="9"/>
      <c r="MW484" s="9"/>
      <c r="MX484" s="9"/>
      <c r="MY484" s="9"/>
      <c r="MZ484" s="9"/>
      <c r="NA484" s="9"/>
      <c r="NB484" s="9"/>
      <c r="NC484" s="9"/>
      <c r="ND484" s="9"/>
      <c r="NE484" s="9"/>
      <c r="NF484" s="9"/>
      <c r="NG484" s="9"/>
      <c r="NH484" s="9"/>
      <c r="NI484" s="9"/>
      <c r="NJ484" s="9"/>
      <c r="NK484" s="9"/>
      <c r="NL484" s="9"/>
      <c r="NM484" s="9"/>
      <c r="NN484" s="9"/>
      <c r="NO484" s="9"/>
      <c r="NP484" s="9"/>
      <c r="NQ484" s="9"/>
      <c r="NR484" s="9"/>
      <c r="NS484" s="9"/>
      <c r="NT484" s="9"/>
      <c r="NU484" s="9"/>
      <c r="NV484" s="9"/>
      <c r="NW484" s="9"/>
      <c r="NX484" s="9"/>
      <c r="NY484" s="9"/>
      <c r="NZ484" s="9"/>
      <c r="OA484" s="9"/>
      <c r="OB484" s="9"/>
      <c r="OC484" s="9"/>
      <c r="OD484" s="9"/>
      <c r="OE484" s="9"/>
      <c r="OF484" s="9"/>
      <c r="OG484" s="9"/>
      <c r="OH484" s="9"/>
      <c r="OI484" s="9"/>
      <c r="OJ484" s="9"/>
      <c r="OK484" s="9"/>
      <c r="OL484" s="9"/>
      <c r="OM484" s="9"/>
      <c r="ON484" s="9"/>
      <c r="OO484" s="9"/>
      <c r="OP484" s="9"/>
      <c r="OQ484" s="9"/>
      <c r="OR484" s="9"/>
      <c r="OS484" s="9"/>
      <c r="OT484" s="9"/>
      <c r="OU484" s="9"/>
      <c r="OV484" s="9"/>
      <c r="OW484" s="9"/>
      <c r="OX484" s="9"/>
      <c r="OY484" s="9"/>
      <c r="OZ484" s="9"/>
      <c r="PA484" s="9"/>
      <c r="PB484" s="9"/>
      <c r="PC484" s="9"/>
      <c r="PD484" s="9"/>
      <c r="PE484" s="9"/>
      <c r="PF484" s="9"/>
      <c r="PG484" s="9"/>
      <c r="PH484" s="9"/>
      <c r="PI484" s="9"/>
      <c r="PJ484" s="9"/>
      <c r="PK484" s="9"/>
      <c r="PL484" s="9"/>
      <c r="PM484" s="9"/>
      <c r="PN484" s="9"/>
      <c r="PO484" s="9"/>
      <c r="PP484" s="9"/>
      <c r="PQ484" s="9"/>
      <c r="PR484" s="9"/>
      <c r="PS484" s="9"/>
      <c r="PT484" s="9"/>
      <c r="PU484" s="9"/>
      <c r="PV484" s="9"/>
      <c r="PW484" s="9"/>
      <c r="PX484" s="9"/>
      <c r="PY484" s="9"/>
      <c r="PZ484" s="9"/>
      <c r="QA484" s="9"/>
      <c r="QB484" s="9"/>
      <c r="QC484" s="9"/>
      <c r="QD484" s="9"/>
      <c r="QE484" s="9"/>
      <c r="QF484" s="9"/>
      <c r="QG484" s="9"/>
      <c r="QH484" s="9"/>
      <c r="QI484" s="9"/>
      <c r="QJ484" s="9"/>
      <c r="QK484" s="9"/>
      <c r="QL484" s="9"/>
      <c r="QM484" s="9"/>
      <c r="QN484" s="9"/>
      <c r="QO484" s="9"/>
      <c r="QP484" s="9"/>
      <c r="QQ484" s="9"/>
      <c r="QR484" s="9"/>
      <c r="QS484" s="9"/>
      <c r="QT484" s="9"/>
      <c r="QU484" s="9"/>
      <c r="QV484" s="9"/>
      <c r="QW484" s="9"/>
      <c r="QX484" s="9"/>
      <c r="QY484" s="9"/>
      <c r="QZ484" s="9"/>
      <c r="RA484" s="9"/>
      <c r="RB484" s="9"/>
      <c r="RC484" s="9"/>
      <c r="RD484" s="9"/>
      <c r="RE484" s="9"/>
      <c r="RF484" s="9"/>
      <c r="RG484" s="9"/>
      <c r="RH484" s="9"/>
      <c r="RI484" s="9"/>
      <c r="RJ484" s="9"/>
      <c r="RK484" s="9"/>
      <c r="RL484" s="9"/>
      <c r="RM484" s="9"/>
      <c r="RN484" s="9"/>
      <c r="RO484" s="9"/>
      <c r="RP484" s="9"/>
      <c r="RQ484" s="9"/>
      <c r="RR484" s="9"/>
      <c r="RS484" s="9"/>
      <c r="RT484" s="9"/>
      <c r="RU484" s="9"/>
      <c r="RV484" s="9"/>
      <c r="RW484" s="9"/>
      <c r="RX484" s="9"/>
      <c r="RY484" s="9"/>
      <c r="RZ484" s="9"/>
      <c r="SA484" s="9"/>
      <c r="SB484" s="9"/>
      <c r="SC484" s="9"/>
      <c r="SD484" s="9"/>
      <c r="SE484" s="9"/>
      <c r="SF484" s="9"/>
      <c r="SG484" s="9"/>
      <c r="SH484" s="9"/>
      <c r="SI484" s="9"/>
      <c r="SJ484" s="9"/>
      <c r="SK484" s="9"/>
      <c r="SL484" s="9"/>
      <c r="SM484" s="9"/>
      <c r="SN484" s="9"/>
      <c r="SO484" s="9"/>
      <c r="SP484" s="9"/>
      <c r="SQ484" s="9"/>
      <c r="SR484" s="9"/>
      <c r="SS484" s="9"/>
      <c r="ST484" s="9"/>
      <c r="SU484" s="9"/>
      <c r="SV484" s="9"/>
      <c r="SW484" s="9"/>
      <c r="SX484" s="9"/>
      <c r="SY484" s="9"/>
      <c r="SZ484" s="9"/>
      <c r="TA484" s="9"/>
      <c r="TB484" s="9"/>
      <c r="TC484" s="9"/>
      <c r="TD484" s="9"/>
      <c r="TE484" s="9"/>
      <c r="TF484" s="9"/>
      <c r="TG484" s="9"/>
      <c r="TH484" s="9"/>
      <c r="TI484" s="9"/>
      <c r="TJ484" s="9"/>
      <c r="TK484" s="9"/>
      <c r="TL484" s="9"/>
      <c r="TM484" s="9"/>
      <c r="TN484" s="9"/>
      <c r="TO484" s="9"/>
      <c r="TP484" s="9"/>
      <c r="TQ484" s="9"/>
      <c r="TR484" s="9"/>
      <c r="TS484" s="9"/>
      <c r="TT484" s="9"/>
      <c r="TU484" s="9"/>
      <c r="TV484" s="9"/>
      <c r="TW484" s="9"/>
      <c r="TX484" s="9"/>
      <c r="TY484" s="9"/>
      <c r="TZ484" s="9"/>
      <c r="UA484" s="9"/>
      <c r="UB484" s="9"/>
      <c r="UC484" s="9"/>
      <c r="UD484" s="9"/>
      <c r="UE484" s="9"/>
      <c r="UF484" s="9"/>
      <c r="UG484" s="9"/>
      <c r="UH484" s="9"/>
      <c r="UI484" s="9"/>
      <c r="UJ484" s="9"/>
    </row>
    <row r="485">
      <c r="A485" s="8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  <c r="IN485" s="9"/>
      <c r="IO485" s="9"/>
      <c r="IP485" s="9"/>
      <c r="IQ485" s="9"/>
      <c r="IR485" s="9"/>
      <c r="IS485" s="9"/>
      <c r="IT485" s="9"/>
      <c r="IU485" s="9"/>
      <c r="IV485" s="9"/>
      <c r="IW485" s="9"/>
      <c r="IX485" s="9"/>
      <c r="IY485" s="9"/>
      <c r="IZ485" s="9"/>
      <c r="JA485" s="9"/>
      <c r="JB485" s="9"/>
      <c r="JC485" s="9"/>
      <c r="JD485" s="9"/>
      <c r="JE485" s="9"/>
      <c r="JF485" s="9"/>
      <c r="JG485" s="9"/>
      <c r="JH485" s="9"/>
      <c r="JI485" s="9"/>
      <c r="JJ485" s="9"/>
      <c r="JK485" s="9"/>
      <c r="JL485" s="9"/>
      <c r="JM485" s="9"/>
      <c r="JN485" s="9"/>
      <c r="JO485" s="9"/>
      <c r="JP485" s="9"/>
      <c r="JQ485" s="9"/>
      <c r="JR485" s="9"/>
      <c r="JS485" s="9"/>
      <c r="JT485" s="9"/>
      <c r="JU485" s="9"/>
      <c r="JV485" s="9"/>
      <c r="JW485" s="9"/>
      <c r="JX485" s="9"/>
      <c r="JY485" s="9"/>
      <c r="JZ485" s="9"/>
      <c r="KA485" s="9"/>
      <c r="KB485" s="9"/>
      <c r="KC485" s="9"/>
      <c r="KD485" s="9"/>
      <c r="KE485" s="9"/>
      <c r="KF485" s="9"/>
      <c r="KG485" s="9"/>
      <c r="KH485" s="9"/>
      <c r="KI485" s="9"/>
      <c r="KJ485" s="9"/>
      <c r="KK485" s="9"/>
      <c r="KL485" s="9"/>
      <c r="KM485" s="9"/>
      <c r="KN485" s="9"/>
      <c r="KO485" s="9"/>
      <c r="KP485" s="9"/>
      <c r="KQ485" s="9"/>
      <c r="KR485" s="9"/>
      <c r="KS485" s="9"/>
      <c r="KT485" s="9"/>
      <c r="KU485" s="9"/>
      <c r="KV485" s="9"/>
      <c r="KW485" s="9"/>
      <c r="KX485" s="9"/>
      <c r="KY485" s="9"/>
      <c r="KZ485" s="9"/>
      <c r="LA485" s="9"/>
      <c r="LB485" s="9"/>
      <c r="LC485" s="9"/>
      <c r="LD485" s="9"/>
      <c r="LE485" s="9"/>
      <c r="LF485" s="9"/>
      <c r="LG485" s="9"/>
      <c r="LH485" s="9"/>
      <c r="LI485" s="9"/>
      <c r="LJ485" s="9"/>
      <c r="LK485" s="9"/>
      <c r="LL485" s="9"/>
      <c r="LM485" s="9"/>
      <c r="LN485" s="9"/>
      <c r="LO485" s="9"/>
      <c r="LP485" s="9"/>
      <c r="LQ485" s="9"/>
      <c r="LR485" s="9"/>
      <c r="LS485" s="9"/>
      <c r="LT485" s="9"/>
      <c r="LU485" s="9"/>
      <c r="LV485" s="9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9"/>
      <c r="MN485" s="9"/>
      <c r="MO485" s="9"/>
      <c r="MP485" s="9"/>
      <c r="MQ485" s="9"/>
      <c r="MR485" s="9"/>
      <c r="MS485" s="9"/>
      <c r="MT485" s="9"/>
      <c r="MU485" s="9"/>
      <c r="MV485" s="9"/>
      <c r="MW485" s="9"/>
      <c r="MX485" s="9"/>
      <c r="MY485" s="9"/>
      <c r="MZ485" s="9"/>
      <c r="NA485" s="9"/>
      <c r="NB485" s="9"/>
      <c r="NC485" s="9"/>
      <c r="ND485" s="9"/>
      <c r="NE485" s="9"/>
      <c r="NF485" s="9"/>
      <c r="NG485" s="9"/>
      <c r="NH485" s="9"/>
      <c r="NI485" s="9"/>
      <c r="NJ485" s="9"/>
      <c r="NK485" s="9"/>
      <c r="NL485" s="9"/>
      <c r="NM485" s="9"/>
      <c r="NN485" s="9"/>
      <c r="NO485" s="9"/>
      <c r="NP485" s="9"/>
      <c r="NQ485" s="9"/>
      <c r="NR485" s="9"/>
      <c r="NS485" s="9"/>
      <c r="NT485" s="9"/>
      <c r="NU485" s="9"/>
      <c r="NV485" s="9"/>
      <c r="NW485" s="9"/>
      <c r="NX485" s="9"/>
      <c r="NY485" s="9"/>
      <c r="NZ485" s="9"/>
      <c r="OA485" s="9"/>
      <c r="OB485" s="9"/>
      <c r="OC485" s="9"/>
      <c r="OD485" s="9"/>
      <c r="OE485" s="9"/>
      <c r="OF485" s="9"/>
      <c r="OG485" s="9"/>
      <c r="OH485" s="9"/>
      <c r="OI485" s="9"/>
      <c r="OJ485" s="9"/>
      <c r="OK485" s="9"/>
      <c r="OL485" s="9"/>
      <c r="OM485" s="9"/>
      <c r="ON485" s="9"/>
      <c r="OO485" s="9"/>
      <c r="OP485" s="9"/>
      <c r="OQ485" s="9"/>
      <c r="OR485" s="9"/>
      <c r="OS485" s="9"/>
      <c r="OT485" s="9"/>
      <c r="OU485" s="9"/>
      <c r="OV485" s="9"/>
      <c r="OW485" s="9"/>
      <c r="OX485" s="9"/>
      <c r="OY485" s="9"/>
      <c r="OZ485" s="9"/>
      <c r="PA485" s="9"/>
      <c r="PB485" s="9"/>
      <c r="PC485" s="9"/>
      <c r="PD485" s="9"/>
      <c r="PE485" s="9"/>
      <c r="PF485" s="9"/>
      <c r="PG485" s="9"/>
      <c r="PH485" s="9"/>
      <c r="PI485" s="9"/>
      <c r="PJ485" s="9"/>
      <c r="PK485" s="9"/>
      <c r="PL485" s="9"/>
      <c r="PM485" s="9"/>
      <c r="PN485" s="9"/>
      <c r="PO485" s="9"/>
      <c r="PP485" s="9"/>
      <c r="PQ485" s="9"/>
      <c r="PR485" s="9"/>
      <c r="PS485" s="9"/>
      <c r="PT485" s="9"/>
      <c r="PU485" s="9"/>
      <c r="PV485" s="9"/>
      <c r="PW485" s="9"/>
      <c r="PX485" s="9"/>
      <c r="PY485" s="9"/>
      <c r="PZ485" s="9"/>
      <c r="QA485" s="9"/>
      <c r="QB485" s="9"/>
      <c r="QC485" s="9"/>
      <c r="QD485" s="9"/>
      <c r="QE485" s="9"/>
      <c r="QF485" s="9"/>
      <c r="QG485" s="9"/>
      <c r="QH485" s="9"/>
      <c r="QI485" s="9"/>
      <c r="QJ485" s="9"/>
      <c r="QK485" s="9"/>
      <c r="QL485" s="9"/>
      <c r="QM485" s="9"/>
      <c r="QN485" s="9"/>
      <c r="QO485" s="9"/>
      <c r="QP485" s="9"/>
      <c r="QQ485" s="9"/>
      <c r="QR485" s="9"/>
      <c r="QS485" s="9"/>
      <c r="QT485" s="9"/>
      <c r="QU485" s="9"/>
      <c r="QV485" s="9"/>
      <c r="QW485" s="9"/>
      <c r="QX485" s="9"/>
      <c r="QY485" s="9"/>
      <c r="QZ485" s="9"/>
      <c r="RA485" s="9"/>
      <c r="RB485" s="9"/>
      <c r="RC485" s="9"/>
      <c r="RD485" s="9"/>
      <c r="RE485" s="9"/>
      <c r="RF485" s="9"/>
      <c r="RG485" s="9"/>
      <c r="RH485" s="9"/>
      <c r="RI485" s="9"/>
      <c r="RJ485" s="9"/>
      <c r="RK485" s="9"/>
      <c r="RL485" s="9"/>
      <c r="RM485" s="9"/>
      <c r="RN485" s="9"/>
      <c r="RO485" s="9"/>
      <c r="RP485" s="9"/>
      <c r="RQ485" s="9"/>
      <c r="RR485" s="9"/>
      <c r="RS485" s="9"/>
      <c r="RT485" s="9"/>
      <c r="RU485" s="9"/>
      <c r="RV485" s="9"/>
      <c r="RW485" s="9"/>
      <c r="RX485" s="9"/>
      <c r="RY485" s="9"/>
      <c r="RZ485" s="9"/>
      <c r="SA485" s="9"/>
      <c r="SB485" s="9"/>
      <c r="SC485" s="9"/>
      <c r="SD485" s="9"/>
      <c r="SE485" s="9"/>
      <c r="SF485" s="9"/>
      <c r="SG485" s="9"/>
      <c r="SH485" s="9"/>
      <c r="SI485" s="9"/>
      <c r="SJ485" s="9"/>
      <c r="SK485" s="9"/>
      <c r="SL485" s="9"/>
      <c r="SM485" s="9"/>
      <c r="SN485" s="9"/>
      <c r="SO485" s="9"/>
      <c r="SP485" s="9"/>
      <c r="SQ485" s="9"/>
      <c r="SR485" s="9"/>
      <c r="SS485" s="9"/>
      <c r="ST485" s="9"/>
      <c r="SU485" s="9"/>
      <c r="SV485" s="9"/>
      <c r="SW485" s="9"/>
      <c r="SX485" s="9"/>
      <c r="SY485" s="9"/>
      <c r="SZ485" s="9"/>
      <c r="TA485" s="9"/>
      <c r="TB485" s="9"/>
      <c r="TC485" s="9"/>
      <c r="TD485" s="9"/>
      <c r="TE485" s="9"/>
      <c r="TF485" s="9"/>
      <c r="TG485" s="9"/>
      <c r="TH485" s="9"/>
      <c r="TI485" s="9"/>
      <c r="TJ485" s="9"/>
      <c r="TK485" s="9"/>
      <c r="TL485" s="9"/>
      <c r="TM485" s="9"/>
      <c r="TN485" s="9"/>
      <c r="TO485" s="9"/>
      <c r="TP485" s="9"/>
      <c r="TQ485" s="9"/>
      <c r="TR485" s="9"/>
      <c r="TS485" s="9"/>
      <c r="TT485" s="9"/>
      <c r="TU485" s="9"/>
      <c r="TV485" s="9"/>
      <c r="TW485" s="9"/>
      <c r="TX485" s="9"/>
      <c r="TY485" s="9"/>
      <c r="TZ485" s="9"/>
      <c r="UA485" s="9"/>
      <c r="UB485" s="9"/>
      <c r="UC485" s="9"/>
      <c r="UD485" s="9"/>
      <c r="UE485" s="9"/>
      <c r="UF485" s="9"/>
      <c r="UG485" s="9"/>
      <c r="UH485" s="9"/>
      <c r="UI485" s="9"/>
      <c r="UJ485" s="9"/>
    </row>
    <row r="486">
      <c r="A486" s="8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</row>
    <row r="487">
      <c r="A487" s="8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</row>
    <row r="488">
      <c r="A488" s="8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</row>
    <row r="489">
      <c r="A489" s="8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  <c r="IN489" s="9"/>
      <c r="IO489" s="9"/>
      <c r="IP489" s="9"/>
      <c r="IQ489" s="9"/>
      <c r="IR489" s="9"/>
      <c r="IS489" s="9"/>
      <c r="IT489" s="9"/>
      <c r="IU489" s="9"/>
      <c r="IV489" s="9"/>
      <c r="IW489" s="9"/>
      <c r="IX489" s="9"/>
      <c r="IY489" s="9"/>
      <c r="IZ489" s="9"/>
      <c r="JA489" s="9"/>
      <c r="JB489" s="9"/>
      <c r="JC489" s="9"/>
      <c r="JD489" s="9"/>
      <c r="JE489" s="9"/>
      <c r="JF489" s="9"/>
      <c r="JG489" s="9"/>
      <c r="JH489" s="9"/>
      <c r="JI489" s="9"/>
      <c r="JJ489" s="9"/>
      <c r="JK489" s="9"/>
      <c r="JL489" s="9"/>
      <c r="JM489" s="9"/>
      <c r="JN489" s="9"/>
      <c r="JO489" s="9"/>
      <c r="JP489" s="9"/>
      <c r="JQ489" s="9"/>
      <c r="JR489" s="9"/>
      <c r="JS489" s="9"/>
      <c r="JT489" s="9"/>
      <c r="JU489" s="9"/>
      <c r="JV489" s="9"/>
      <c r="JW489" s="9"/>
      <c r="JX489" s="9"/>
      <c r="JY489" s="9"/>
      <c r="JZ489" s="9"/>
      <c r="KA489" s="9"/>
      <c r="KB489" s="9"/>
      <c r="KC489" s="9"/>
      <c r="KD489" s="9"/>
      <c r="KE489" s="9"/>
      <c r="KF489" s="9"/>
      <c r="KG489" s="9"/>
      <c r="KH489" s="9"/>
      <c r="KI489" s="9"/>
      <c r="KJ489" s="9"/>
      <c r="KK489" s="9"/>
      <c r="KL489" s="9"/>
      <c r="KM489" s="9"/>
      <c r="KN489" s="9"/>
      <c r="KO489" s="9"/>
      <c r="KP489" s="9"/>
      <c r="KQ489" s="9"/>
      <c r="KR489" s="9"/>
      <c r="KS489" s="9"/>
      <c r="KT489" s="9"/>
      <c r="KU489" s="9"/>
      <c r="KV489" s="9"/>
      <c r="KW489" s="9"/>
      <c r="KX489" s="9"/>
      <c r="KY489" s="9"/>
      <c r="KZ489" s="9"/>
      <c r="LA489" s="9"/>
      <c r="LB489" s="9"/>
      <c r="LC489" s="9"/>
      <c r="LD489" s="9"/>
      <c r="LE489" s="9"/>
      <c r="LF489" s="9"/>
      <c r="LG489" s="9"/>
      <c r="LH489" s="9"/>
      <c r="LI489" s="9"/>
      <c r="LJ489" s="9"/>
      <c r="LK489" s="9"/>
      <c r="LL489" s="9"/>
      <c r="LM489" s="9"/>
      <c r="LN489" s="9"/>
      <c r="LO489" s="9"/>
      <c r="LP489" s="9"/>
      <c r="LQ489" s="9"/>
      <c r="LR489" s="9"/>
      <c r="LS489" s="9"/>
      <c r="LT489" s="9"/>
      <c r="LU489" s="9"/>
      <c r="LV489" s="9"/>
      <c r="LW489" s="9"/>
      <c r="LX489" s="9"/>
      <c r="LY489" s="9"/>
      <c r="LZ489" s="9"/>
      <c r="MA489" s="9"/>
      <c r="MB489" s="9"/>
      <c r="MC489" s="9"/>
      <c r="MD489" s="9"/>
      <c r="ME489" s="9"/>
      <c r="MF489" s="9"/>
      <c r="MG489" s="9"/>
      <c r="MH489" s="9"/>
      <c r="MI489" s="9"/>
      <c r="MJ489" s="9"/>
      <c r="MK489" s="9"/>
      <c r="ML489" s="9"/>
      <c r="MM489" s="9"/>
      <c r="MN489" s="9"/>
      <c r="MO489" s="9"/>
      <c r="MP489" s="9"/>
      <c r="MQ489" s="9"/>
      <c r="MR489" s="9"/>
      <c r="MS489" s="9"/>
      <c r="MT489" s="9"/>
      <c r="MU489" s="9"/>
      <c r="MV489" s="9"/>
      <c r="MW489" s="9"/>
      <c r="MX489" s="9"/>
      <c r="MY489" s="9"/>
      <c r="MZ489" s="9"/>
      <c r="NA489" s="9"/>
      <c r="NB489" s="9"/>
      <c r="NC489" s="9"/>
      <c r="ND489" s="9"/>
      <c r="NE489" s="9"/>
      <c r="NF489" s="9"/>
      <c r="NG489" s="9"/>
      <c r="NH489" s="9"/>
      <c r="NI489" s="9"/>
      <c r="NJ489" s="9"/>
      <c r="NK489" s="9"/>
      <c r="NL489" s="9"/>
      <c r="NM489" s="9"/>
      <c r="NN489" s="9"/>
      <c r="NO489" s="9"/>
      <c r="NP489" s="9"/>
      <c r="NQ489" s="9"/>
      <c r="NR489" s="9"/>
      <c r="NS489" s="9"/>
      <c r="NT489" s="9"/>
      <c r="NU489" s="9"/>
      <c r="NV489" s="9"/>
      <c r="NW489" s="9"/>
      <c r="NX489" s="9"/>
      <c r="NY489" s="9"/>
      <c r="NZ489" s="9"/>
      <c r="OA489" s="9"/>
      <c r="OB489" s="9"/>
      <c r="OC489" s="9"/>
      <c r="OD489" s="9"/>
      <c r="OE489" s="9"/>
      <c r="OF489" s="9"/>
      <c r="OG489" s="9"/>
      <c r="OH489" s="9"/>
      <c r="OI489" s="9"/>
      <c r="OJ489" s="9"/>
      <c r="OK489" s="9"/>
      <c r="OL489" s="9"/>
      <c r="OM489" s="9"/>
      <c r="ON489" s="9"/>
      <c r="OO489" s="9"/>
      <c r="OP489" s="9"/>
      <c r="OQ489" s="9"/>
      <c r="OR489" s="9"/>
      <c r="OS489" s="9"/>
      <c r="OT489" s="9"/>
      <c r="OU489" s="9"/>
      <c r="OV489" s="9"/>
      <c r="OW489" s="9"/>
      <c r="OX489" s="9"/>
      <c r="OY489" s="9"/>
      <c r="OZ489" s="9"/>
      <c r="PA489" s="9"/>
      <c r="PB489" s="9"/>
      <c r="PC489" s="9"/>
      <c r="PD489" s="9"/>
      <c r="PE489" s="9"/>
      <c r="PF489" s="9"/>
      <c r="PG489" s="9"/>
      <c r="PH489" s="9"/>
      <c r="PI489" s="9"/>
      <c r="PJ489" s="9"/>
      <c r="PK489" s="9"/>
      <c r="PL489" s="9"/>
      <c r="PM489" s="9"/>
      <c r="PN489" s="9"/>
      <c r="PO489" s="9"/>
      <c r="PP489" s="9"/>
      <c r="PQ489" s="9"/>
      <c r="PR489" s="9"/>
      <c r="PS489" s="9"/>
      <c r="PT489" s="9"/>
      <c r="PU489" s="9"/>
      <c r="PV489" s="9"/>
      <c r="PW489" s="9"/>
      <c r="PX489" s="9"/>
      <c r="PY489" s="9"/>
      <c r="PZ489" s="9"/>
      <c r="QA489" s="9"/>
      <c r="QB489" s="9"/>
      <c r="QC489" s="9"/>
      <c r="QD489" s="9"/>
      <c r="QE489" s="9"/>
      <c r="QF489" s="9"/>
      <c r="QG489" s="9"/>
      <c r="QH489" s="9"/>
      <c r="QI489" s="9"/>
      <c r="QJ489" s="9"/>
      <c r="QK489" s="9"/>
      <c r="QL489" s="9"/>
      <c r="QM489" s="9"/>
      <c r="QN489" s="9"/>
      <c r="QO489" s="9"/>
      <c r="QP489" s="9"/>
      <c r="QQ489" s="9"/>
      <c r="QR489" s="9"/>
      <c r="QS489" s="9"/>
      <c r="QT489" s="9"/>
      <c r="QU489" s="9"/>
      <c r="QV489" s="9"/>
      <c r="QW489" s="9"/>
      <c r="QX489" s="9"/>
      <c r="QY489" s="9"/>
      <c r="QZ489" s="9"/>
      <c r="RA489" s="9"/>
      <c r="RB489" s="9"/>
      <c r="RC489" s="9"/>
      <c r="RD489" s="9"/>
      <c r="RE489" s="9"/>
      <c r="RF489" s="9"/>
      <c r="RG489" s="9"/>
      <c r="RH489" s="9"/>
      <c r="RI489" s="9"/>
      <c r="RJ489" s="9"/>
      <c r="RK489" s="9"/>
      <c r="RL489" s="9"/>
      <c r="RM489" s="9"/>
      <c r="RN489" s="9"/>
      <c r="RO489" s="9"/>
      <c r="RP489" s="9"/>
      <c r="RQ489" s="9"/>
      <c r="RR489" s="9"/>
      <c r="RS489" s="9"/>
      <c r="RT489" s="9"/>
      <c r="RU489" s="9"/>
      <c r="RV489" s="9"/>
      <c r="RW489" s="9"/>
      <c r="RX489" s="9"/>
      <c r="RY489" s="9"/>
      <c r="RZ489" s="9"/>
      <c r="SA489" s="9"/>
      <c r="SB489" s="9"/>
      <c r="SC489" s="9"/>
      <c r="SD489" s="9"/>
      <c r="SE489" s="9"/>
      <c r="SF489" s="9"/>
      <c r="SG489" s="9"/>
      <c r="SH489" s="9"/>
      <c r="SI489" s="9"/>
      <c r="SJ489" s="9"/>
      <c r="SK489" s="9"/>
      <c r="SL489" s="9"/>
      <c r="SM489" s="9"/>
      <c r="SN489" s="9"/>
      <c r="SO489" s="9"/>
      <c r="SP489" s="9"/>
      <c r="SQ489" s="9"/>
      <c r="SR489" s="9"/>
      <c r="SS489" s="9"/>
      <c r="ST489" s="9"/>
      <c r="SU489" s="9"/>
      <c r="SV489" s="9"/>
      <c r="SW489" s="9"/>
      <c r="SX489" s="9"/>
      <c r="SY489" s="9"/>
      <c r="SZ489" s="9"/>
      <c r="TA489" s="9"/>
      <c r="TB489" s="9"/>
      <c r="TC489" s="9"/>
      <c r="TD489" s="9"/>
      <c r="TE489" s="9"/>
      <c r="TF489" s="9"/>
      <c r="TG489" s="9"/>
      <c r="TH489" s="9"/>
      <c r="TI489" s="9"/>
      <c r="TJ489" s="9"/>
      <c r="TK489" s="9"/>
      <c r="TL489" s="9"/>
      <c r="TM489" s="9"/>
      <c r="TN489" s="9"/>
      <c r="TO489" s="9"/>
      <c r="TP489" s="9"/>
      <c r="TQ489" s="9"/>
      <c r="TR489" s="9"/>
      <c r="TS489" s="9"/>
      <c r="TT489" s="9"/>
      <c r="TU489" s="9"/>
      <c r="TV489" s="9"/>
      <c r="TW489" s="9"/>
      <c r="TX489" s="9"/>
      <c r="TY489" s="9"/>
      <c r="TZ489" s="9"/>
      <c r="UA489" s="9"/>
      <c r="UB489" s="9"/>
      <c r="UC489" s="9"/>
      <c r="UD489" s="9"/>
      <c r="UE489" s="9"/>
      <c r="UF489" s="9"/>
      <c r="UG489" s="9"/>
      <c r="UH489" s="9"/>
      <c r="UI489" s="9"/>
      <c r="UJ489" s="9"/>
    </row>
    <row r="490">
      <c r="A490" s="8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  <c r="IC490" s="9"/>
      <c r="ID490" s="9"/>
      <c r="IE490" s="9"/>
      <c r="IF490" s="9"/>
      <c r="IG490" s="9"/>
      <c r="IH490" s="9"/>
      <c r="II490" s="9"/>
      <c r="IJ490" s="9"/>
      <c r="IK490" s="9"/>
      <c r="IL490" s="9"/>
      <c r="IM490" s="9"/>
      <c r="IN490" s="9"/>
      <c r="IO490" s="9"/>
      <c r="IP490" s="9"/>
      <c r="IQ490" s="9"/>
      <c r="IR490" s="9"/>
      <c r="IS490" s="9"/>
      <c r="IT490" s="9"/>
      <c r="IU490" s="9"/>
      <c r="IV490" s="9"/>
      <c r="IW490" s="9"/>
      <c r="IX490" s="9"/>
      <c r="IY490" s="9"/>
      <c r="IZ490" s="9"/>
      <c r="JA490" s="9"/>
      <c r="JB490" s="9"/>
      <c r="JC490" s="9"/>
      <c r="JD490" s="9"/>
      <c r="JE490" s="9"/>
      <c r="JF490" s="9"/>
      <c r="JG490" s="9"/>
      <c r="JH490" s="9"/>
      <c r="JI490" s="9"/>
      <c r="JJ490" s="9"/>
      <c r="JK490" s="9"/>
      <c r="JL490" s="9"/>
      <c r="JM490" s="9"/>
      <c r="JN490" s="9"/>
      <c r="JO490" s="9"/>
      <c r="JP490" s="9"/>
      <c r="JQ490" s="9"/>
      <c r="JR490" s="9"/>
      <c r="JS490" s="9"/>
      <c r="JT490" s="9"/>
      <c r="JU490" s="9"/>
      <c r="JV490" s="9"/>
      <c r="JW490" s="9"/>
      <c r="JX490" s="9"/>
      <c r="JY490" s="9"/>
      <c r="JZ490" s="9"/>
      <c r="KA490" s="9"/>
      <c r="KB490" s="9"/>
      <c r="KC490" s="9"/>
      <c r="KD490" s="9"/>
      <c r="KE490" s="9"/>
      <c r="KF490" s="9"/>
      <c r="KG490" s="9"/>
      <c r="KH490" s="9"/>
      <c r="KI490" s="9"/>
      <c r="KJ490" s="9"/>
      <c r="KK490" s="9"/>
      <c r="KL490" s="9"/>
      <c r="KM490" s="9"/>
      <c r="KN490" s="9"/>
      <c r="KO490" s="9"/>
      <c r="KP490" s="9"/>
      <c r="KQ490" s="9"/>
      <c r="KR490" s="9"/>
      <c r="KS490" s="9"/>
      <c r="KT490" s="9"/>
      <c r="KU490" s="9"/>
      <c r="KV490" s="9"/>
      <c r="KW490" s="9"/>
      <c r="KX490" s="9"/>
      <c r="KY490" s="9"/>
      <c r="KZ490" s="9"/>
      <c r="LA490" s="9"/>
      <c r="LB490" s="9"/>
      <c r="LC490" s="9"/>
      <c r="LD490" s="9"/>
      <c r="LE490" s="9"/>
      <c r="LF490" s="9"/>
      <c r="LG490" s="9"/>
      <c r="LH490" s="9"/>
      <c r="LI490" s="9"/>
      <c r="LJ490" s="9"/>
      <c r="LK490" s="9"/>
      <c r="LL490" s="9"/>
      <c r="LM490" s="9"/>
      <c r="LN490" s="9"/>
      <c r="LO490" s="9"/>
      <c r="LP490" s="9"/>
      <c r="LQ490" s="9"/>
      <c r="LR490" s="9"/>
      <c r="LS490" s="9"/>
      <c r="LT490" s="9"/>
      <c r="LU490" s="9"/>
      <c r="LV490" s="9"/>
      <c r="LW490" s="9"/>
      <c r="LX490" s="9"/>
      <c r="LY490" s="9"/>
      <c r="LZ490" s="9"/>
      <c r="MA490" s="9"/>
      <c r="MB490" s="9"/>
      <c r="MC490" s="9"/>
      <c r="MD490" s="9"/>
      <c r="ME490" s="9"/>
      <c r="MF490" s="9"/>
      <c r="MG490" s="9"/>
      <c r="MH490" s="9"/>
      <c r="MI490" s="9"/>
      <c r="MJ490" s="9"/>
      <c r="MK490" s="9"/>
      <c r="ML490" s="9"/>
      <c r="MM490" s="9"/>
      <c r="MN490" s="9"/>
      <c r="MO490" s="9"/>
      <c r="MP490" s="9"/>
      <c r="MQ490" s="9"/>
      <c r="MR490" s="9"/>
      <c r="MS490" s="9"/>
      <c r="MT490" s="9"/>
      <c r="MU490" s="9"/>
      <c r="MV490" s="9"/>
      <c r="MW490" s="9"/>
      <c r="MX490" s="9"/>
      <c r="MY490" s="9"/>
      <c r="MZ490" s="9"/>
      <c r="NA490" s="9"/>
      <c r="NB490" s="9"/>
      <c r="NC490" s="9"/>
      <c r="ND490" s="9"/>
      <c r="NE490" s="9"/>
      <c r="NF490" s="9"/>
      <c r="NG490" s="9"/>
      <c r="NH490" s="9"/>
      <c r="NI490" s="9"/>
      <c r="NJ490" s="9"/>
      <c r="NK490" s="9"/>
      <c r="NL490" s="9"/>
      <c r="NM490" s="9"/>
      <c r="NN490" s="9"/>
      <c r="NO490" s="9"/>
      <c r="NP490" s="9"/>
      <c r="NQ490" s="9"/>
      <c r="NR490" s="9"/>
      <c r="NS490" s="9"/>
      <c r="NT490" s="9"/>
      <c r="NU490" s="9"/>
      <c r="NV490" s="9"/>
      <c r="NW490" s="9"/>
      <c r="NX490" s="9"/>
      <c r="NY490" s="9"/>
      <c r="NZ490" s="9"/>
      <c r="OA490" s="9"/>
      <c r="OB490" s="9"/>
      <c r="OC490" s="9"/>
      <c r="OD490" s="9"/>
      <c r="OE490" s="9"/>
      <c r="OF490" s="9"/>
      <c r="OG490" s="9"/>
      <c r="OH490" s="9"/>
      <c r="OI490" s="9"/>
      <c r="OJ490" s="9"/>
      <c r="OK490" s="9"/>
      <c r="OL490" s="9"/>
      <c r="OM490" s="9"/>
      <c r="ON490" s="9"/>
      <c r="OO490" s="9"/>
      <c r="OP490" s="9"/>
      <c r="OQ490" s="9"/>
      <c r="OR490" s="9"/>
      <c r="OS490" s="9"/>
      <c r="OT490" s="9"/>
      <c r="OU490" s="9"/>
      <c r="OV490" s="9"/>
      <c r="OW490" s="9"/>
      <c r="OX490" s="9"/>
      <c r="OY490" s="9"/>
      <c r="OZ490" s="9"/>
      <c r="PA490" s="9"/>
      <c r="PB490" s="9"/>
      <c r="PC490" s="9"/>
      <c r="PD490" s="9"/>
      <c r="PE490" s="9"/>
      <c r="PF490" s="9"/>
      <c r="PG490" s="9"/>
      <c r="PH490" s="9"/>
      <c r="PI490" s="9"/>
      <c r="PJ490" s="9"/>
      <c r="PK490" s="9"/>
      <c r="PL490" s="9"/>
      <c r="PM490" s="9"/>
      <c r="PN490" s="9"/>
      <c r="PO490" s="9"/>
      <c r="PP490" s="9"/>
      <c r="PQ490" s="9"/>
      <c r="PR490" s="9"/>
      <c r="PS490" s="9"/>
      <c r="PT490" s="9"/>
      <c r="PU490" s="9"/>
      <c r="PV490" s="9"/>
      <c r="PW490" s="9"/>
      <c r="PX490" s="9"/>
      <c r="PY490" s="9"/>
      <c r="PZ490" s="9"/>
      <c r="QA490" s="9"/>
      <c r="QB490" s="9"/>
      <c r="QC490" s="9"/>
      <c r="QD490" s="9"/>
      <c r="QE490" s="9"/>
      <c r="QF490" s="9"/>
      <c r="QG490" s="9"/>
      <c r="QH490" s="9"/>
      <c r="QI490" s="9"/>
      <c r="QJ490" s="9"/>
      <c r="QK490" s="9"/>
      <c r="QL490" s="9"/>
      <c r="QM490" s="9"/>
      <c r="QN490" s="9"/>
      <c r="QO490" s="9"/>
      <c r="QP490" s="9"/>
      <c r="QQ490" s="9"/>
      <c r="QR490" s="9"/>
      <c r="QS490" s="9"/>
      <c r="QT490" s="9"/>
      <c r="QU490" s="9"/>
      <c r="QV490" s="9"/>
      <c r="QW490" s="9"/>
      <c r="QX490" s="9"/>
      <c r="QY490" s="9"/>
      <c r="QZ490" s="9"/>
      <c r="RA490" s="9"/>
      <c r="RB490" s="9"/>
      <c r="RC490" s="9"/>
      <c r="RD490" s="9"/>
      <c r="RE490" s="9"/>
      <c r="RF490" s="9"/>
      <c r="RG490" s="9"/>
      <c r="RH490" s="9"/>
      <c r="RI490" s="9"/>
      <c r="RJ490" s="9"/>
      <c r="RK490" s="9"/>
      <c r="RL490" s="9"/>
      <c r="RM490" s="9"/>
      <c r="RN490" s="9"/>
      <c r="RO490" s="9"/>
      <c r="RP490" s="9"/>
      <c r="RQ490" s="9"/>
      <c r="RR490" s="9"/>
      <c r="RS490" s="9"/>
      <c r="RT490" s="9"/>
      <c r="RU490" s="9"/>
      <c r="RV490" s="9"/>
      <c r="RW490" s="9"/>
      <c r="RX490" s="9"/>
      <c r="RY490" s="9"/>
      <c r="RZ490" s="9"/>
      <c r="SA490" s="9"/>
      <c r="SB490" s="9"/>
      <c r="SC490" s="9"/>
      <c r="SD490" s="9"/>
      <c r="SE490" s="9"/>
      <c r="SF490" s="9"/>
      <c r="SG490" s="9"/>
      <c r="SH490" s="9"/>
      <c r="SI490" s="9"/>
      <c r="SJ490" s="9"/>
      <c r="SK490" s="9"/>
      <c r="SL490" s="9"/>
      <c r="SM490" s="9"/>
      <c r="SN490" s="9"/>
      <c r="SO490" s="9"/>
      <c r="SP490" s="9"/>
      <c r="SQ490" s="9"/>
      <c r="SR490" s="9"/>
      <c r="SS490" s="9"/>
      <c r="ST490" s="9"/>
      <c r="SU490" s="9"/>
      <c r="SV490" s="9"/>
      <c r="SW490" s="9"/>
      <c r="SX490" s="9"/>
      <c r="SY490" s="9"/>
      <c r="SZ490" s="9"/>
      <c r="TA490" s="9"/>
      <c r="TB490" s="9"/>
      <c r="TC490" s="9"/>
      <c r="TD490" s="9"/>
      <c r="TE490" s="9"/>
      <c r="TF490" s="9"/>
      <c r="TG490" s="9"/>
      <c r="TH490" s="9"/>
      <c r="TI490" s="9"/>
      <c r="TJ490" s="9"/>
      <c r="TK490" s="9"/>
      <c r="TL490" s="9"/>
      <c r="TM490" s="9"/>
      <c r="TN490" s="9"/>
      <c r="TO490" s="9"/>
      <c r="TP490" s="9"/>
      <c r="TQ490" s="9"/>
      <c r="TR490" s="9"/>
      <c r="TS490" s="9"/>
      <c r="TT490" s="9"/>
      <c r="TU490" s="9"/>
      <c r="TV490" s="9"/>
      <c r="TW490" s="9"/>
      <c r="TX490" s="9"/>
      <c r="TY490" s="9"/>
      <c r="TZ490" s="9"/>
      <c r="UA490" s="9"/>
      <c r="UB490" s="9"/>
      <c r="UC490" s="9"/>
      <c r="UD490" s="9"/>
      <c r="UE490" s="9"/>
      <c r="UF490" s="9"/>
      <c r="UG490" s="9"/>
      <c r="UH490" s="9"/>
      <c r="UI490" s="9"/>
      <c r="UJ490" s="9"/>
    </row>
    <row r="491">
      <c r="A491" s="8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  <c r="IC491" s="9"/>
      <c r="ID491" s="9"/>
      <c r="IE491" s="9"/>
      <c r="IF491" s="9"/>
      <c r="IG491" s="9"/>
      <c r="IH491" s="9"/>
      <c r="II491" s="9"/>
      <c r="IJ491" s="9"/>
      <c r="IK491" s="9"/>
      <c r="IL491" s="9"/>
      <c r="IM491" s="9"/>
      <c r="IN491" s="9"/>
      <c r="IO491" s="9"/>
      <c r="IP491" s="9"/>
      <c r="IQ491" s="9"/>
      <c r="IR491" s="9"/>
      <c r="IS491" s="9"/>
      <c r="IT491" s="9"/>
      <c r="IU491" s="9"/>
      <c r="IV491" s="9"/>
      <c r="IW491" s="9"/>
      <c r="IX491" s="9"/>
      <c r="IY491" s="9"/>
      <c r="IZ491" s="9"/>
      <c r="JA491" s="9"/>
      <c r="JB491" s="9"/>
      <c r="JC491" s="9"/>
      <c r="JD491" s="9"/>
      <c r="JE491" s="9"/>
      <c r="JF491" s="9"/>
      <c r="JG491" s="9"/>
      <c r="JH491" s="9"/>
      <c r="JI491" s="9"/>
      <c r="JJ491" s="9"/>
      <c r="JK491" s="9"/>
      <c r="JL491" s="9"/>
      <c r="JM491" s="9"/>
      <c r="JN491" s="9"/>
      <c r="JO491" s="9"/>
      <c r="JP491" s="9"/>
      <c r="JQ491" s="9"/>
      <c r="JR491" s="9"/>
      <c r="JS491" s="9"/>
      <c r="JT491" s="9"/>
      <c r="JU491" s="9"/>
      <c r="JV491" s="9"/>
      <c r="JW491" s="9"/>
      <c r="JX491" s="9"/>
      <c r="JY491" s="9"/>
      <c r="JZ491" s="9"/>
      <c r="KA491" s="9"/>
      <c r="KB491" s="9"/>
      <c r="KC491" s="9"/>
      <c r="KD491" s="9"/>
      <c r="KE491" s="9"/>
      <c r="KF491" s="9"/>
      <c r="KG491" s="9"/>
      <c r="KH491" s="9"/>
      <c r="KI491" s="9"/>
      <c r="KJ491" s="9"/>
      <c r="KK491" s="9"/>
      <c r="KL491" s="9"/>
      <c r="KM491" s="9"/>
      <c r="KN491" s="9"/>
      <c r="KO491" s="9"/>
      <c r="KP491" s="9"/>
      <c r="KQ491" s="9"/>
      <c r="KR491" s="9"/>
      <c r="KS491" s="9"/>
      <c r="KT491" s="9"/>
      <c r="KU491" s="9"/>
      <c r="KV491" s="9"/>
      <c r="KW491" s="9"/>
      <c r="KX491" s="9"/>
      <c r="KY491" s="9"/>
      <c r="KZ491" s="9"/>
      <c r="LA491" s="9"/>
      <c r="LB491" s="9"/>
      <c r="LC491" s="9"/>
      <c r="LD491" s="9"/>
      <c r="LE491" s="9"/>
      <c r="LF491" s="9"/>
      <c r="LG491" s="9"/>
      <c r="LH491" s="9"/>
      <c r="LI491" s="9"/>
      <c r="LJ491" s="9"/>
      <c r="LK491" s="9"/>
      <c r="LL491" s="9"/>
      <c r="LM491" s="9"/>
      <c r="LN491" s="9"/>
      <c r="LO491" s="9"/>
      <c r="LP491" s="9"/>
      <c r="LQ491" s="9"/>
      <c r="LR491" s="9"/>
      <c r="LS491" s="9"/>
      <c r="LT491" s="9"/>
      <c r="LU491" s="9"/>
      <c r="LV491" s="9"/>
      <c r="LW491" s="9"/>
      <c r="LX491" s="9"/>
      <c r="LY491" s="9"/>
      <c r="LZ491" s="9"/>
      <c r="MA491" s="9"/>
      <c r="MB491" s="9"/>
      <c r="MC491" s="9"/>
      <c r="MD491" s="9"/>
      <c r="ME491" s="9"/>
      <c r="MF491" s="9"/>
      <c r="MG491" s="9"/>
      <c r="MH491" s="9"/>
      <c r="MI491" s="9"/>
      <c r="MJ491" s="9"/>
      <c r="MK491" s="9"/>
      <c r="ML491" s="9"/>
      <c r="MM491" s="9"/>
      <c r="MN491" s="9"/>
      <c r="MO491" s="9"/>
      <c r="MP491" s="9"/>
      <c r="MQ491" s="9"/>
      <c r="MR491" s="9"/>
      <c r="MS491" s="9"/>
      <c r="MT491" s="9"/>
      <c r="MU491" s="9"/>
      <c r="MV491" s="9"/>
      <c r="MW491" s="9"/>
      <c r="MX491" s="9"/>
      <c r="MY491" s="9"/>
      <c r="MZ491" s="9"/>
      <c r="NA491" s="9"/>
      <c r="NB491" s="9"/>
      <c r="NC491" s="9"/>
      <c r="ND491" s="9"/>
      <c r="NE491" s="9"/>
      <c r="NF491" s="9"/>
      <c r="NG491" s="9"/>
      <c r="NH491" s="9"/>
      <c r="NI491" s="9"/>
      <c r="NJ491" s="9"/>
      <c r="NK491" s="9"/>
      <c r="NL491" s="9"/>
      <c r="NM491" s="9"/>
      <c r="NN491" s="9"/>
      <c r="NO491" s="9"/>
      <c r="NP491" s="9"/>
      <c r="NQ491" s="9"/>
      <c r="NR491" s="9"/>
      <c r="NS491" s="9"/>
      <c r="NT491" s="9"/>
      <c r="NU491" s="9"/>
      <c r="NV491" s="9"/>
      <c r="NW491" s="9"/>
      <c r="NX491" s="9"/>
      <c r="NY491" s="9"/>
      <c r="NZ491" s="9"/>
      <c r="OA491" s="9"/>
      <c r="OB491" s="9"/>
      <c r="OC491" s="9"/>
      <c r="OD491" s="9"/>
      <c r="OE491" s="9"/>
      <c r="OF491" s="9"/>
      <c r="OG491" s="9"/>
      <c r="OH491" s="9"/>
      <c r="OI491" s="9"/>
      <c r="OJ491" s="9"/>
      <c r="OK491" s="9"/>
      <c r="OL491" s="9"/>
      <c r="OM491" s="9"/>
      <c r="ON491" s="9"/>
      <c r="OO491" s="9"/>
      <c r="OP491" s="9"/>
      <c r="OQ491" s="9"/>
      <c r="OR491" s="9"/>
      <c r="OS491" s="9"/>
      <c r="OT491" s="9"/>
      <c r="OU491" s="9"/>
      <c r="OV491" s="9"/>
      <c r="OW491" s="9"/>
      <c r="OX491" s="9"/>
      <c r="OY491" s="9"/>
      <c r="OZ491" s="9"/>
      <c r="PA491" s="9"/>
      <c r="PB491" s="9"/>
      <c r="PC491" s="9"/>
      <c r="PD491" s="9"/>
      <c r="PE491" s="9"/>
      <c r="PF491" s="9"/>
      <c r="PG491" s="9"/>
      <c r="PH491" s="9"/>
      <c r="PI491" s="9"/>
      <c r="PJ491" s="9"/>
      <c r="PK491" s="9"/>
      <c r="PL491" s="9"/>
      <c r="PM491" s="9"/>
      <c r="PN491" s="9"/>
      <c r="PO491" s="9"/>
      <c r="PP491" s="9"/>
      <c r="PQ491" s="9"/>
      <c r="PR491" s="9"/>
      <c r="PS491" s="9"/>
      <c r="PT491" s="9"/>
      <c r="PU491" s="9"/>
      <c r="PV491" s="9"/>
      <c r="PW491" s="9"/>
      <c r="PX491" s="9"/>
      <c r="PY491" s="9"/>
      <c r="PZ491" s="9"/>
      <c r="QA491" s="9"/>
      <c r="QB491" s="9"/>
      <c r="QC491" s="9"/>
      <c r="QD491" s="9"/>
      <c r="QE491" s="9"/>
      <c r="QF491" s="9"/>
      <c r="QG491" s="9"/>
      <c r="QH491" s="9"/>
      <c r="QI491" s="9"/>
      <c r="QJ491" s="9"/>
      <c r="QK491" s="9"/>
      <c r="QL491" s="9"/>
      <c r="QM491" s="9"/>
      <c r="QN491" s="9"/>
      <c r="QO491" s="9"/>
      <c r="QP491" s="9"/>
      <c r="QQ491" s="9"/>
      <c r="QR491" s="9"/>
      <c r="QS491" s="9"/>
      <c r="QT491" s="9"/>
      <c r="QU491" s="9"/>
      <c r="QV491" s="9"/>
      <c r="QW491" s="9"/>
      <c r="QX491" s="9"/>
      <c r="QY491" s="9"/>
      <c r="QZ491" s="9"/>
      <c r="RA491" s="9"/>
      <c r="RB491" s="9"/>
      <c r="RC491" s="9"/>
      <c r="RD491" s="9"/>
      <c r="RE491" s="9"/>
      <c r="RF491" s="9"/>
      <c r="RG491" s="9"/>
      <c r="RH491" s="9"/>
      <c r="RI491" s="9"/>
      <c r="RJ491" s="9"/>
      <c r="RK491" s="9"/>
      <c r="RL491" s="9"/>
      <c r="RM491" s="9"/>
      <c r="RN491" s="9"/>
      <c r="RO491" s="9"/>
      <c r="RP491" s="9"/>
      <c r="RQ491" s="9"/>
      <c r="RR491" s="9"/>
      <c r="RS491" s="9"/>
      <c r="RT491" s="9"/>
      <c r="RU491" s="9"/>
      <c r="RV491" s="9"/>
      <c r="RW491" s="9"/>
      <c r="RX491" s="9"/>
      <c r="RY491" s="9"/>
      <c r="RZ491" s="9"/>
      <c r="SA491" s="9"/>
      <c r="SB491" s="9"/>
      <c r="SC491" s="9"/>
      <c r="SD491" s="9"/>
      <c r="SE491" s="9"/>
      <c r="SF491" s="9"/>
      <c r="SG491" s="9"/>
      <c r="SH491" s="9"/>
      <c r="SI491" s="9"/>
      <c r="SJ491" s="9"/>
      <c r="SK491" s="9"/>
      <c r="SL491" s="9"/>
      <c r="SM491" s="9"/>
      <c r="SN491" s="9"/>
      <c r="SO491" s="9"/>
      <c r="SP491" s="9"/>
      <c r="SQ491" s="9"/>
      <c r="SR491" s="9"/>
      <c r="SS491" s="9"/>
      <c r="ST491" s="9"/>
      <c r="SU491" s="9"/>
      <c r="SV491" s="9"/>
      <c r="SW491" s="9"/>
      <c r="SX491" s="9"/>
      <c r="SY491" s="9"/>
      <c r="SZ491" s="9"/>
      <c r="TA491" s="9"/>
      <c r="TB491" s="9"/>
      <c r="TC491" s="9"/>
      <c r="TD491" s="9"/>
      <c r="TE491" s="9"/>
      <c r="TF491" s="9"/>
      <c r="TG491" s="9"/>
      <c r="TH491" s="9"/>
      <c r="TI491" s="9"/>
      <c r="TJ491" s="9"/>
      <c r="TK491" s="9"/>
      <c r="TL491" s="9"/>
      <c r="TM491" s="9"/>
      <c r="TN491" s="9"/>
      <c r="TO491" s="9"/>
      <c r="TP491" s="9"/>
      <c r="TQ491" s="9"/>
      <c r="TR491" s="9"/>
      <c r="TS491" s="9"/>
      <c r="TT491" s="9"/>
      <c r="TU491" s="9"/>
      <c r="TV491" s="9"/>
      <c r="TW491" s="9"/>
      <c r="TX491" s="9"/>
      <c r="TY491" s="9"/>
      <c r="TZ491" s="9"/>
      <c r="UA491" s="9"/>
      <c r="UB491" s="9"/>
      <c r="UC491" s="9"/>
      <c r="UD491" s="9"/>
      <c r="UE491" s="9"/>
      <c r="UF491" s="9"/>
      <c r="UG491" s="9"/>
      <c r="UH491" s="9"/>
      <c r="UI491" s="9"/>
      <c r="UJ491" s="9"/>
    </row>
    <row r="492">
      <c r="A492" s="8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  <c r="IN492" s="9"/>
      <c r="IO492" s="9"/>
      <c r="IP492" s="9"/>
      <c r="IQ492" s="9"/>
      <c r="IR492" s="9"/>
      <c r="IS492" s="9"/>
      <c r="IT492" s="9"/>
      <c r="IU492" s="9"/>
      <c r="IV492" s="9"/>
      <c r="IW492" s="9"/>
      <c r="IX492" s="9"/>
      <c r="IY492" s="9"/>
      <c r="IZ492" s="9"/>
      <c r="JA492" s="9"/>
      <c r="JB492" s="9"/>
      <c r="JC492" s="9"/>
      <c r="JD492" s="9"/>
      <c r="JE492" s="9"/>
      <c r="JF492" s="9"/>
      <c r="JG492" s="9"/>
      <c r="JH492" s="9"/>
      <c r="JI492" s="9"/>
      <c r="JJ492" s="9"/>
      <c r="JK492" s="9"/>
      <c r="JL492" s="9"/>
      <c r="JM492" s="9"/>
      <c r="JN492" s="9"/>
      <c r="JO492" s="9"/>
      <c r="JP492" s="9"/>
      <c r="JQ492" s="9"/>
      <c r="JR492" s="9"/>
      <c r="JS492" s="9"/>
      <c r="JT492" s="9"/>
      <c r="JU492" s="9"/>
      <c r="JV492" s="9"/>
      <c r="JW492" s="9"/>
      <c r="JX492" s="9"/>
      <c r="JY492" s="9"/>
      <c r="JZ492" s="9"/>
      <c r="KA492" s="9"/>
      <c r="KB492" s="9"/>
      <c r="KC492" s="9"/>
      <c r="KD492" s="9"/>
      <c r="KE492" s="9"/>
      <c r="KF492" s="9"/>
      <c r="KG492" s="9"/>
      <c r="KH492" s="9"/>
      <c r="KI492" s="9"/>
      <c r="KJ492" s="9"/>
      <c r="KK492" s="9"/>
      <c r="KL492" s="9"/>
      <c r="KM492" s="9"/>
      <c r="KN492" s="9"/>
      <c r="KO492" s="9"/>
      <c r="KP492" s="9"/>
      <c r="KQ492" s="9"/>
      <c r="KR492" s="9"/>
      <c r="KS492" s="9"/>
      <c r="KT492" s="9"/>
      <c r="KU492" s="9"/>
      <c r="KV492" s="9"/>
      <c r="KW492" s="9"/>
      <c r="KX492" s="9"/>
      <c r="KY492" s="9"/>
      <c r="KZ492" s="9"/>
      <c r="LA492" s="9"/>
      <c r="LB492" s="9"/>
      <c r="LC492" s="9"/>
      <c r="LD492" s="9"/>
      <c r="LE492" s="9"/>
      <c r="LF492" s="9"/>
      <c r="LG492" s="9"/>
      <c r="LH492" s="9"/>
      <c r="LI492" s="9"/>
      <c r="LJ492" s="9"/>
      <c r="LK492" s="9"/>
      <c r="LL492" s="9"/>
      <c r="LM492" s="9"/>
      <c r="LN492" s="9"/>
      <c r="LO492" s="9"/>
      <c r="LP492" s="9"/>
      <c r="LQ492" s="9"/>
      <c r="LR492" s="9"/>
      <c r="LS492" s="9"/>
      <c r="LT492" s="9"/>
      <c r="LU492" s="9"/>
      <c r="LV492" s="9"/>
      <c r="LW492" s="9"/>
      <c r="LX492" s="9"/>
      <c r="LY492" s="9"/>
      <c r="LZ492" s="9"/>
      <c r="MA492" s="9"/>
      <c r="MB492" s="9"/>
      <c r="MC492" s="9"/>
      <c r="MD492" s="9"/>
      <c r="ME492" s="9"/>
      <c r="MF492" s="9"/>
      <c r="MG492" s="9"/>
      <c r="MH492" s="9"/>
      <c r="MI492" s="9"/>
      <c r="MJ492" s="9"/>
      <c r="MK492" s="9"/>
      <c r="ML492" s="9"/>
      <c r="MM492" s="9"/>
      <c r="MN492" s="9"/>
      <c r="MO492" s="9"/>
      <c r="MP492" s="9"/>
      <c r="MQ492" s="9"/>
      <c r="MR492" s="9"/>
      <c r="MS492" s="9"/>
      <c r="MT492" s="9"/>
      <c r="MU492" s="9"/>
      <c r="MV492" s="9"/>
      <c r="MW492" s="9"/>
      <c r="MX492" s="9"/>
      <c r="MY492" s="9"/>
      <c r="MZ492" s="9"/>
      <c r="NA492" s="9"/>
      <c r="NB492" s="9"/>
      <c r="NC492" s="9"/>
      <c r="ND492" s="9"/>
      <c r="NE492" s="9"/>
      <c r="NF492" s="9"/>
      <c r="NG492" s="9"/>
      <c r="NH492" s="9"/>
      <c r="NI492" s="9"/>
      <c r="NJ492" s="9"/>
      <c r="NK492" s="9"/>
      <c r="NL492" s="9"/>
      <c r="NM492" s="9"/>
      <c r="NN492" s="9"/>
      <c r="NO492" s="9"/>
      <c r="NP492" s="9"/>
      <c r="NQ492" s="9"/>
      <c r="NR492" s="9"/>
      <c r="NS492" s="9"/>
      <c r="NT492" s="9"/>
      <c r="NU492" s="9"/>
      <c r="NV492" s="9"/>
      <c r="NW492" s="9"/>
      <c r="NX492" s="9"/>
      <c r="NY492" s="9"/>
      <c r="NZ492" s="9"/>
      <c r="OA492" s="9"/>
      <c r="OB492" s="9"/>
      <c r="OC492" s="9"/>
      <c r="OD492" s="9"/>
      <c r="OE492" s="9"/>
      <c r="OF492" s="9"/>
      <c r="OG492" s="9"/>
      <c r="OH492" s="9"/>
      <c r="OI492" s="9"/>
      <c r="OJ492" s="9"/>
      <c r="OK492" s="9"/>
      <c r="OL492" s="9"/>
      <c r="OM492" s="9"/>
      <c r="ON492" s="9"/>
      <c r="OO492" s="9"/>
      <c r="OP492" s="9"/>
      <c r="OQ492" s="9"/>
      <c r="OR492" s="9"/>
      <c r="OS492" s="9"/>
      <c r="OT492" s="9"/>
      <c r="OU492" s="9"/>
      <c r="OV492" s="9"/>
      <c r="OW492" s="9"/>
      <c r="OX492" s="9"/>
      <c r="OY492" s="9"/>
      <c r="OZ492" s="9"/>
      <c r="PA492" s="9"/>
      <c r="PB492" s="9"/>
      <c r="PC492" s="9"/>
      <c r="PD492" s="9"/>
      <c r="PE492" s="9"/>
      <c r="PF492" s="9"/>
      <c r="PG492" s="9"/>
      <c r="PH492" s="9"/>
      <c r="PI492" s="9"/>
      <c r="PJ492" s="9"/>
      <c r="PK492" s="9"/>
      <c r="PL492" s="9"/>
      <c r="PM492" s="9"/>
      <c r="PN492" s="9"/>
      <c r="PO492" s="9"/>
      <c r="PP492" s="9"/>
      <c r="PQ492" s="9"/>
      <c r="PR492" s="9"/>
      <c r="PS492" s="9"/>
      <c r="PT492" s="9"/>
      <c r="PU492" s="9"/>
      <c r="PV492" s="9"/>
      <c r="PW492" s="9"/>
      <c r="PX492" s="9"/>
      <c r="PY492" s="9"/>
      <c r="PZ492" s="9"/>
      <c r="QA492" s="9"/>
      <c r="QB492" s="9"/>
      <c r="QC492" s="9"/>
      <c r="QD492" s="9"/>
      <c r="QE492" s="9"/>
      <c r="QF492" s="9"/>
      <c r="QG492" s="9"/>
      <c r="QH492" s="9"/>
      <c r="QI492" s="9"/>
      <c r="QJ492" s="9"/>
      <c r="QK492" s="9"/>
      <c r="QL492" s="9"/>
      <c r="QM492" s="9"/>
      <c r="QN492" s="9"/>
      <c r="QO492" s="9"/>
      <c r="QP492" s="9"/>
      <c r="QQ492" s="9"/>
      <c r="QR492" s="9"/>
      <c r="QS492" s="9"/>
      <c r="QT492" s="9"/>
      <c r="QU492" s="9"/>
      <c r="QV492" s="9"/>
      <c r="QW492" s="9"/>
      <c r="QX492" s="9"/>
      <c r="QY492" s="9"/>
      <c r="QZ492" s="9"/>
      <c r="RA492" s="9"/>
      <c r="RB492" s="9"/>
      <c r="RC492" s="9"/>
      <c r="RD492" s="9"/>
      <c r="RE492" s="9"/>
      <c r="RF492" s="9"/>
      <c r="RG492" s="9"/>
      <c r="RH492" s="9"/>
      <c r="RI492" s="9"/>
      <c r="RJ492" s="9"/>
      <c r="RK492" s="9"/>
      <c r="RL492" s="9"/>
      <c r="RM492" s="9"/>
      <c r="RN492" s="9"/>
      <c r="RO492" s="9"/>
      <c r="RP492" s="9"/>
      <c r="RQ492" s="9"/>
      <c r="RR492" s="9"/>
      <c r="RS492" s="9"/>
      <c r="RT492" s="9"/>
      <c r="RU492" s="9"/>
      <c r="RV492" s="9"/>
      <c r="RW492" s="9"/>
      <c r="RX492" s="9"/>
      <c r="RY492" s="9"/>
      <c r="RZ492" s="9"/>
      <c r="SA492" s="9"/>
      <c r="SB492" s="9"/>
      <c r="SC492" s="9"/>
      <c r="SD492" s="9"/>
      <c r="SE492" s="9"/>
      <c r="SF492" s="9"/>
      <c r="SG492" s="9"/>
      <c r="SH492" s="9"/>
      <c r="SI492" s="9"/>
      <c r="SJ492" s="9"/>
      <c r="SK492" s="9"/>
      <c r="SL492" s="9"/>
      <c r="SM492" s="9"/>
      <c r="SN492" s="9"/>
      <c r="SO492" s="9"/>
      <c r="SP492" s="9"/>
      <c r="SQ492" s="9"/>
      <c r="SR492" s="9"/>
      <c r="SS492" s="9"/>
      <c r="ST492" s="9"/>
      <c r="SU492" s="9"/>
      <c r="SV492" s="9"/>
      <c r="SW492" s="9"/>
      <c r="SX492" s="9"/>
      <c r="SY492" s="9"/>
      <c r="SZ492" s="9"/>
      <c r="TA492" s="9"/>
      <c r="TB492" s="9"/>
      <c r="TC492" s="9"/>
      <c r="TD492" s="9"/>
      <c r="TE492" s="9"/>
      <c r="TF492" s="9"/>
      <c r="TG492" s="9"/>
      <c r="TH492" s="9"/>
      <c r="TI492" s="9"/>
      <c r="TJ492" s="9"/>
      <c r="TK492" s="9"/>
      <c r="TL492" s="9"/>
      <c r="TM492" s="9"/>
      <c r="TN492" s="9"/>
      <c r="TO492" s="9"/>
      <c r="TP492" s="9"/>
      <c r="TQ492" s="9"/>
      <c r="TR492" s="9"/>
      <c r="TS492" s="9"/>
      <c r="TT492" s="9"/>
      <c r="TU492" s="9"/>
      <c r="TV492" s="9"/>
      <c r="TW492" s="9"/>
      <c r="TX492" s="9"/>
      <c r="TY492" s="9"/>
      <c r="TZ492" s="9"/>
      <c r="UA492" s="9"/>
      <c r="UB492" s="9"/>
      <c r="UC492" s="9"/>
      <c r="UD492" s="9"/>
      <c r="UE492" s="9"/>
      <c r="UF492" s="9"/>
      <c r="UG492" s="9"/>
      <c r="UH492" s="9"/>
      <c r="UI492" s="9"/>
      <c r="UJ492" s="9"/>
    </row>
    <row r="493">
      <c r="A493" s="8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9"/>
      <c r="JE493" s="9"/>
      <c r="JF493" s="9"/>
      <c r="JG493" s="9"/>
      <c r="JH493" s="9"/>
      <c r="JI493" s="9"/>
      <c r="JJ493" s="9"/>
      <c r="JK493" s="9"/>
      <c r="JL493" s="9"/>
      <c r="JM493" s="9"/>
      <c r="JN493" s="9"/>
      <c r="JO493" s="9"/>
      <c r="JP493" s="9"/>
      <c r="JQ493" s="9"/>
      <c r="JR493" s="9"/>
      <c r="JS493" s="9"/>
      <c r="JT493" s="9"/>
      <c r="JU493" s="9"/>
      <c r="JV493" s="9"/>
      <c r="JW493" s="9"/>
      <c r="JX493" s="9"/>
      <c r="JY493" s="9"/>
      <c r="JZ493" s="9"/>
      <c r="KA493" s="9"/>
      <c r="KB493" s="9"/>
      <c r="KC493" s="9"/>
      <c r="KD493" s="9"/>
      <c r="KE493" s="9"/>
      <c r="KF493" s="9"/>
      <c r="KG493" s="9"/>
      <c r="KH493" s="9"/>
      <c r="KI493" s="9"/>
      <c r="KJ493" s="9"/>
      <c r="KK493" s="9"/>
      <c r="KL493" s="9"/>
      <c r="KM493" s="9"/>
      <c r="KN493" s="9"/>
      <c r="KO493" s="9"/>
      <c r="KP493" s="9"/>
      <c r="KQ493" s="9"/>
      <c r="KR493" s="9"/>
      <c r="KS493" s="9"/>
      <c r="KT493" s="9"/>
      <c r="KU493" s="9"/>
      <c r="KV493" s="9"/>
      <c r="KW493" s="9"/>
      <c r="KX493" s="9"/>
      <c r="KY493" s="9"/>
      <c r="KZ493" s="9"/>
      <c r="LA493" s="9"/>
      <c r="LB493" s="9"/>
      <c r="LC493" s="9"/>
      <c r="LD493" s="9"/>
      <c r="LE493" s="9"/>
      <c r="LF493" s="9"/>
      <c r="LG493" s="9"/>
      <c r="LH493" s="9"/>
      <c r="LI493" s="9"/>
      <c r="LJ493" s="9"/>
      <c r="LK493" s="9"/>
      <c r="LL493" s="9"/>
      <c r="LM493" s="9"/>
      <c r="LN493" s="9"/>
      <c r="LO493" s="9"/>
      <c r="LP493" s="9"/>
      <c r="LQ493" s="9"/>
      <c r="LR493" s="9"/>
      <c r="LS493" s="9"/>
      <c r="LT493" s="9"/>
      <c r="LU493" s="9"/>
      <c r="LV493" s="9"/>
      <c r="LW493" s="9"/>
      <c r="LX493" s="9"/>
      <c r="LY493" s="9"/>
      <c r="LZ493" s="9"/>
      <c r="MA493" s="9"/>
      <c r="MB493" s="9"/>
      <c r="MC493" s="9"/>
      <c r="MD493" s="9"/>
      <c r="ME493" s="9"/>
      <c r="MF493" s="9"/>
      <c r="MG493" s="9"/>
      <c r="MH493" s="9"/>
      <c r="MI493" s="9"/>
      <c r="MJ493" s="9"/>
      <c r="MK493" s="9"/>
      <c r="ML493" s="9"/>
      <c r="MM493" s="9"/>
      <c r="MN493" s="9"/>
      <c r="MO493" s="9"/>
      <c r="MP493" s="9"/>
      <c r="MQ493" s="9"/>
      <c r="MR493" s="9"/>
      <c r="MS493" s="9"/>
      <c r="MT493" s="9"/>
      <c r="MU493" s="9"/>
      <c r="MV493" s="9"/>
      <c r="MW493" s="9"/>
      <c r="MX493" s="9"/>
      <c r="MY493" s="9"/>
      <c r="MZ493" s="9"/>
      <c r="NA493" s="9"/>
      <c r="NB493" s="9"/>
      <c r="NC493" s="9"/>
      <c r="ND493" s="9"/>
      <c r="NE493" s="9"/>
      <c r="NF493" s="9"/>
      <c r="NG493" s="9"/>
      <c r="NH493" s="9"/>
      <c r="NI493" s="9"/>
      <c r="NJ493" s="9"/>
      <c r="NK493" s="9"/>
      <c r="NL493" s="9"/>
      <c r="NM493" s="9"/>
      <c r="NN493" s="9"/>
      <c r="NO493" s="9"/>
      <c r="NP493" s="9"/>
      <c r="NQ493" s="9"/>
      <c r="NR493" s="9"/>
      <c r="NS493" s="9"/>
      <c r="NT493" s="9"/>
      <c r="NU493" s="9"/>
      <c r="NV493" s="9"/>
      <c r="NW493" s="9"/>
      <c r="NX493" s="9"/>
      <c r="NY493" s="9"/>
      <c r="NZ493" s="9"/>
      <c r="OA493" s="9"/>
      <c r="OB493" s="9"/>
      <c r="OC493" s="9"/>
      <c r="OD493" s="9"/>
      <c r="OE493" s="9"/>
      <c r="OF493" s="9"/>
      <c r="OG493" s="9"/>
      <c r="OH493" s="9"/>
      <c r="OI493" s="9"/>
      <c r="OJ493" s="9"/>
      <c r="OK493" s="9"/>
      <c r="OL493" s="9"/>
      <c r="OM493" s="9"/>
      <c r="ON493" s="9"/>
      <c r="OO493" s="9"/>
      <c r="OP493" s="9"/>
      <c r="OQ493" s="9"/>
      <c r="OR493" s="9"/>
      <c r="OS493" s="9"/>
      <c r="OT493" s="9"/>
      <c r="OU493" s="9"/>
      <c r="OV493" s="9"/>
      <c r="OW493" s="9"/>
      <c r="OX493" s="9"/>
      <c r="OY493" s="9"/>
      <c r="OZ493" s="9"/>
      <c r="PA493" s="9"/>
      <c r="PB493" s="9"/>
      <c r="PC493" s="9"/>
      <c r="PD493" s="9"/>
      <c r="PE493" s="9"/>
      <c r="PF493" s="9"/>
      <c r="PG493" s="9"/>
      <c r="PH493" s="9"/>
      <c r="PI493" s="9"/>
      <c r="PJ493" s="9"/>
      <c r="PK493" s="9"/>
      <c r="PL493" s="9"/>
      <c r="PM493" s="9"/>
      <c r="PN493" s="9"/>
      <c r="PO493" s="9"/>
      <c r="PP493" s="9"/>
      <c r="PQ493" s="9"/>
      <c r="PR493" s="9"/>
      <c r="PS493" s="9"/>
      <c r="PT493" s="9"/>
      <c r="PU493" s="9"/>
      <c r="PV493" s="9"/>
      <c r="PW493" s="9"/>
      <c r="PX493" s="9"/>
      <c r="PY493" s="9"/>
      <c r="PZ493" s="9"/>
      <c r="QA493" s="9"/>
      <c r="QB493" s="9"/>
      <c r="QC493" s="9"/>
      <c r="QD493" s="9"/>
      <c r="QE493" s="9"/>
      <c r="QF493" s="9"/>
      <c r="QG493" s="9"/>
      <c r="QH493" s="9"/>
      <c r="QI493" s="9"/>
      <c r="QJ493" s="9"/>
      <c r="QK493" s="9"/>
      <c r="QL493" s="9"/>
      <c r="QM493" s="9"/>
      <c r="QN493" s="9"/>
      <c r="QO493" s="9"/>
      <c r="QP493" s="9"/>
      <c r="QQ493" s="9"/>
      <c r="QR493" s="9"/>
      <c r="QS493" s="9"/>
      <c r="QT493" s="9"/>
      <c r="QU493" s="9"/>
      <c r="QV493" s="9"/>
      <c r="QW493" s="9"/>
      <c r="QX493" s="9"/>
      <c r="QY493" s="9"/>
      <c r="QZ493" s="9"/>
      <c r="RA493" s="9"/>
      <c r="RB493" s="9"/>
      <c r="RC493" s="9"/>
      <c r="RD493" s="9"/>
      <c r="RE493" s="9"/>
      <c r="RF493" s="9"/>
      <c r="RG493" s="9"/>
      <c r="RH493" s="9"/>
      <c r="RI493" s="9"/>
      <c r="RJ493" s="9"/>
      <c r="RK493" s="9"/>
      <c r="RL493" s="9"/>
      <c r="RM493" s="9"/>
      <c r="RN493" s="9"/>
      <c r="RO493" s="9"/>
      <c r="RP493" s="9"/>
      <c r="RQ493" s="9"/>
      <c r="RR493" s="9"/>
      <c r="RS493" s="9"/>
      <c r="RT493" s="9"/>
      <c r="RU493" s="9"/>
      <c r="RV493" s="9"/>
      <c r="RW493" s="9"/>
      <c r="RX493" s="9"/>
      <c r="RY493" s="9"/>
      <c r="RZ493" s="9"/>
      <c r="SA493" s="9"/>
      <c r="SB493" s="9"/>
      <c r="SC493" s="9"/>
      <c r="SD493" s="9"/>
      <c r="SE493" s="9"/>
      <c r="SF493" s="9"/>
      <c r="SG493" s="9"/>
      <c r="SH493" s="9"/>
      <c r="SI493" s="9"/>
      <c r="SJ493" s="9"/>
      <c r="SK493" s="9"/>
      <c r="SL493" s="9"/>
      <c r="SM493" s="9"/>
      <c r="SN493" s="9"/>
      <c r="SO493" s="9"/>
      <c r="SP493" s="9"/>
      <c r="SQ493" s="9"/>
      <c r="SR493" s="9"/>
      <c r="SS493" s="9"/>
      <c r="ST493" s="9"/>
      <c r="SU493" s="9"/>
      <c r="SV493" s="9"/>
      <c r="SW493" s="9"/>
      <c r="SX493" s="9"/>
      <c r="SY493" s="9"/>
      <c r="SZ493" s="9"/>
      <c r="TA493" s="9"/>
      <c r="TB493" s="9"/>
      <c r="TC493" s="9"/>
      <c r="TD493" s="9"/>
      <c r="TE493" s="9"/>
      <c r="TF493" s="9"/>
      <c r="TG493" s="9"/>
      <c r="TH493" s="9"/>
      <c r="TI493" s="9"/>
      <c r="TJ493" s="9"/>
      <c r="TK493" s="9"/>
      <c r="TL493" s="9"/>
      <c r="TM493" s="9"/>
      <c r="TN493" s="9"/>
      <c r="TO493" s="9"/>
      <c r="TP493" s="9"/>
      <c r="TQ493" s="9"/>
      <c r="TR493" s="9"/>
      <c r="TS493" s="9"/>
      <c r="TT493" s="9"/>
      <c r="TU493" s="9"/>
      <c r="TV493" s="9"/>
      <c r="TW493" s="9"/>
      <c r="TX493" s="9"/>
      <c r="TY493" s="9"/>
      <c r="TZ493" s="9"/>
      <c r="UA493" s="9"/>
      <c r="UB493" s="9"/>
      <c r="UC493" s="9"/>
      <c r="UD493" s="9"/>
      <c r="UE493" s="9"/>
      <c r="UF493" s="9"/>
      <c r="UG493" s="9"/>
      <c r="UH493" s="9"/>
      <c r="UI493" s="9"/>
      <c r="UJ493" s="9"/>
    </row>
    <row r="494">
      <c r="A494" s="8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  <c r="IN494" s="9"/>
      <c r="IO494" s="9"/>
      <c r="IP494" s="9"/>
      <c r="IQ494" s="9"/>
      <c r="IR494" s="9"/>
      <c r="IS494" s="9"/>
      <c r="IT494" s="9"/>
      <c r="IU494" s="9"/>
      <c r="IV494" s="9"/>
      <c r="IW494" s="9"/>
      <c r="IX494" s="9"/>
      <c r="IY494" s="9"/>
      <c r="IZ494" s="9"/>
      <c r="JA494" s="9"/>
      <c r="JB494" s="9"/>
      <c r="JC494" s="9"/>
      <c r="JD494" s="9"/>
      <c r="JE494" s="9"/>
      <c r="JF494" s="9"/>
      <c r="JG494" s="9"/>
      <c r="JH494" s="9"/>
      <c r="JI494" s="9"/>
      <c r="JJ494" s="9"/>
      <c r="JK494" s="9"/>
      <c r="JL494" s="9"/>
      <c r="JM494" s="9"/>
      <c r="JN494" s="9"/>
      <c r="JO494" s="9"/>
      <c r="JP494" s="9"/>
      <c r="JQ494" s="9"/>
      <c r="JR494" s="9"/>
      <c r="JS494" s="9"/>
      <c r="JT494" s="9"/>
      <c r="JU494" s="9"/>
      <c r="JV494" s="9"/>
      <c r="JW494" s="9"/>
      <c r="JX494" s="9"/>
      <c r="JY494" s="9"/>
      <c r="JZ494" s="9"/>
      <c r="KA494" s="9"/>
      <c r="KB494" s="9"/>
      <c r="KC494" s="9"/>
      <c r="KD494" s="9"/>
      <c r="KE494" s="9"/>
      <c r="KF494" s="9"/>
      <c r="KG494" s="9"/>
      <c r="KH494" s="9"/>
      <c r="KI494" s="9"/>
      <c r="KJ494" s="9"/>
      <c r="KK494" s="9"/>
      <c r="KL494" s="9"/>
      <c r="KM494" s="9"/>
      <c r="KN494" s="9"/>
      <c r="KO494" s="9"/>
      <c r="KP494" s="9"/>
      <c r="KQ494" s="9"/>
      <c r="KR494" s="9"/>
      <c r="KS494" s="9"/>
      <c r="KT494" s="9"/>
      <c r="KU494" s="9"/>
      <c r="KV494" s="9"/>
      <c r="KW494" s="9"/>
      <c r="KX494" s="9"/>
      <c r="KY494" s="9"/>
      <c r="KZ494" s="9"/>
      <c r="LA494" s="9"/>
      <c r="LB494" s="9"/>
      <c r="LC494" s="9"/>
      <c r="LD494" s="9"/>
      <c r="LE494" s="9"/>
      <c r="LF494" s="9"/>
      <c r="LG494" s="9"/>
      <c r="LH494" s="9"/>
      <c r="LI494" s="9"/>
      <c r="LJ494" s="9"/>
      <c r="LK494" s="9"/>
      <c r="LL494" s="9"/>
      <c r="LM494" s="9"/>
      <c r="LN494" s="9"/>
      <c r="LO494" s="9"/>
      <c r="LP494" s="9"/>
      <c r="LQ494" s="9"/>
      <c r="LR494" s="9"/>
      <c r="LS494" s="9"/>
      <c r="LT494" s="9"/>
      <c r="LU494" s="9"/>
      <c r="LV494" s="9"/>
      <c r="LW494" s="9"/>
      <c r="LX494" s="9"/>
      <c r="LY494" s="9"/>
      <c r="LZ494" s="9"/>
      <c r="MA494" s="9"/>
      <c r="MB494" s="9"/>
      <c r="MC494" s="9"/>
      <c r="MD494" s="9"/>
      <c r="ME494" s="9"/>
      <c r="MF494" s="9"/>
      <c r="MG494" s="9"/>
      <c r="MH494" s="9"/>
      <c r="MI494" s="9"/>
      <c r="MJ494" s="9"/>
      <c r="MK494" s="9"/>
      <c r="ML494" s="9"/>
      <c r="MM494" s="9"/>
      <c r="MN494" s="9"/>
      <c r="MO494" s="9"/>
      <c r="MP494" s="9"/>
      <c r="MQ494" s="9"/>
      <c r="MR494" s="9"/>
      <c r="MS494" s="9"/>
      <c r="MT494" s="9"/>
      <c r="MU494" s="9"/>
      <c r="MV494" s="9"/>
      <c r="MW494" s="9"/>
      <c r="MX494" s="9"/>
      <c r="MY494" s="9"/>
      <c r="MZ494" s="9"/>
      <c r="NA494" s="9"/>
      <c r="NB494" s="9"/>
      <c r="NC494" s="9"/>
      <c r="ND494" s="9"/>
      <c r="NE494" s="9"/>
      <c r="NF494" s="9"/>
      <c r="NG494" s="9"/>
      <c r="NH494" s="9"/>
      <c r="NI494" s="9"/>
      <c r="NJ494" s="9"/>
      <c r="NK494" s="9"/>
      <c r="NL494" s="9"/>
      <c r="NM494" s="9"/>
      <c r="NN494" s="9"/>
      <c r="NO494" s="9"/>
      <c r="NP494" s="9"/>
      <c r="NQ494" s="9"/>
      <c r="NR494" s="9"/>
      <c r="NS494" s="9"/>
      <c r="NT494" s="9"/>
      <c r="NU494" s="9"/>
      <c r="NV494" s="9"/>
      <c r="NW494" s="9"/>
      <c r="NX494" s="9"/>
      <c r="NY494" s="9"/>
      <c r="NZ494" s="9"/>
      <c r="OA494" s="9"/>
      <c r="OB494" s="9"/>
      <c r="OC494" s="9"/>
      <c r="OD494" s="9"/>
      <c r="OE494" s="9"/>
      <c r="OF494" s="9"/>
      <c r="OG494" s="9"/>
      <c r="OH494" s="9"/>
      <c r="OI494" s="9"/>
      <c r="OJ494" s="9"/>
      <c r="OK494" s="9"/>
      <c r="OL494" s="9"/>
      <c r="OM494" s="9"/>
      <c r="ON494" s="9"/>
      <c r="OO494" s="9"/>
      <c r="OP494" s="9"/>
      <c r="OQ494" s="9"/>
      <c r="OR494" s="9"/>
      <c r="OS494" s="9"/>
      <c r="OT494" s="9"/>
      <c r="OU494" s="9"/>
      <c r="OV494" s="9"/>
      <c r="OW494" s="9"/>
      <c r="OX494" s="9"/>
      <c r="OY494" s="9"/>
      <c r="OZ494" s="9"/>
      <c r="PA494" s="9"/>
      <c r="PB494" s="9"/>
      <c r="PC494" s="9"/>
      <c r="PD494" s="9"/>
      <c r="PE494" s="9"/>
      <c r="PF494" s="9"/>
      <c r="PG494" s="9"/>
      <c r="PH494" s="9"/>
      <c r="PI494" s="9"/>
      <c r="PJ494" s="9"/>
      <c r="PK494" s="9"/>
      <c r="PL494" s="9"/>
      <c r="PM494" s="9"/>
      <c r="PN494" s="9"/>
      <c r="PO494" s="9"/>
      <c r="PP494" s="9"/>
      <c r="PQ494" s="9"/>
      <c r="PR494" s="9"/>
      <c r="PS494" s="9"/>
      <c r="PT494" s="9"/>
      <c r="PU494" s="9"/>
      <c r="PV494" s="9"/>
      <c r="PW494" s="9"/>
      <c r="PX494" s="9"/>
      <c r="PY494" s="9"/>
      <c r="PZ494" s="9"/>
      <c r="QA494" s="9"/>
      <c r="QB494" s="9"/>
      <c r="QC494" s="9"/>
      <c r="QD494" s="9"/>
      <c r="QE494" s="9"/>
      <c r="QF494" s="9"/>
      <c r="QG494" s="9"/>
      <c r="QH494" s="9"/>
      <c r="QI494" s="9"/>
      <c r="QJ494" s="9"/>
      <c r="QK494" s="9"/>
      <c r="QL494" s="9"/>
      <c r="QM494" s="9"/>
      <c r="QN494" s="9"/>
      <c r="QO494" s="9"/>
      <c r="QP494" s="9"/>
      <c r="QQ494" s="9"/>
      <c r="QR494" s="9"/>
      <c r="QS494" s="9"/>
      <c r="QT494" s="9"/>
      <c r="QU494" s="9"/>
      <c r="QV494" s="9"/>
      <c r="QW494" s="9"/>
      <c r="QX494" s="9"/>
      <c r="QY494" s="9"/>
      <c r="QZ494" s="9"/>
      <c r="RA494" s="9"/>
      <c r="RB494" s="9"/>
      <c r="RC494" s="9"/>
      <c r="RD494" s="9"/>
      <c r="RE494" s="9"/>
      <c r="RF494" s="9"/>
      <c r="RG494" s="9"/>
      <c r="RH494" s="9"/>
      <c r="RI494" s="9"/>
      <c r="RJ494" s="9"/>
      <c r="RK494" s="9"/>
      <c r="RL494" s="9"/>
      <c r="RM494" s="9"/>
      <c r="RN494" s="9"/>
      <c r="RO494" s="9"/>
      <c r="RP494" s="9"/>
      <c r="RQ494" s="9"/>
      <c r="RR494" s="9"/>
      <c r="RS494" s="9"/>
      <c r="RT494" s="9"/>
      <c r="RU494" s="9"/>
      <c r="RV494" s="9"/>
      <c r="RW494" s="9"/>
      <c r="RX494" s="9"/>
      <c r="RY494" s="9"/>
      <c r="RZ494" s="9"/>
      <c r="SA494" s="9"/>
      <c r="SB494" s="9"/>
      <c r="SC494" s="9"/>
      <c r="SD494" s="9"/>
      <c r="SE494" s="9"/>
      <c r="SF494" s="9"/>
      <c r="SG494" s="9"/>
      <c r="SH494" s="9"/>
      <c r="SI494" s="9"/>
      <c r="SJ494" s="9"/>
      <c r="SK494" s="9"/>
      <c r="SL494" s="9"/>
      <c r="SM494" s="9"/>
      <c r="SN494" s="9"/>
      <c r="SO494" s="9"/>
      <c r="SP494" s="9"/>
      <c r="SQ494" s="9"/>
      <c r="SR494" s="9"/>
      <c r="SS494" s="9"/>
      <c r="ST494" s="9"/>
      <c r="SU494" s="9"/>
      <c r="SV494" s="9"/>
      <c r="SW494" s="9"/>
      <c r="SX494" s="9"/>
      <c r="SY494" s="9"/>
      <c r="SZ494" s="9"/>
      <c r="TA494" s="9"/>
      <c r="TB494" s="9"/>
      <c r="TC494" s="9"/>
      <c r="TD494" s="9"/>
      <c r="TE494" s="9"/>
      <c r="TF494" s="9"/>
      <c r="TG494" s="9"/>
      <c r="TH494" s="9"/>
      <c r="TI494" s="9"/>
      <c r="TJ494" s="9"/>
      <c r="TK494" s="9"/>
      <c r="TL494" s="9"/>
      <c r="TM494" s="9"/>
      <c r="TN494" s="9"/>
      <c r="TO494" s="9"/>
      <c r="TP494" s="9"/>
      <c r="TQ494" s="9"/>
      <c r="TR494" s="9"/>
      <c r="TS494" s="9"/>
      <c r="TT494" s="9"/>
      <c r="TU494" s="9"/>
      <c r="TV494" s="9"/>
      <c r="TW494" s="9"/>
      <c r="TX494" s="9"/>
      <c r="TY494" s="9"/>
      <c r="TZ494" s="9"/>
      <c r="UA494" s="9"/>
      <c r="UB494" s="9"/>
      <c r="UC494" s="9"/>
      <c r="UD494" s="9"/>
      <c r="UE494" s="9"/>
      <c r="UF494" s="9"/>
      <c r="UG494" s="9"/>
      <c r="UH494" s="9"/>
      <c r="UI494" s="9"/>
      <c r="UJ494" s="9"/>
    </row>
    <row r="495">
      <c r="A495" s="8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</row>
    <row r="496">
      <c r="A496" s="8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</row>
    <row r="497">
      <c r="A497" s="8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</row>
    <row r="498">
      <c r="A498" s="8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</row>
    <row r="499">
      <c r="A499" s="8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  <c r="IN499" s="9"/>
      <c r="IO499" s="9"/>
      <c r="IP499" s="9"/>
      <c r="IQ499" s="9"/>
      <c r="IR499" s="9"/>
      <c r="IS499" s="9"/>
      <c r="IT499" s="9"/>
      <c r="IU499" s="9"/>
      <c r="IV499" s="9"/>
      <c r="IW499" s="9"/>
      <c r="IX499" s="9"/>
      <c r="IY499" s="9"/>
      <c r="IZ499" s="9"/>
      <c r="JA499" s="9"/>
      <c r="JB499" s="9"/>
      <c r="JC499" s="9"/>
      <c r="JD499" s="9"/>
      <c r="JE499" s="9"/>
      <c r="JF499" s="9"/>
      <c r="JG499" s="9"/>
      <c r="JH499" s="9"/>
      <c r="JI499" s="9"/>
      <c r="JJ499" s="9"/>
      <c r="JK499" s="9"/>
      <c r="JL499" s="9"/>
      <c r="JM499" s="9"/>
      <c r="JN499" s="9"/>
      <c r="JO499" s="9"/>
      <c r="JP499" s="9"/>
      <c r="JQ499" s="9"/>
      <c r="JR499" s="9"/>
      <c r="JS499" s="9"/>
      <c r="JT499" s="9"/>
      <c r="JU499" s="9"/>
      <c r="JV499" s="9"/>
      <c r="JW499" s="9"/>
      <c r="JX499" s="9"/>
      <c r="JY499" s="9"/>
      <c r="JZ499" s="9"/>
      <c r="KA499" s="9"/>
      <c r="KB499" s="9"/>
      <c r="KC499" s="9"/>
      <c r="KD499" s="9"/>
      <c r="KE499" s="9"/>
      <c r="KF499" s="9"/>
      <c r="KG499" s="9"/>
      <c r="KH499" s="9"/>
      <c r="KI499" s="9"/>
      <c r="KJ499" s="9"/>
      <c r="KK499" s="9"/>
      <c r="KL499" s="9"/>
      <c r="KM499" s="9"/>
      <c r="KN499" s="9"/>
      <c r="KO499" s="9"/>
      <c r="KP499" s="9"/>
      <c r="KQ499" s="9"/>
      <c r="KR499" s="9"/>
      <c r="KS499" s="9"/>
      <c r="KT499" s="9"/>
      <c r="KU499" s="9"/>
      <c r="KV499" s="9"/>
      <c r="KW499" s="9"/>
      <c r="KX499" s="9"/>
      <c r="KY499" s="9"/>
      <c r="KZ499" s="9"/>
      <c r="LA499" s="9"/>
      <c r="LB499" s="9"/>
      <c r="LC499" s="9"/>
      <c r="LD499" s="9"/>
      <c r="LE499" s="9"/>
      <c r="LF499" s="9"/>
      <c r="LG499" s="9"/>
      <c r="LH499" s="9"/>
      <c r="LI499" s="9"/>
      <c r="LJ499" s="9"/>
      <c r="LK499" s="9"/>
      <c r="LL499" s="9"/>
      <c r="LM499" s="9"/>
      <c r="LN499" s="9"/>
      <c r="LO499" s="9"/>
      <c r="LP499" s="9"/>
      <c r="LQ499" s="9"/>
      <c r="LR499" s="9"/>
      <c r="LS499" s="9"/>
      <c r="LT499" s="9"/>
      <c r="LU499" s="9"/>
      <c r="LV499" s="9"/>
      <c r="LW499" s="9"/>
      <c r="LX499" s="9"/>
      <c r="LY499" s="9"/>
      <c r="LZ499" s="9"/>
      <c r="MA499" s="9"/>
      <c r="MB499" s="9"/>
      <c r="MC499" s="9"/>
      <c r="MD499" s="9"/>
      <c r="ME499" s="9"/>
      <c r="MF499" s="9"/>
      <c r="MG499" s="9"/>
      <c r="MH499" s="9"/>
      <c r="MI499" s="9"/>
      <c r="MJ499" s="9"/>
      <c r="MK499" s="9"/>
      <c r="ML499" s="9"/>
      <c r="MM499" s="9"/>
      <c r="MN499" s="9"/>
      <c r="MO499" s="9"/>
      <c r="MP499" s="9"/>
      <c r="MQ499" s="9"/>
      <c r="MR499" s="9"/>
      <c r="MS499" s="9"/>
      <c r="MT499" s="9"/>
      <c r="MU499" s="9"/>
      <c r="MV499" s="9"/>
      <c r="MW499" s="9"/>
      <c r="MX499" s="9"/>
      <c r="MY499" s="9"/>
      <c r="MZ499" s="9"/>
      <c r="NA499" s="9"/>
      <c r="NB499" s="9"/>
      <c r="NC499" s="9"/>
      <c r="ND499" s="9"/>
      <c r="NE499" s="9"/>
      <c r="NF499" s="9"/>
      <c r="NG499" s="9"/>
      <c r="NH499" s="9"/>
      <c r="NI499" s="9"/>
      <c r="NJ499" s="9"/>
      <c r="NK499" s="9"/>
      <c r="NL499" s="9"/>
      <c r="NM499" s="9"/>
      <c r="NN499" s="9"/>
      <c r="NO499" s="9"/>
      <c r="NP499" s="9"/>
      <c r="NQ499" s="9"/>
      <c r="NR499" s="9"/>
      <c r="NS499" s="9"/>
      <c r="NT499" s="9"/>
      <c r="NU499" s="9"/>
      <c r="NV499" s="9"/>
      <c r="NW499" s="9"/>
      <c r="NX499" s="9"/>
      <c r="NY499" s="9"/>
      <c r="NZ499" s="9"/>
      <c r="OA499" s="9"/>
      <c r="OB499" s="9"/>
      <c r="OC499" s="9"/>
      <c r="OD499" s="9"/>
      <c r="OE499" s="9"/>
      <c r="OF499" s="9"/>
      <c r="OG499" s="9"/>
      <c r="OH499" s="9"/>
      <c r="OI499" s="9"/>
      <c r="OJ499" s="9"/>
      <c r="OK499" s="9"/>
      <c r="OL499" s="9"/>
      <c r="OM499" s="9"/>
      <c r="ON499" s="9"/>
      <c r="OO499" s="9"/>
      <c r="OP499" s="9"/>
      <c r="OQ499" s="9"/>
      <c r="OR499" s="9"/>
      <c r="OS499" s="9"/>
      <c r="OT499" s="9"/>
      <c r="OU499" s="9"/>
      <c r="OV499" s="9"/>
      <c r="OW499" s="9"/>
      <c r="OX499" s="9"/>
      <c r="OY499" s="9"/>
      <c r="OZ499" s="9"/>
      <c r="PA499" s="9"/>
      <c r="PB499" s="9"/>
      <c r="PC499" s="9"/>
      <c r="PD499" s="9"/>
      <c r="PE499" s="9"/>
      <c r="PF499" s="9"/>
      <c r="PG499" s="9"/>
      <c r="PH499" s="9"/>
      <c r="PI499" s="9"/>
      <c r="PJ499" s="9"/>
      <c r="PK499" s="9"/>
      <c r="PL499" s="9"/>
      <c r="PM499" s="9"/>
      <c r="PN499" s="9"/>
      <c r="PO499" s="9"/>
      <c r="PP499" s="9"/>
      <c r="PQ499" s="9"/>
      <c r="PR499" s="9"/>
      <c r="PS499" s="9"/>
      <c r="PT499" s="9"/>
      <c r="PU499" s="9"/>
      <c r="PV499" s="9"/>
      <c r="PW499" s="9"/>
      <c r="PX499" s="9"/>
      <c r="PY499" s="9"/>
      <c r="PZ499" s="9"/>
      <c r="QA499" s="9"/>
      <c r="QB499" s="9"/>
      <c r="QC499" s="9"/>
      <c r="QD499" s="9"/>
      <c r="QE499" s="9"/>
      <c r="QF499" s="9"/>
      <c r="QG499" s="9"/>
      <c r="QH499" s="9"/>
      <c r="QI499" s="9"/>
      <c r="QJ499" s="9"/>
      <c r="QK499" s="9"/>
      <c r="QL499" s="9"/>
      <c r="QM499" s="9"/>
      <c r="QN499" s="9"/>
      <c r="QO499" s="9"/>
      <c r="QP499" s="9"/>
      <c r="QQ499" s="9"/>
      <c r="QR499" s="9"/>
      <c r="QS499" s="9"/>
      <c r="QT499" s="9"/>
      <c r="QU499" s="9"/>
      <c r="QV499" s="9"/>
      <c r="QW499" s="9"/>
      <c r="QX499" s="9"/>
      <c r="QY499" s="9"/>
      <c r="QZ499" s="9"/>
      <c r="RA499" s="9"/>
      <c r="RB499" s="9"/>
      <c r="RC499" s="9"/>
      <c r="RD499" s="9"/>
      <c r="RE499" s="9"/>
      <c r="RF499" s="9"/>
      <c r="RG499" s="9"/>
      <c r="RH499" s="9"/>
      <c r="RI499" s="9"/>
      <c r="RJ499" s="9"/>
      <c r="RK499" s="9"/>
      <c r="RL499" s="9"/>
      <c r="RM499" s="9"/>
      <c r="RN499" s="9"/>
      <c r="RO499" s="9"/>
      <c r="RP499" s="9"/>
      <c r="RQ499" s="9"/>
      <c r="RR499" s="9"/>
      <c r="RS499" s="9"/>
      <c r="RT499" s="9"/>
      <c r="RU499" s="9"/>
      <c r="RV499" s="9"/>
      <c r="RW499" s="9"/>
      <c r="RX499" s="9"/>
      <c r="RY499" s="9"/>
      <c r="RZ499" s="9"/>
      <c r="SA499" s="9"/>
      <c r="SB499" s="9"/>
      <c r="SC499" s="9"/>
      <c r="SD499" s="9"/>
      <c r="SE499" s="9"/>
      <c r="SF499" s="9"/>
      <c r="SG499" s="9"/>
      <c r="SH499" s="9"/>
      <c r="SI499" s="9"/>
      <c r="SJ499" s="9"/>
      <c r="SK499" s="9"/>
      <c r="SL499" s="9"/>
      <c r="SM499" s="9"/>
      <c r="SN499" s="9"/>
      <c r="SO499" s="9"/>
      <c r="SP499" s="9"/>
      <c r="SQ499" s="9"/>
      <c r="SR499" s="9"/>
      <c r="SS499" s="9"/>
      <c r="ST499" s="9"/>
      <c r="SU499" s="9"/>
      <c r="SV499" s="9"/>
      <c r="SW499" s="9"/>
      <c r="SX499" s="9"/>
      <c r="SY499" s="9"/>
      <c r="SZ499" s="9"/>
      <c r="TA499" s="9"/>
      <c r="TB499" s="9"/>
      <c r="TC499" s="9"/>
      <c r="TD499" s="9"/>
      <c r="TE499" s="9"/>
      <c r="TF499" s="9"/>
      <c r="TG499" s="9"/>
      <c r="TH499" s="9"/>
      <c r="TI499" s="9"/>
      <c r="TJ499" s="9"/>
      <c r="TK499" s="9"/>
      <c r="TL499" s="9"/>
      <c r="TM499" s="9"/>
      <c r="TN499" s="9"/>
      <c r="TO499" s="9"/>
      <c r="TP499" s="9"/>
      <c r="TQ499" s="9"/>
      <c r="TR499" s="9"/>
      <c r="TS499" s="9"/>
      <c r="TT499" s="9"/>
      <c r="TU499" s="9"/>
      <c r="TV499" s="9"/>
      <c r="TW499" s="9"/>
      <c r="TX499" s="9"/>
      <c r="TY499" s="9"/>
      <c r="TZ499" s="9"/>
      <c r="UA499" s="9"/>
      <c r="UB499" s="9"/>
      <c r="UC499" s="9"/>
      <c r="UD499" s="9"/>
      <c r="UE499" s="9"/>
      <c r="UF499" s="9"/>
      <c r="UG499" s="9"/>
      <c r="UH499" s="9"/>
      <c r="UI499" s="9"/>
      <c r="UJ499" s="9"/>
    </row>
    <row r="500">
      <c r="A500" s="8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  <c r="HZ500" s="9"/>
      <c r="IA500" s="9"/>
      <c r="IB500" s="9"/>
      <c r="IC500" s="9"/>
      <c r="ID500" s="9"/>
      <c r="IE500" s="9"/>
      <c r="IF500" s="9"/>
      <c r="IG500" s="9"/>
      <c r="IH500" s="9"/>
      <c r="II500" s="9"/>
      <c r="IJ500" s="9"/>
      <c r="IK500" s="9"/>
      <c r="IL500" s="9"/>
      <c r="IM500" s="9"/>
      <c r="IN500" s="9"/>
      <c r="IO500" s="9"/>
      <c r="IP500" s="9"/>
      <c r="IQ500" s="9"/>
      <c r="IR500" s="9"/>
      <c r="IS500" s="9"/>
      <c r="IT500" s="9"/>
      <c r="IU500" s="9"/>
      <c r="IV500" s="9"/>
      <c r="IW500" s="9"/>
      <c r="IX500" s="9"/>
      <c r="IY500" s="9"/>
      <c r="IZ500" s="9"/>
      <c r="JA500" s="9"/>
      <c r="JB500" s="9"/>
      <c r="JC500" s="9"/>
      <c r="JD500" s="9"/>
      <c r="JE500" s="9"/>
      <c r="JF500" s="9"/>
      <c r="JG500" s="9"/>
      <c r="JH500" s="9"/>
      <c r="JI500" s="9"/>
      <c r="JJ500" s="9"/>
      <c r="JK500" s="9"/>
      <c r="JL500" s="9"/>
      <c r="JM500" s="9"/>
      <c r="JN500" s="9"/>
      <c r="JO500" s="9"/>
      <c r="JP500" s="9"/>
      <c r="JQ500" s="9"/>
      <c r="JR500" s="9"/>
      <c r="JS500" s="9"/>
      <c r="JT500" s="9"/>
      <c r="JU500" s="9"/>
      <c r="JV500" s="9"/>
      <c r="JW500" s="9"/>
      <c r="JX500" s="9"/>
      <c r="JY500" s="9"/>
      <c r="JZ500" s="9"/>
      <c r="KA500" s="9"/>
      <c r="KB500" s="9"/>
      <c r="KC500" s="9"/>
      <c r="KD500" s="9"/>
      <c r="KE500" s="9"/>
      <c r="KF500" s="9"/>
      <c r="KG500" s="9"/>
      <c r="KH500" s="9"/>
      <c r="KI500" s="9"/>
      <c r="KJ500" s="9"/>
      <c r="KK500" s="9"/>
      <c r="KL500" s="9"/>
      <c r="KM500" s="9"/>
      <c r="KN500" s="9"/>
      <c r="KO500" s="9"/>
      <c r="KP500" s="9"/>
      <c r="KQ500" s="9"/>
      <c r="KR500" s="9"/>
      <c r="KS500" s="9"/>
      <c r="KT500" s="9"/>
      <c r="KU500" s="9"/>
      <c r="KV500" s="9"/>
      <c r="KW500" s="9"/>
      <c r="KX500" s="9"/>
      <c r="KY500" s="9"/>
      <c r="KZ500" s="9"/>
      <c r="LA500" s="9"/>
      <c r="LB500" s="9"/>
      <c r="LC500" s="9"/>
      <c r="LD500" s="9"/>
      <c r="LE500" s="9"/>
      <c r="LF500" s="9"/>
      <c r="LG500" s="9"/>
      <c r="LH500" s="9"/>
      <c r="LI500" s="9"/>
      <c r="LJ500" s="9"/>
      <c r="LK500" s="9"/>
      <c r="LL500" s="9"/>
      <c r="LM500" s="9"/>
      <c r="LN500" s="9"/>
      <c r="LO500" s="9"/>
      <c r="LP500" s="9"/>
      <c r="LQ500" s="9"/>
      <c r="LR500" s="9"/>
      <c r="LS500" s="9"/>
      <c r="LT500" s="9"/>
      <c r="LU500" s="9"/>
      <c r="LV500" s="9"/>
      <c r="LW500" s="9"/>
      <c r="LX500" s="9"/>
      <c r="LY500" s="9"/>
      <c r="LZ500" s="9"/>
      <c r="MA500" s="9"/>
      <c r="MB500" s="9"/>
      <c r="MC500" s="9"/>
      <c r="MD500" s="9"/>
      <c r="ME500" s="9"/>
      <c r="MF500" s="9"/>
      <c r="MG500" s="9"/>
      <c r="MH500" s="9"/>
      <c r="MI500" s="9"/>
      <c r="MJ500" s="9"/>
      <c r="MK500" s="9"/>
      <c r="ML500" s="9"/>
      <c r="MM500" s="9"/>
      <c r="MN500" s="9"/>
      <c r="MO500" s="9"/>
      <c r="MP500" s="9"/>
      <c r="MQ500" s="9"/>
      <c r="MR500" s="9"/>
      <c r="MS500" s="9"/>
      <c r="MT500" s="9"/>
      <c r="MU500" s="9"/>
      <c r="MV500" s="9"/>
      <c r="MW500" s="9"/>
      <c r="MX500" s="9"/>
      <c r="MY500" s="9"/>
      <c r="MZ500" s="9"/>
      <c r="NA500" s="9"/>
      <c r="NB500" s="9"/>
      <c r="NC500" s="9"/>
      <c r="ND500" s="9"/>
      <c r="NE500" s="9"/>
      <c r="NF500" s="9"/>
      <c r="NG500" s="9"/>
      <c r="NH500" s="9"/>
      <c r="NI500" s="9"/>
      <c r="NJ500" s="9"/>
      <c r="NK500" s="9"/>
      <c r="NL500" s="9"/>
      <c r="NM500" s="9"/>
      <c r="NN500" s="9"/>
      <c r="NO500" s="9"/>
      <c r="NP500" s="9"/>
      <c r="NQ500" s="9"/>
      <c r="NR500" s="9"/>
      <c r="NS500" s="9"/>
      <c r="NT500" s="9"/>
      <c r="NU500" s="9"/>
      <c r="NV500" s="9"/>
      <c r="NW500" s="9"/>
      <c r="NX500" s="9"/>
      <c r="NY500" s="9"/>
      <c r="NZ500" s="9"/>
      <c r="OA500" s="9"/>
      <c r="OB500" s="9"/>
      <c r="OC500" s="9"/>
      <c r="OD500" s="9"/>
      <c r="OE500" s="9"/>
      <c r="OF500" s="9"/>
      <c r="OG500" s="9"/>
      <c r="OH500" s="9"/>
      <c r="OI500" s="9"/>
      <c r="OJ500" s="9"/>
      <c r="OK500" s="9"/>
      <c r="OL500" s="9"/>
      <c r="OM500" s="9"/>
      <c r="ON500" s="9"/>
      <c r="OO500" s="9"/>
      <c r="OP500" s="9"/>
      <c r="OQ500" s="9"/>
      <c r="OR500" s="9"/>
      <c r="OS500" s="9"/>
      <c r="OT500" s="9"/>
      <c r="OU500" s="9"/>
      <c r="OV500" s="9"/>
      <c r="OW500" s="9"/>
      <c r="OX500" s="9"/>
      <c r="OY500" s="9"/>
      <c r="OZ500" s="9"/>
      <c r="PA500" s="9"/>
      <c r="PB500" s="9"/>
      <c r="PC500" s="9"/>
      <c r="PD500" s="9"/>
      <c r="PE500" s="9"/>
      <c r="PF500" s="9"/>
      <c r="PG500" s="9"/>
      <c r="PH500" s="9"/>
      <c r="PI500" s="9"/>
      <c r="PJ500" s="9"/>
      <c r="PK500" s="9"/>
      <c r="PL500" s="9"/>
      <c r="PM500" s="9"/>
      <c r="PN500" s="9"/>
      <c r="PO500" s="9"/>
      <c r="PP500" s="9"/>
      <c r="PQ500" s="9"/>
      <c r="PR500" s="9"/>
      <c r="PS500" s="9"/>
      <c r="PT500" s="9"/>
      <c r="PU500" s="9"/>
      <c r="PV500" s="9"/>
      <c r="PW500" s="9"/>
      <c r="PX500" s="9"/>
      <c r="PY500" s="9"/>
      <c r="PZ500" s="9"/>
      <c r="QA500" s="9"/>
      <c r="QB500" s="9"/>
      <c r="QC500" s="9"/>
      <c r="QD500" s="9"/>
      <c r="QE500" s="9"/>
      <c r="QF500" s="9"/>
      <c r="QG500" s="9"/>
      <c r="QH500" s="9"/>
      <c r="QI500" s="9"/>
      <c r="QJ500" s="9"/>
      <c r="QK500" s="9"/>
      <c r="QL500" s="9"/>
      <c r="QM500" s="9"/>
      <c r="QN500" s="9"/>
      <c r="QO500" s="9"/>
      <c r="QP500" s="9"/>
      <c r="QQ500" s="9"/>
      <c r="QR500" s="9"/>
      <c r="QS500" s="9"/>
      <c r="QT500" s="9"/>
      <c r="QU500" s="9"/>
      <c r="QV500" s="9"/>
      <c r="QW500" s="9"/>
      <c r="QX500" s="9"/>
      <c r="QY500" s="9"/>
      <c r="QZ500" s="9"/>
      <c r="RA500" s="9"/>
      <c r="RB500" s="9"/>
      <c r="RC500" s="9"/>
      <c r="RD500" s="9"/>
      <c r="RE500" s="9"/>
      <c r="RF500" s="9"/>
      <c r="RG500" s="9"/>
      <c r="RH500" s="9"/>
      <c r="RI500" s="9"/>
      <c r="RJ500" s="9"/>
      <c r="RK500" s="9"/>
      <c r="RL500" s="9"/>
      <c r="RM500" s="9"/>
      <c r="RN500" s="9"/>
      <c r="RO500" s="9"/>
      <c r="RP500" s="9"/>
      <c r="RQ500" s="9"/>
      <c r="RR500" s="9"/>
      <c r="RS500" s="9"/>
      <c r="RT500" s="9"/>
      <c r="RU500" s="9"/>
      <c r="RV500" s="9"/>
      <c r="RW500" s="9"/>
      <c r="RX500" s="9"/>
      <c r="RY500" s="9"/>
      <c r="RZ500" s="9"/>
      <c r="SA500" s="9"/>
      <c r="SB500" s="9"/>
      <c r="SC500" s="9"/>
      <c r="SD500" s="9"/>
      <c r="SE500" s="9"/>
      <c r="SF500" s="9"/>
      <c r="SG500" s="9"/>
      <c r="SH500" s="9"/>
      <c r="SI500" s="9"/>
      <c r="SJ500" s="9"/>
      <c r="SK500" s="9"/>
      <c r="SL500" s="9"/>
      <c r="SM500" s="9"/>
      <c r="SN500" s="9"/>
      <c r="SO500" s="9"/>
      <c r="SP500" s="9"/>
      <c r="SQ500" s="9"/>
      <c r="SR500" s="9"/>
      <c r="SS500" s="9"/>
      <c r="ST500" s="9"/>
      <c r="SU500" s="9"/>
      <c r="SV500" s="9"/>
      <c r="SW500" s="9"/>
      <c r="SX500" s="9"/>
      <c r="SY500" s="9"/>
      <c r="SZ500" s="9"/>
      <c r="TA500" s="9"/>
      <c r="TB500" s="9"/>
      <c r="TC500" s="9"/>
      <c r="TD500" s="9"/>
      <c r="TE500" s="9"/>
      <c r="TF500" s="9"/>
      <c r="TG500" s="9"/>
      <c r="TH500" s="9"/>
      <c r="TI500" s="9"/>
      <c r="TJ500" s="9"/>
      <c r="TK500" s="9"/>
      <c r="TL500" s="9"/>
      <c r="TM500" s="9"/>
      <c r="TN500" s="9"/>
      <c r="TO500" s="9"/>
      <c r="TP500" s="9"/>
      <c r="TQ500" s="9"/>
      <c r="TR500" s="9"/>
      <c r="TS500" s="9"/>
      <c r="TT500" s="9"/>
      <c r="TU500" s="9"/>
      <c r="TV500" s="9"/>
      <c r="TW500" s="9"/>
      <c r="TX500" s="9"/>
      <c r="TY500" s="9"/>
      <c r="TZ500" s="9"/>
      <c r="UA500" s="9"/>
      <c r="UB500" s="9"/>
      <c r="UC500" s="9"/>
      <c r="UD500" s="9"/>
      <c r="UE500" s="9"/>
      <c r="UF500" s="9"/>
      <c r="UG500" s="9"/>
      <c r="UH500" s="9"/>
      <c r="UI500" s="9"/>
      <c r="UJ500" s="9"/>
    </row>
    <row r="501">
      <c r="A501" s="8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  <c r="IN501" s="9"/>
      <c r="IO501" s="9"/>
      <c r="IP501" s="9"/>
      <c r="IQ501" s="9"/>
      <c r="IR501" s="9"/>
      <c r="IS501" s="9"/>
      <c r="IT501" s="9"/>
      <c r="IU501" s="9"/>
      <c r="IV501" s="9"/>
      <c r="IW501" s="9"/>
      <c r="IX501" s="9"/>
      <c r="IY501" s="9"/>
      <c r="IZ501" s="9"/>
      <c r="JA501" s="9"/>
      <c r="JB501" s="9"/>
      <c r="JC501" s="9"/>
      <c r="JD501" s="9"/>
      <c r="JE501" s="9"/>
      <c r="JF501" s="9"/>
      <c r="JG501" s="9"/>
      <c r="JH501" s="9"/>
      <c r="JI501" s="9"/>
      <c r="JJ501" s="9"/>
      <c r="JK501" s="9"/>
      <c r="JL501" s="9"/>
      <c r="JM501" s="9"/>
      <c r="JN501" s="9"/>
      <c r="JO501" s="9"/>
      <c r="JP501" s="9"/>
      <c r="JQ501" s="9"/>
      <c r="JR501" s="9"/>
      <c r="JS501" s="9"/>
      <c r="JT501" s="9"/>
      <c r="JU501" s="9"/>
      <c r="JV501" s="9"/>
      <c r="JW501" s="9"/>
      <c r="JX501" s="9"/>
      <c r="JY501" s="9"/>
      <c r="JZ501" s="9"/>
      <c r="KA501" s="9"/>
      <c r="KB501" s="9"/>
      <c r="KC501" s="9"/>
      <c r="KD501" s="9"/>
      <c r="KE501" s="9"/>
      <c r="KF501" s="9"/>
      <c r="KG501" s="9"/>
      <c r="KH501" s="9"/>
      <c r="KI501" s="9"/>
      <c r="KJ501" s="9"/>
      <c r="KK501" s="9"/>
      <c r="KL501" s="9"/>
      <c r="KM501" s="9"/>
      <c r="KN501" s="9"/>
      <c r="KO501" s="9"/>
      <c r="KP501" s="9"/>
      <c r="KQ501" s="9"/>
      <c r="KR501" s="9"/>
      <c r="KS501" s="9"/>
      <c r="KT501" s="9"/>
      <c r="KU501" s="9"/>
      <c r="KV501" s="9"/>
      <c r="KW501" s="9"/>
      <c r="KX501" s="9"/>
      <c r="KY501" s="9"/>
      <c r="KZ501" s="9"/>
      <c r="LA501" s="9"/>
      <c r="LB501" s="9"/>
      <c r="LC501" s="9"/>
      <c r="LD501" s="9"/>
      <c r="LE501" s="9"/>
      <c r="LF501" s="9"/>
      <c r="LG501" s="9"/>
      <c r="LH501" s="9"/>
      <c r="LI501" s="9"/>
      <c r="LJ501" s="9"/>
      <c r="LK501" s="9"/>
      <c r="LL501" s="9"/>
      <c r="LM501" s="9"/>
      <c r="LN501" s="9"/>
      <c r="LO501" s="9"/>
      <c r="LP501" s="9"/>
      <c r="LQ501" s="9"/>
      <c r="LR501" s="9"/>
      <c r="LS501" s="9"/>
      <c r="LT501" s="9"/>
      <c r="LU501" s="9"/>
      <c r="LV501" s="9"/>
      <c r="LW501" s="9"/>
      <c r="LX501" s="9"/>
      <c r="LY501" s="9"/>
      <c r="LZ501" s="9"/>
      <c r="MA501" s="9"/>
      <c r="MB501" s="9"/>
      <c r="MC501" s="9"/>
      <c r="MD501" s="9"/>
      <c r="ME501" s="9"/>
      <c r="MF501" s="9"/>
      <c r="MG501" s="9"/>
      <c r="MH501" s="9"/>
      <c r="MI501" s="9"/>
      <c r="MJ501" s="9"/>
      <c r="MK501" s="9"/>
      <c r="ML501" s="9"/>
      <c r="MM501" s="9"/>
      <c r="MN501" s="9"/>
      <c r="MO501" s="9"/>
      <c r="MP501" s="9"/>
      <c r="MQ501" s="9"/>
      <c r="MR501" s="9"/>
      <c r="MS501" s="9"/>
      <c r="MT501" s="9"/>
      <c r="MU501" s="9"/>
      <c r="MV501" s="9"/>
      <c r="MW501" s="9"/>
      <c r="MX501" s="9"/>
      <c r="MY501" s="9"/>
      <c r="MZ501" s="9"/>
      <c r="NA501" s="9"/>
      <c r="NB501" s="9"/>
      <c r="NC501" s="9"/>
      <c r="ND501" s="9"/>
      <c r="NE501" s="9"/>
      <c r="NF501" s="9"/>
      <c r="NG501" s="9"/>
      <c r="NH501" s="9"/>
      <c r="NI501" s="9"/>
      <c r="NJ501" s="9"/>
      <c r="NK501" s="9"/>
      <c r="NL501" s="9"/>
      <c r="NM501" s="9"/>
      <c r="NN501" s="9"/>
      <c r="NO501" s="9"/>
      <c r="NP501" s="9"/>
      <c r="NQ501" s="9"/>
      <c r="NR501" s="9"/>
      <c r="NS501" s="9"/>
      <c r="NT501" s="9"/>
      <c r="NU501" s="9"/>
      <c r="NV501" s="9"/>
      <c r="NW501" s="9"/>
      <c r="NX501" s="9"/>
      <c r="NY501" s="9"/>
      <c r="NZ501" s="9"/>
      <c r="OA501" s="9"/>
      <c r="OB501" s="9"/>
      <c r="OC501" s="9"/>
      <c r="OD501" s="9"/>
      <c r="OE501" s="9"/>
      <c r="OF501" s="9"/>
      <c r="OG501" s="9"/>
      <c r="OH501" s="9"/>
      <c r="OI501" s="9"/>
      <c r="OJ501" s="9"/>
      <c r="OK501" s="9"/>
      <c r="OL501" s="9"/>
      <c r="OM501" s="9"/>
      <c r="ON501" s="9"/>
      <c r="OO501" s="9"/>
      <c r="OP501" s="9"/>
      <c r="OQ501" s="9"/>
      <c r="OR501" s="9"/>
      <c r="OS501" s="9"/>
      <c r="OT501" s="9"/>
      <c r="OU501" s="9"/>
      <c r="OV501" s="9"/>
      <c r="OW501" s="9"/>
      <c r="OX501" s="9"/>
      <c r="OY501" s="9"/>
      <c r="OZ501" s="9"/>
      <c r="PA501" s="9"/>
      <c r="PB501" s="9"/>
      <c r="PC501" s="9"/>
      <c r="PD501" s="9"/>
      <c r="PE501" s="9"/>
      <c r="PF501" s="9"/>
      <c r="PG501" s="9"/>
      <c r="PH501" s="9"/>
      <c r="PI501" s="9"/>
      <c r="PJ501" s="9"/>
      <c r="PK501" s="9"/>
      <c r="PL501" s="9"/>
      <c r="PM501" s="9"/>
      <c r="PN501" s="9"/>
      <c r="PO501" s="9"/>
      <c r="PP501" s="9"/>
      <c r="PQ501" s="9"/>
      <c r="PR501" s="9"/>
      <c r="PS501" s="9"/>
      <c r="PT501" s="9"/>
      <c r="PU501" s="9"/>
      <c r="PV501" s="9"/>
      <c r="PW501" s="9"/>
      <c r="PX501" s="9"/>
      <c r="PY501" s="9"/>
      <c r="PZ501" s="9"/>
      <c r="QA501" s="9"/>
      <c r="QB501" s="9"/>
      <c r="QC501" s="9"/>
      <c r="QD501" s="9"/>
      <c r="QE501" s="9"/>
      <c r="QF501" s="9"/>
      <c r="QG501" s="9"/>
      <c r="QH501" s="9"/>
      <c r="QI501" s="9"/>
      <c r="QJ501" s="9"/>
      <c r="QK501" s="9"/>
      <c r="QL501" s="9"/>
      <c r="QM501" s="9"/>
      <c r="QN501" s="9"/>
      <c r="QO501" s="9"/>
      <c r="QP501" s="9"/>
      <c r="QQ501" s="9"/>
      <c r="QR501" s="9"/>
      <c r="QS501" s="9"/>
      <c r="QT501" s="9"/>
      <c r="QU501" s="9"/>
      <c r="QV501" s="9"/>
      <c r="QW501" s="9"/>
      <c r="QX501" s="9"/>
      <c r="QY501" s="9"/>
      <c r="QZ501" s="9"/>
      <c r="RA501" s="9"/>
      <c r="RB501" s="9"/>
      <c r="RC501" s="9"/>
      <c r="RD501" s="9"/>
      <c r="RE501" s="9"/>
      <c r="RF501" s="9"/>
      <c r="RG501" s="9"/>
      <c r="RH501" s="9"/>
      <c r="RI501" s="9"/>
      <c r="RJ501" s="9"/>
      <c r="RK501" s="9"/>
      <c r="RL501" s="9"/>
      <c r="RM501" s="9"/>
      <c r="RN501" s="9"/>
      <c r="RO501" s="9"/>
      <c r="RP501" s="9"/>
      <c r="RQ501" s="9"/>
      <c r="RR501" s="9"/>
      <c r="RS501" s="9"/>
      <c r="RT501" s="9"/>
      <c r="RU501" s="9"/>
      <c r="RV501" s="9"/>
      <c r="RW501" s="9"/>
      <c r="RX501" s="9"/>
      <c r="RY501" s="9"/>
      <c r="RZ501" s="9"/>
      <c r="SA501" s="9"/>
      <c r="SB501" s="9"/>
      <c r="SC501" s="9"/>
      <c r="SD501" s="9"/>
      <c r="SE501" s="9"/>
      <c r="SF501" s="9"/>
      <c r="SG501" s="9"/>
      <c r="SH501" s="9"/>
      <c r="SI501" s="9"/>
      <c r="SJ501" s="9"/>
      <c r="SK501" s="9"/>
      <c r="SL501" s="9"/>
      <c r="SM501" s="9"/>
      <c r="SN501" s="9"/>
      <c r="SO501" s="9"/>
      <c r="SP501" s="9"/>
      <c r="SQ501" s="9"/>
      <c r="SR501" s="9"/>
      <c r="SS501" s="9"/>
      <c r="ST501" s="9"/>
      <c r="SU501" s="9"/>
      <c r="SV501" s="9"/>
      <c r="SW501" s="9"/>
      <c r="SX501" s="9"/>
      <c r="SY501" s="9"/>
      <c r="SZ501" s="9"/>
      <c r="TA501" s="9"/>
      <c r="TB501" s="9"/>
      <c r="TC501" s="9"/>
      <c r="TD501" s="9"/>
      <c r="TE501" s="9"/>
      <c r="TF501" s="9"/>
      <c r="TG501" s="9"/>
      <c r="TH501" s="9"/>
      <c r="TI501" s="9"/>
      <c r="TJ501" s="9"/>
      <c r="TK501" s="9"/>
      <c r="TL501" s="9"/>
      <c r="TM501" s="9"/>
      <c r="TN501" s="9"/>
      <c r="TO501" s="9"/>
      <c r="TP501" s="9"/>
      <c r="TQ501" s="9"/>
      <c r="TR501" s="9"/>
      <c r="TS501" s="9"/>
      <c r="TT501" s="9"/>
      <c r="TU501" s="9"/>
      <c r="TV501" s="9"/>
      <c r="TW501" s="9"/>
      <c r="TX501" s="9"/>
      <c r="TY501" s="9"/>
      <c r="TZ501" s="9"/>
      <c r="UA501" s="9"/>
      <c r="UB501" s="9"/>
      <c r="UC501" s="9"/>
      <c r="UD501" s="9"/>
      <c r="UE501" s="9"/>
      <c r="UF501" s="9"/>
      <c r="UG501" s="9"/>
      <c r="UH501" s="9"/>
      <c r="UI501" s="9"/>
      <c r="UJ501" s="9"/>
    </row>
    <row r="502">
      <c r="A502" s="8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  <c r="IC502" s="9"/>
      <c r="ID502" s="9"/>
      <c r="IE502" s="9"/>
      <c r="IF502" s="9"/>
      <c r="IG502" s="9"/>
      <c r="IH502" s="9"/>
      <c r="II502" s="9"/>
      <c r="IJ502" s="9"/>
      <c r="IK502" s="9"/>
      <c r="IL502" s="9"/>
      <c r="IM502" s="9"/>
      <c r="IN502" s="9"/>
      <c r="IO502" s="9"/>
      <c r="IP502" s="9"/>
      <c r="IQ502" s="9"/>
      <c r="IR502" s="9"/>
      <c r="IS502" s="9"/>
      <c r="IT502" s="9"/>
      <c r="IU502" s="9"/>
      <c r="IV502" s="9"/>
      <c r="IW502" s="9"/>
      <c r="IX502" s="9"/>
      <c r="IY502" s="9"/>
      <c r="IZ502" s="9"/>
      <c r="JA502" s="9"/>
      <c r="JB502" s="9"/>
      <c r="JC502" s="9"/>
      <c r="JD502" s="9"/>
      <c r="JE502" s="9"/>
      <c r="JF502" s="9"/>
      <c r="JG502" s="9"/>
      <c r="JH502" s="9"/>
      <c r="JI502" s="9"/>
      <c r="JJ502" s="9"/>
      <c r="JK502" s="9"/>
      <c r="JL502" s="9"/>
      <c r="JM502" s="9"/>
      <c r="JN502" s="9"/>
      <c r="JO502" s="9"/>
      <c r="JP502" s="9"/>
      <c r="JQ502" s="9"/>
      <c r="JR502" s="9"/>
      <c r="JS502" s="9"/>
      <c r="JT502" s="9"/>
      <c r="JU502" s="9"/>
      <c r="JV502" s="9"/>
      <c r="JW502" s="9"/>
      <c r="JX502" s="9"/>
      <c r="JY502" s="9"/>
      <c r="JZ502" s="9"/>
      <c r="KA502" s="9"/>
      <c r="KB502" s="9"/>
      <c r="KC502" s="9"/>
      <c r="KD502" s="9"/>
      <c r="KE502" s="9"/>
      <c r="KF502" s="9"/>
      <c r="KG502" s="9"/>
      <c r="KH502" s="9"/>
      <c r="KI502" s="9"/>
      <c r="KJ502" s="9"/>
      <c r="KK502" s="9"/>
      <c r="KL502" s="9"/>
      <c r="KM502" s="9"/>
      <c r="KN502" s="9"/>
      <c r="KO502" s="9"/>
      <c r="KP502" s="9"/>
      <c r="KQ502" s="9"/>
      <c r="KR502" s="9"/>
      <c r="KS502" s="9"/>
      <c r="KT502" s="9"/>
      <c r="KU502" s="9"/>
      <c r="KV502" s="9"/>
      <c r="KW502" s="9"/>
      <c r="KX502" s="9"/>
      <c r="KY502" s="9"/>
      <c r="KZ502" s="9"/>
      <c r="LA502" s="9"/>
      <c r="LB502" s="9"/>
      <c r="LC502" s="9"/>
      <c r="LD502" s="9"/>
      <c r="LE502" s="9"/>
      <c r="LF502" s="9"/>
      <c r="LG502" s="9"/>
      <c r="LH502" s="9"/>
      <c r="LI502" s="9"/>
      <c r="LJ502" s="9"/>
      <c r="LK502" s="9"/>
      <c r="LL502" s="9"/>
      <c r="LM502" s="9"/>
      <c r="LN502" s="9"/>
      <c r="LO502" s="9"/>
      <c r="LP502" s="9"/>
      <c r="LQ502" s="9"/>
      <c r="LR502" s="9"/>
      <c r="LS502" s="9"/>
      <c r="LT502" s="9"/>
      <c r="LU502" s="9"/>
      <c r="LV502" s="9"/>
      <c r="LW502" s="9"/>
      <c r="LX502" s="9"/>
      <c r="LY502" s="9"/>
      <c r="LZ502" s="9"/>
      <c r="MA502" s="9"/>
      <c r="MB502" s="9"/>
      <c r="MC502" s="9"/>
      <c r="MD502" s="9"/>
      <c r="ME502" s="9"/>
      <c r="MF502" s="9"/>
      <c r="MG502" s="9"/>
      <c r="MH502" s="9"/>
      <c r="MI502" s="9"/>
      <c r="MJ502" s="9"/>
      <c r="MK502" s="9"/>
      <c r="ML502" s="9"/>
      <c r="MM502" s="9"/>
      <c r="MN502" s="9"/>
      <c r="MO502" s="9"/>
      <c r="MP502" s="9"/>
      <c r="MQ502" s="9"/>
      <c r="MR502" s="9"/>
      <c r="MS502" s="9"/>
      <c r="MT502" s="9"/>
      <c r="MU502" s="9"/>
      <c r="MV502" s="9"/>
      <c r="MW502" s="9"/>
      <c r="MX502" s="9"/>
      <c r="MY502" s="9"/>
      <c r="MZ502" s="9"/>
      <c r="NA502" s="9"/>
      <c r="NB502" s="9"/>
      <c r="NC502" s="9"/>
      <c r="ND502" s="9"/>
      <c r="NE502" s="9"/>
      <c r="NF502" s="9"/>
      <c r="NG502" s="9"/>
      <c r="NH502" s="9"/>
      <c r="NI502" s="9"/>
      <c r="NJ502" s="9"/>
      <c r="NK502" s="9"/>
      <c r="NL502" s="9"/>
      <c r="NM502" s="9"/>
      <c r="NN502" s="9"/>
      <c r="NO502" s="9"/>
      <c r="NP502" s="9"/>
      <c r="NQ502" s="9"/>
      <c r="NR502" s="9"/>
      <c r="NS502" s="9"/>
      <c r="NT502" s="9"/>
      <c r="NU502" s="9"/>
      <c r="NV502" s="9"/>
      <c r="NW502" s="9"/>
      <c r="NX502" s="9"/>
      <c r="NY502" s="9"/>
      <c r="NZ502" s="9"/>
      <c r="OA502" s="9"/>
      <c r="OB502" s="9"/>
      <c r="OC502" s="9"/>
      <c r="OD502" s="9"/>
      <c r="OE502" s="9"/>
      <c r="OF502" s="9"/>
      <c r="OG502" s="9"/>
      <c r="OH502" s="9"/>
      <c r="OI502" s="9"/>
      <c r="OJ502" s="9"/>
      <c r="OK502" s="9"/>
      <c r="OL502" s="9"/>
      <c r="OM502" s="9"/>
      <c r="ON502" s="9"/>
      <c r="OO502" s="9"/>
      <c r="OP502" s="9"/>
      <c r="OQ502" s="9"/>
      <c r="OR502" s="9"/>
      <c r="OS502" s="9"/>
      <c r="OT502" s="9"/>
      <c r="OU502" s="9"/>
      <c r="OV502" s="9"/>
      <c r="OW502" s="9"/>
      <c r="OX502" s="9"/>
      <c r="OY502" s="9"/>
      <c r="OZ502" s="9"/>
      <c r="PA502" s="9"/>
      <c r="PB502" s="9"/>
      <c r="PC502" s="9"/>
      <c r="PD502" s="9"/>
      <c r="PE502" s="9"/>
      <c r="PF502" s="9"/>
      <c r="PG502" s="9"/>
      <c r="PH502" s="9"/>
      <c r="PI502" s="9"/>
      <c r="PJ502" s="9"/>
      <c r="PK502" s="9"/>
      <c r="PL502" s="9"/>
      <c r="PM502" s="9"/>
      <c r="PN502" s="9"/>
      <c r="PO502" s="9"/>
      <c r="PP502" s="9"/>
      <c r="PQ502" s="9"/>
      <c r="PR502" s="9"/>
      <c r="PS502" s="9"/>
      <c r="PT502" s="9"/>
      <c r="PU502" s="9"/>
      <c r="PV502" s="9"/>
      <c r="PW502" s="9"/>
      <c r="PX502" s="9"/>
      <c r="PY502" s="9"/>
      <c r="PZ502" s="9"/>
      <c r="QA502" s="9"/>
      <c r="QB502" s="9"/>
      <c r="QC502" s="9"/>
      <c r="QD502" s="9"/>
      <c r="QE502" s="9"/>
      <c r="QF502" s="9"/>
      <c r="QG502" s="9"/>
      <c r="QH502" s="9"/>
      <c r="QI502" s="9"/>
      <c r="QJ502" s="9"/>
      <c r="QK502" s="9"/>
      <c r="QL502" s="9"/>
      <c r="QM502" s="9"/>
      <c r="QN502" s="9"/>
      <c r="QO502" s="9"/>
      <c r="QP502" s="9"/>
      <c r="QQ502" s="9"/>
      <c r="QR502" s="9"/>
      <c r="QS502" s="9"/>
      <c r="QT502" s="9"/>
      <c r="QU502" s="9"/>
      <c r="QV502" s="9"/>
      <c r="QW502" s="9"/>
      <c r="QX502" s="9"/>
      <c r="QY502" s="9"/>
      <c r="QZ502" s="9"/>
      <c r="RA502" s="9"/>
      <c r="RB502" s="9"/>
      <c r="RC502" s="9"/>
      <c r="RD502" s="9"/>
      <c r="RE502" s="9"/>
      <c r="RF502" s="9"/>
      <c r="RG502" s="9"/>
      <c r="RH502" s="9"/>
      <c r="RI502" s="9"/>
      <c r="RJ502" s="9"/>
      <c r="RK502" s="9"/>
      <c r="RL502" s="9"/>
      <c r="RM502" s="9"/>
      <c r="RN502" s="9"/>
      <c r="RO502" s="9"/>
      <c r="RP502" s="9"/>
      <c r="RQ502" s="9"/>
      <c r="RR502" s="9"/>
      <c r="RS502" s="9"/>
      <c r="RT502" s="9"/>
      <c r="RU502" s="9"/>
      <c r="RV502" s="9"/>
      <c r="RW502" s="9"/>
      <c r="RX502" s="9"/>
      <c r="RY502" s="9"/>
      <c r="RZ502" s="9"/>
      <c r="SA502" s="9"/>
      <c r="SB502" s="9"/>
      <c r="SC502" s="9"/>
      <c r="SD502" s="9"/>
      <c r="SE502" s="9"/>
      <c r="SF502" s="9"/>
      <c r="SG502" s="9"/>
      <c r="SH502" s="9"/>
      <c r="SI502" s="9"/>
      <c r="SJ502" s="9"/>
      <c r="SK502" s="9"/>
      <c r="SL502" s="9"/>
      <c r="SM502" s="9"/>
      <c r="SN502" s="9"/>
      <c r="SO502" s="9"/>
      <c r="SP502" s="9"/>
      <c r="SQ502" s="9"/>
      <c r="SR502" s="9"/>
      <c r="SS502" s="9"/>
      <c r="ST502" s="9"/>
      <c r="SU502" s="9"/>
      <c r="SV502" s="9"/>
      <c r="SW502" s="9"/>
      <c r="SX502" s="9"/>
      <c r="SY502" s="9"/>
      <c r="SZ502" s="9"/>
      <c r="TA502" s="9"/>
      <c r="TB502" s="9"/>
      <c r="TC502" s="9"/>
      <c r="TD502" s="9"/>
      <c r="TE502" s="9"/>
      <c r="TF502" s="9"/>
      <c r="TG502" s="9"/>
      <c r="TH502" s="9"/>
      <c r="TI502" s="9"/>
      <c r="TJ502" s="9"/>
      <c r="TK502" s="9"/>
      <c r="TL502" s="9"/>
      <c r="TM502" s="9"/>
      <c r="TN502" s="9"/>
      <c r="TO502" s="9"/>
      <c r="TP502" s="9"/>
      <c r="TQ502" s="9"/>
      <c r="TR502" s="9"/>
      <c r="TS502" s="9"/>
      <c r="TT502" s="9"/>
      <c r="TU502" s="9"/>
      <c r="TV502" s="9"/>
      <c r="TW502" s="9"/>
      <c r="TX502" s="9"/>
      <c r="TY502" s="9"/>
      <c r="TZ502" s="9"/>
      <c r="UA502" s="9"/>
      <c r="UB502" s="9"/>
      <c r="UC502" s="9"/>
      <c r="UD502" s="9"/>
      <c r="UE502" s="9"/>
      <c r="UF502" s="9"/>
      <c r="UG502" s="9"/>
      <c r="UH502" s="9"/>
      <c r="UI502" s="9"/>
      <c r="UJ502" s="9"/>
    </row>
    <row r="503">
      <c r="A503" s="8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  <c r="IW503" s="9"/>
      <c r="IX503" s="9"/>
      <c r="IY503" s="9"/>
      <c r="IZ503" s="9"/>
      <c r="JA503" s="9"/>
      <c r="JB503" s="9"/>
      <c r="JC503" s="9"/>
      <c r="JD503" s="9"/>
      <c r="JE503" s="9"/>
      <c r="JF503" s="9"/>
      <c r="JG503" s="9"/>
      <c r="JH503" s="9"/>
      <c r="JI503" s="9"/>
      <c r="JJ503" s="9"/>
      <c r="JK503" s="9"/>
      <c r="JL503" s="9"/>
      <c r="JM503" s="9"/>
      <c r="JN503" s="9"/>
      <c r="JO503" s="9"/>
      <c r="JP503" s="9"/>
      <c r="JQ503" s="9"/>
      <c r="JR503" s="9"/>
      <c r="JS503" s="9"/>
      <c r="JT503" s="9"/>
      <c r="JU503" s="9"/>
      <c r="JV503" s="9"/>
      <c r="JW503" s="9"/>
      <c r="JX503" s="9"/>
      <c r="JY503" s="9"/>
      <c r="JZ503" s="9"/>
      <c r="KA503" s="9"/>
      <c r="KB503" s="9"/>
      <c r="KC503" s="9"/>
      <c r="KD503" s="9"/>
      <c r="KE503" s="9"/>
      <c r="KF503" s="9"/>
      <c r="KG503" s="9"/>
      <c r="KH503" s="9"/>
      <c r="KI503" s="9"/>
      <c r="KJ503" s="9"/>
      <c r="KK503" s="9"/>
      <c r="KL503" s="9"/>
      <c r="KM503" s="9"/>
      <c r="KN503" s="9"/>
      <c r="KO503" s="9"/>
      <c r="KP503" s="9"/>
      <c r="KQ503" s="9"/>
      <c r="KR503" s="9"/>
      <c r="KS503" s="9"/>
      <c r="KT503" s="9"/>
      <c r="KU503" s="9"/>
      <c r="KV503" s="9"/>
      <c r="KW503" s="9"/>
      <c r="KX503" s="9"/>
      <c r="KY503" s="9"/>
      <c r="KZ503" s="9"/>
      <c r="LA503" s="9"/>
      <c r="LB503" s="9"/>
      <c r="LC503" s="9"/>
      <c r="LD503" s="9"/>
      <c r="LE503" s="9"/>
      <c r="LF503" s="9"/>
      <c r="LG503" s="9"/>
      <c r="LH503" s="9"/>
      <c r="LI503" s="9"/>
      <c r="LJ503" s="9"/>
      <c r="LK503" s="9"/>
      <c r="LL503" s="9"/>
      <c r="LM503" s="9"/>
      <c r="LN503" s="9"/>
      <c r="LO503" s="9"/>
      <c r="LP503" s="9"/>
      <c r="LQ503" s="9"/>
      <c r="LR503" s="9"/>
      <c r="LS503" s="9"/>
      <c r="LT503" s="9"/>
      <c r="LU503" s="9"/>
      <c r="LV503" s="9"/>
      <c r="LW503" s="9"/>
      <c r="LX503" s="9"/>
      <c r="LY503" s="9"/>
      <c r="LZ503" s="9"/>
      <c r="MA503" s="9"/>
      <c r="MB503" s="9"/>
      <c r="MC503" s="9"/>
      <c r="MD503" s="9"/>
      <c r="ME503" s="9"/>
      <c r="MF503" s="9"/>
      <c r="MG503" s="9"/>
      <c r="MH503" s="9"/>
      <c r="MI503" s="9"/>
      <c r="MJ503" s="9"/>
      <c r="MK503" s="9"/>
      <c r="ML503" s="9"/>
      <c r="MM503" s="9"/>
      <c r="MN503" s="9"/>
      <c r="MO503" s="9"/>
      <c r="MP503" s="9"/>
      <c r="MQ503" s="9"/>
      <c r="MR503" s="9"/>
      <c r="MS503" s="9"/>
      <c r="MT503" s="9"/>
      <c r="MU503" s="9"/>
      <c r="MV503" s="9"/>
      <c r="MW503" s="9"/>
      <c r="MX503" s="9"/>
      <c r="MY503" s="9"/>
      <c r="MZ503" s="9"/>
      <c r="NA503" s="9"/>
      <c r="NB503" s="9"/>
      <c r="NC503" s="9"/>
      <c r="ND503" s="9"/>
      <c r="NE503" s="9"/>
      <c r="NF503" s="9"/>
      <c r="NG503" s="9"/>
      <c r="NH503" s="9"/>
      <c r="NI503" s="9"/>
      <c r="NJ503" s="9"/>
      <c r="NK503" s="9"/>
      <c r="NL503" s="9"/>
      <c r="NM503" s="9"/>
      <c r="NN503" s="9"/>
      <c r="NO503" s="9"/>
      <c r="NP503" s="9"/>
      <c r="NQ503" s="9"/>
      <c r="NR503" s="9"/>
      <c r="NS503" s="9"/>
      <c r="NT503" s="9"/>
      <c r="NU503" s="9"/>
      <c r="NV503" s="9"/>
      <c r="NW503" s="9"/>
      <c r="NX503" s="9"/>
      <c r="NY503" s="9"/>
      <c r="NZ503" s="9"/>
      <c r="OA503" s="9"/>
      <c r="OB503" s="9"/>
      <c r="OC503" s="9"/>
      <c r="OD503" s="9"/>
      <c r="OE503" s="9"/>
      <c r="OF503" s="9"/>
      <c r="OG503" s="9"/>
      <c r="OH503" s="9"/>
      <c r="OI503" s="9"/>
      <c r="OJ503" s="9"/>
      <c r="OK503" s="9"/>
      <c r="OL503" s="9"/>
      <c r="OM503" s="9"/>
      <c r="ON503" s="9"/>
      <c r="OO503" s="9"/>
      <c r="OP503" s="9"/>
      <c r="OQ503" s="9"/>
      <c r="OR503" s="9"/>
      <c r="OS503" s="9"/>
      <c r="OT503" s="9"/>
      <c r="OU503" s="9"/>
      <c r="OV503" s="9"/>
      <c r="OW503" s="9"/>
      <c r="OX503" s="9"/>
      <c r="OY503" s="9"/>
      <c r="OZ503" s="9"/>
      <c r="PA503" s="9"/>
      <c r="PB503" s="9"/>
      <c r="PC503" s="9"/>
      <c r="PD503" s="9"/>
      <c r="PE503" s="9"/>
      <c r="PF503" s="9"/>
      <c r="PG503" s="9"/>
      <c r="PH503" s="9"/>
      <c r="PI503" s="9"/>
      <c r="PJ503" s="9"/>
      <c r="PK503" s="9"/>
      <c r="PL503" s="9"/>
      <c r="PM503" s="9"/>
      <c r="PN503" s="9"/>
      <c r="PO503" s="9"/>
      <c r="PP503" s="9"/>
      <c r="PQ503" s="9"/>
      <c r="PR503" s="9"/>
      <c r="PS503" s="9"/>
      <c r="PT503" s="9"/>
      <c r="PU503" s="9"/>
      <c r="PV503" s="9"/>
      <c r="PW503" s="9"/>
      <c r="PX503" s="9"/>
      <c r="PY503" s="9"/>
      <c r="PZ503" s="9"/>
      <c r="QA503" s="9"/>
      <c r="QB503" s="9"/>
      <c r="QC503" s="9"/>
      <c r="QD503" s="9"/>
      <c r="QE503" s="9"/>
      <c r="QF503" s="9"/>
      <c r="QG503" s="9"/>
      <c r="QH503" s="9"/>
      <c r="QI503" s="9"/>
      <c r="QJ503" s="9"/>
      <c r="QK503" s="9"/>
      <c r="QL503" s="9"/>
      <c r="QM503" s="9"/>
      <c r="QN503" s="9"/>
      <c r="QO503" s="9"/>
      <c r="QP503" s="9"/>
      <c r="QQ503" s="9"/>
      <c r="QR503" s="9"/>
      <c r="QS503" s="9"/>
      <c r="QT503" s="9"/>
      <c r="QU503" s="9"/>
      <c r="QV503" s="9"/>
      <c r="QW503" s="9"/>
      <c r="QX503" s="9"/>
      <c r="QY503" s="9"/>
      <c r="QZ503" s="9"/>
      <c r="RA503" s="9"/>
      <c r="RB503" s="9"/>
      <c r="RC503" s="9"/>
      <c r="RD503" s="9"/>
      <c r="RE503" s="9"/>
      <c r="RF503" s="9"/>
      <c r="RG503" s="9"/>
      <c r="RH503" s="9"/>
      <c r="RI503" s="9"/>
      <c r="RJ503" s="9"/>
      <c r="RK503" s="9"/>
      <c r="RL503" s="9"/>
      <c r="RM503" s="9"/>
      <c r="RN503" s="9"/>
      <c r="RO503" s="9"/>
      <c r="RP503" s="9"/>
      <c r="RQ503" s="9"/>
      <c r="RR503" s="9"/>
      <c r="RS503" s="9"/>
      <c r="RT503" s="9"/>
      <c r="RU503" s="9"/>
      <c r="RV503" s="9"/>
      <c r="RW503" s="9"/>
      <c r="RX503" s="9"/>
      <c r="RY503" s="9"/>
      <c r="RZ503" s="9"/>
      <c r="SA503" s="9"/>
      <c r="SB503" s="9"/>
      <c r="SC503" s="9"/>
      <c r="SD503" s="9"/>
      <c r="SE503" s="9"/>
      <c r="SF503" s="9"/>
      <c r="SG503" s="9"/>
      <c r="SH503" s="9"/>
      <c r="SI503" s="9"/>
      <c r="SJ503" s="9"/>
      <c r="SK503" s="9"/>
      <c r="SL503" s="9"/>
      <c r="SM503" s="9"/>
      <c r="SN503" s="9"/>
      <c r="SO503" s="9"/>
      <c r="SP503" s="9"/>
      <c r="SQ503" s="9"/>
      <c r="SR503" s="9"/>
      <c r="SS503" s="9"/>
      <c r="ST503" s="9"/>
      <c r="SU503" s="9"/>
      <c r="SV503" s="9"/>
      <c r="SW503" s="9"/>
      <c r="SX503" s="9"/>
      <c r="SY503" s="9"/>
      <c r="SZ503" s="9"/>
      <c r="TA503" s="9"/>
      <c r="TB503" s="9"/>
      <c r="TC503" s="9"/>
      <c r="TD503" s="9"/>
      <c r="TE503" s="9"/>
      <c r="TF503" s="9"/>
      <c r="TG503" s="9"/>
      <c r="TH503" s="9"/>
      <c r="TI503" s="9"/>
      <c r="TJ503" s="9"/>
      <c r="TK503" s="9"/>
      <c r="TL503" s="9"/>
      <c r="TM503" s="9"/>
      <c r="TN503" s="9"/>
      <c r="TO503" s="9"/>
      <c r="TP503" s="9"/>
      <c r="TQ503" s="9"/>
      <c r="TR503" s="9"/>
      <c r="TS503" s="9"/>
      <c r="TT503" s="9"/>
      <c r="TU503" s="9"/>
      <c r="TV503" s="9"/>
      <c r="TW503" s="9"/>
      <c r="TX503" s="9"/>
      <c r="TY503" s="9"/>
      <c r="TZ503" s="9"/>
      <c r="UA503" s="9"/>
      <c r="UB503" s="9"/>
      <c r="UC503" s="9"/>
      <c r="UD503" s="9"/>
      <c r="UE503" s="9"/>
      <c r="UF503" s="9"/>
      <c r="UG503" s="9"/>
      <c r="UH503" s="9"/>
      <c r="UI503" s="9"/>
      <c r="UJ503" s="9"/>
    </row>
    <row r="504">
      <c r="A504" s="8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  <c r="IN504" s="9"/>
      <c r="IO504" s="9"/>
      <c r="IP504" s="9"/>
      <c r="IQ504" s="9"/>
      <c r="IR504" s="9"/>
      <c r="IS504" s="9"/>
      <c r="IT504" s="9"/>
      <c r="IU504" s="9"/>
      <c r="IV504" s="9"/>
      <c r="IW504" s="9"/>
      <c r="IX504" s="9"/>
      <c r="IY504" s="9"/>
      <c r="IZ504" s="9"/>
      <c r="JA504" s="9"/>
      <c r="JB504" s="9"/>
      <c r="JC504" s="9"/>
      <c r="JD504" s="9"/>
      <c r="JE504" s="9"/>
      <c r="JF504" s="9"/>
      <c r="JG504" s="9"/>
      <c r="JH504" s="9"/>
      <c r="JI504" s="9"/>
      <c r="JJ504" s="9"/>
      <c r="JK504" s="9"/>
      <c r="JL504" s="9"/>
      <c r="JM504" s="9"/>
      <c r="JN504" s="9"/>
      <c r="JO504" s="9"/>
      <c r="JP504" s="9"/>
      <c r="JQ504" s="9"/>
      <c r="JR504" s="9"/>
      <c r="JS504" s="9"/>
      <c r="JT504" s="9"/>
      <c r="JU504" s="9"/>
      <c r="JV504" s="9"/>
      <c r="JW504" s="9"/>
      <c r="JX504" s="9"/>
      <c r="JY504" s="9"/>
      <c r="JZ504" s="9"/>
      <c r="KA504" s="9"/>
      <c r="KB504" s="9"/>
      <c r="KC504" s="9"/>
      <c r="KD504" s="9"/>
      <c r="KE504" s="9"/>
      <c r="KF504" s="9"/>
      <c r="KG504" s="9"/>
      <c r="KH504" s="9"/>
      <c r="KI504" s="9"/>
      <c r="KJ504" s="9"/>
      <c r="KK504" s="9"/>
      <c r="KL504" s="9"/>
      <c r="KM504" s="9"/>
      <c r="KN504" s="9"/>
      <c r="KO504" s="9"/>
      <c r="KP504" s="9"/>
      <c r="KQ504" s="9"/>
      <c r="KR504" s="9"/>
      <c r="KS504" s="9"/>
      <c r="KT504" s="9"/>
      <c r="KU504" s="9"/>
      <c r="KV504" s="9"/>
      <c r="KW504" s="9"/>
      <c r="KX504" s="9"/>
      <c r="KY504" s="9"/>
      <c r="KZ504" s="9"/>
      <c r="LA504" s="9"/>
      <c r="LB504" s="9"/>
      <c r="LC504" s="9"/>
      <c r="LD504" s="9"/>
      <c r="LE504" s="9"/>
      <c r="LF504" s="9"/>
      <c r="LG504" s="9"/>
      <c r="LH504" s="9"/>
      <c r="LI504" s="9"/>
      <c r="LJ504" s="9"/>
      <c r="LK504" s="9"/>
      <c r="LL504" s="9"/>
      <c r="LM504" s="9"/>
      <c r="LN504" s="9"/>
      <c r="LO504" s="9"/>
      <c r="LP504" s="9"/>
      <c r="LQ504" s="9"/>
      <c r="LR504" s="9"/>
      <c r="LS504" s="9"/>
      <c r="LT504" s="9"/>
      <c r="LU504" s="9"/>
      <c r="LV504" s="9"/>
      <c r="LW504" s="9"/>
      <c r="LX504" s="9"/>
      <c r="LY504" s="9"/>
      <c r="LZ504" s="9"/>
      <c r="MA504" s="9"/>
      <c r="MB504" s="9"/>
      <c r="MC504" s="9"/>
      <c r="MD504" s="9"/>
      <c r="ME504" s="9"/>
      <c r="MF504" s="9"/>
      <c r="MG504" s="9"/>
      <c r="MH504" s="9"/>
      <c r="MI504" s="9"/>
      <c r="MJ504" s="9"/>
      <c r="MK504" s="9"/>
      <c r="ML504" s="9"/>
      <c r="MM504" s="9"/>
      <c r="MN504" s="9"/>
      <c r="MO504" s="9"/>
      <c r="MP504" s="9"/>
      <c r="MQ504" s="9"/>
      <c r="MR504" s="9"/>
      <c r="MS504" s="9"/>
      <c r="MT504" s="9"/>
      <c r="MU504" s="9"/>
      <c r="MV504" s="9"/>
      <c r="MW504" s="9"/>
      <c r="MX504" s="9"/>
      <c r="MY504" s="9"/>
      <c r="MZ504" s="9"/>
      <c r="NA504" s="9"/>
      <c r="NB504" s="9"/>
      <c r="NC504" s="9"/>
      <c r="ND504" s="9"/>
      <c r="NE504" s="9"/>
      <c r="NF504" s="9"/>
      <c r="NG504" s="9"/>
      <c r="NH504" s="9"/>
      <c r="NI504" s="9"/>
      <c r="NJ504" s="9"/>
      <c r="NK504" s="9"/>
      <c r="NL504" s="9"/>
      <c r="NM504" s="9"/>
      <c r="NN504" s="9"/>
      <c r="NO504" s="9"/>
      <c r="NP504" s="9"/>
      <c r="NQ504" s="9"/>
      <c r="NR504" s="9"/>
      <c r="NS504" s="9"/>
      <c r="NT504" s="9"/>
      <c r="NU504" s="9"/>
      <c r="NV504" s="9"/>
      <c r="NW504" s="9"/>
      <c r="NX504" s="9"/>
      <c r="NY504" s="9"/>
      <c r="NZ504" s="9"/>
      <c r="OA504" s="9"/>
      <c r="OB504" s="9"/>
      <c r="OC504" s="9"/>
      <c r="OD504" s="9"/>
      <c r="OE504" s="9"/>
      <c r="OF504" s="9"/>
      <c r="OG504" s="9"/>
      <c r="OH504" s="9"/>
      <c r="OI504" s="9"/>
      <c r="OJ504" s="9"/>
      <c r="OK504" s="9"/>
      <c r="OL504" s="9"/>
      <c r="OM504" s="9"/>
      <c r="ON504" s="9"/>
      <c r="OO504" s="9"/>
      <c r="OP504" s="9"/>
      <c r="OQ504" s="9"/>
      <c r="OR504" s="9"/>
      <c r="OS504" s="9"/>
      <c r="OT504" s="9"/>
      <c r="OU504" s="9"/>
      <c r="OV504" s="9"/>
      <c r="OW504" s="9"/>
      <c r="OX504" s="9"/>
      <c r="OY504" s="9"/>
      <c r="OZ504" s="9"/>
      <c r="PA504" s="9"/>
      <c r="PB504" s="9"/>
      <c r="PC504" s="9"/>
      <c r="PD504" s="9"/>
      <c r="PE504" s="9"/>
      <c r="PF504" s="9"/>
      <c r="PG504" s="9"/>
      <c r="PH504" s="9"/>
      <c r="PI504" s="9"/>
      <c r="PJ504" s="9"/>
      <c r="PK504" s="9"/>
      <c r="PL504" s="9"/>
      <c r="PM504" s="9"/>
      <c r="PN504" s="9"/>
      <c r="PO504" s="9"/>
      <c r="PP504" s="9"/>
      <c r="PQ504" s="9"/>
      <c r="PR504" s="9"/>
      <c r="PS504" s="9"/>
      <c r="PT504" s="9"/>
      <c r="PU504" s="9"/>
      <c r="PV504" s="9"/>
      <c r="PW504" s="9"/>
      <c r="PX504" s="9"/>
      <c r="PY504" s="9"/>
      <c r="PZ504" s="9"/>
      <c r="QA504" s="9"/>
      <c r="QB504" s="9"/>
      <c r="QC504" s="9"/>
      <c r="QD504" s="9"/>
      <c r="QE504" s="9"/>
      <c r="QF504" s="9"/>
      <c r="QG504" s="9"/>
      <c r="QH504" s="9"/>
      <c r="QI504" s="9"/>
      <c r="QJ504" s="9"/>
      <c r="QK504" s="9"/>
      <c r="QL504" s="9"/>
      <c r="QM504" s="9"/>
      <c r="QN504" s="9"/>
      <c r="QO504" s="9"/>
      <c r="QP504" s="9"/>
      <c r="QQ504" s="9"/>
      <c r="QR504" s="9"/>
      <c r="QS504" s="9"/>
      <c r="QT504" s="9"/>
      <c r="QU504" s="9"/>
      <c r="QV504" s="9"/>
      <c r="QW504" s="9"/>
      <c r="QX504" s="9"/>
      <c r="QY504" s="9"/>
      <c r="QZ504" s="9"/>
      <c r="RA504" s="9"/>
      <c r="RB504" s="9"/>
      <c r="RC504" s="9"/>
      <c r="RD504" s="9"/>
      <c r="RE504" s="9"/>
      <c r="RF504" s="9"/>
      <c r="RG504" s="9"/>
      <c r="RH504" s="9"/>
      <c r="RI504" s="9"/>
      <c r="RJ504" s="9"/>
      <c r="RK504" s="9"/>
      <c r="RL504" s="9"/>
      <c r="RM504" s="9"/>
      <c r="RN504" s="9"/>
      <c r="RO504" s="9"/>
      <c r="RP504" s="9"/>
      <c r="RQ504" s="9"/>
      <c r="RR504" s="9"/>
      <c r="RS504" s="9"/>
      <c r="RT504" s="9"/>
      <c r="RU504" s="9"/>
      <c r="RV504" s="9"/>
      <c r="RW504" s="9"/>
      <c r="RX504" s="9"/>
      <c r="RY504" s="9"/>
      <c r="RZ504" s="9"/>
      <c r="SA504" s="9"/>
      <c r="SB504" s="9"/>
      <c r="SC504" s="9"/>
      <c r="SD504" s="9"/>
      <c r="SE504" s="9"/>
      <c r="SF504" s="9"/>
      <c r="SG504" s="9"/>
      <c r="SH504" s="9"/>
      <c r="SI504" s="9"/>
      <c r="SJ504" s="9"/>
      <c r="SK504" s="9"/>
      <c r="SL504" s="9"/>
      <c r="SM504" s="9"/>
      <c r="SN504" s="9"/>
      <c r="SO504" s="9"/>
      <c r="SP504" s="9"/>
      <c r="SQ504" s="9"/>
      <c r="SR504" s="9"/>
      <c r="SS504" s="9"/>
      <c r="ST504" s="9"/>
      <c r="SU504" s="9"/>
      <c r="SV504" s="9"/>
      <c r="SW504" s="9"/>
      <c r="SX504" s="9"/>
      <c r="SY504" s="9"/>
      <c r="SZ504" s="9"/>
      <c r="TA504" s="9"/>
      <c r="TB504" s="9"/>
      <c r="TC504" s="9"/>
      <c r="TD504" s="9"/>
      <c r="TE504" s="9"/>
      <c r="TF504" s="9"/>
      <c r="TG504" s="9"/>
      <c r="TH504" s="9"/>
      <c r="TI504" s="9"/>
      <c r="TJ504" s="9"/>
      <c r="TK504" s="9"/>
      <c r="TL504" s="9"/>
      <c r="TM504" s="9"/>
      <c r="TN504" s="9"/>
      <c r="TO504" s="9"/>
      <c r="TP504" s="9"/>
      <c r="TQ504" s="9"/>
      <c r="TR504" s="9"/>
      <c r="TS504" s="9"/>
      <c r="TT504" s="9"/>
      <c r="TU504" s="9"/>
      <c r="TV504" s="9"/>
      <c r="TW504" s="9"/>
      <c r="TX504" s="9"/>
      <c r="TY504" s="9"/>
      <c r="TZ504" s="9"/>
      <c r="UA504" s="9"/>
      <c r="UB504" s="9"/>
      <c r="UC504" s="9"/>
      <c r="UD504" s="9"/>
      <c r="UE504" s="9"/>
      <c r="UF504" s="9"/>
      <c r="UG504" s="9"/>
      <c r="UH504" s="9"/>
      <c r="UI504" s="9"/>
      <c r="UJ504" s="9"/>
    </row>
    <row r="505">
      <c r="A505" s="8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  <c r="JG505" s="9"/>
      <c r="JH505" s="9"/>
      <c r="JI505" s="9"/>
      <c r="JJ505" s="9"/>
      <c r="JK505" s="9"/>
      <c r="JL505" s="9"/>
      <c r="JM505" s="9"/>
      <c r="JN505" s="9"/>
      <c r="JO505" s="9"/>
      <c r="JP505" s="9"/>
      <c r="JQ505" s="9"/>
      <c r="JR505" s="9"/>
      <c r="JS505" s="9"/>
      <c r="JT505" s="9"/>
      <c r="JU505" s="9"/>
      <c r="JV505" s="9"/>
      <c r="JW505" s="9"/>
      <c r="JX505" s="9"/>
      <c r="JY505" s="9"/>
      <c r="JZ505" s="9"/>
      <c r="KA505" s="9"/>
      <c r="KB505" s="9"/>
      <c r="KC505" s="9"/>
      <c r="KD505" s="9"/>
      <c r="KE505" s="9"/>
      <c r="KF505" s="9"/>
      <c r="KG505" s="9"/>
      <c r="KH505" s="9"/>
      <c r="KI505" s="9"/>
      <c r="KJ505" s="9"/>
      <c r="KK505" s="9"/>
      <c r="KL505" s="9"/>
      <c r="KM505" s="9"/>
      <c r="KN505" s="9"/>
      <c r="KO505" s="9"/>
      <c r="KP505" s="9"/>
      <c r="KQ505" s="9"/>
      <c r="KR505" s="9"/>
      <c r="KS505" s="9"/>
      <c r="KT505" s="9"/>
      <c r="KU505" s="9"/>
      <c r="KV505" s="9"/>
      <c r="KW505" s="9"/>
      <c r="KX505" s="9"/>
      <c r="KY505" s="9"/>
      <c r="KZ505" s="9"/>
      <c r="LA505" s="9"/>
      <c r="LB505" s="9"/>
      <c r="LC505" s="9"/>
      <c r="LD505" s="9"/>
      <c r="LE505" s="9"/>
      <c r="LF505" s="9"/>
      <c r="LG505" s="9"/>
      <c r="LH505" s="9"/>
      <c r="LI505" s="9"/>
      <c r="LJ505" s="9"/>
      <c r="LK505" s="9"/>
      <c r="LL505" s="9"/>
      <c r="LM505" s="9"/>
      <c r="LN505" s="9"/>
      <c r="LO505" s="9"/>
      <c r="LP505" s="9"/>
      <c r="LQ505" s="9"/>
      <c r="LR505" s="9"/>
      <c r="LS505" s="9"/>
      <c r="LT505" s="9"/>
      <c r="LU505" s="9"/>
      <c r="LV505" s="9"/>
      <c r="LW505" s="9"/>
      <c r="LX505" s="9"/>
      <c r="LY505" s="9"/>
      <c r="LZ505" s="9"/>
      <c r="MA505" s="9"/>
      <c r="MB505" s="9"/>
      <c r="MC505" s="9"/>
      <c r="MD505" s="9"/>
      <c r="ME505" s="9"/>
      <c r="MF505" s="9"/>
      <c r="MG505" s="9"/>
      <c r="MH505" s="9"/>
      <c r="MI505" s="9"/>
      <c r="MJ505" s="9"/>
      <c r="MK505" s="9"/>
      <c r="ML505" s="9"/>
      <c r="MM505" s="9"/>
      <c r="MN505" s="9"/>
      <c r="MO505" s="9"/>
      <c r="MP505" s="9"/>
      <c r="MQ505" s="9"/>
      <c r="MR505" s="9"/>
      <c r="MS505" s="9"/>
      <c r="MT505" s="9"/>
      <c r="MU505" s="9"/>
      <c r="MV505" s="9"/>
      <c r="MW505" s="9"/>
      <c r="MX505" s="9"/>
      <c r="MY505" s="9"/>
      <c r="MZ505" s="9"/>
      <c r="NA505" s="9"/>
      <c r="NB505" s="9"/>
      <c r="NC505" s="9"/>
      <c r="ND505" s="9"/>
      <c r="NE505" s="9"/>
      <c r="NF505" s="9"/>
      <c r="NG505" s="9"/>
      <c r="NH505" s="9"/>
      <c r="NI505" s="9"/>
      <c r="NJ505" s="9"/>
      <c r="NK505" s="9"/>
      <c r="NL505" s="9"/>
      <c r="NM505" s="9"/>
      <c r="NN505" s="9"/>
      <c r="NO505" s="9"/>
      <c r="NP505" s="9"/>
      <c r="NQ505" s="9"/>
      <c r="NR505" s="9"/>
      <c r="NS505" s="9"/>
      <c r="NT505" s="9"/>
      <c r="NU505" s="9"/>
      <c r="NV505" s="9"/>
      <c r="NW505" s="9"/>
      <c r="NX505" s="9"/>
      <c r="NY505" s="9"/>
      <c r="NZ505" s="9"/>
      <c r="OA505" s="9"/>
      <c r="OB505" s="9"/>
      <c r="OC505" s="9"/>
      <c r="OD505" s="9"/>
      <c r="OE505" s="9"/>
      <c r="OF505" s="9"/>
      <c r="OG505" s="9"/>
      <c r="OH505" s="9"/>
      <c r="OI505" s="9"/>
      <c r="OJ505" s="9"/>
      <c r="OK505" s="9"/>
      <c r="OL505" s="9"/>
      <c r="OM505" s="9"/>
      <c r="ON505" s="9"/>
      <c r="OO505" s="9"/>
      <c r="OP505" s="9"/>
      <c r="OQ505" s="9"/>
      <c r="OR505" s="9"/>
      <c r="OS505" s="9"/>
      <c r="OT505" s="9"/>
      <c r="OU505" s="9"/>
      <c r="OV505" s="9"/>
      <c r="OW505" s="9"/>
      <c r="OX505" s="9"/>
      <c r="OY505" s="9"/>
      <c r="OZ505" s="9"/>
      <c r="PA505" s="9"/>
      <c r="PB505" s="9"/>
      <c r="PC505" s="9"/>
      <c r="PD505" s="9"/>
      <c r="PE505" s="9"/>
      <c r="PF505" s="9"/>
      <c r="PG505" s="9"/>
      <c r="PH505" s="9"/>
      <c r="PI505" s="9"/>
      <c r="PJ505" s="9"/>
      <c r="PK505" s="9"/>
      <c r="PL505" s="9"/>
      <c r="PM505" s="9"/>
      <c r="PN505" s="9"/>
      <c r="PO505" s="9"/>
      <c r="PP505" s="9"/>
      <c r="PQ505" s="9"/>
      <c r="PR505" s="9"/>
      <c r="PS505" s="9"/>
      <c r="PT505" s="9"/>
      <c r="PU505" s="9"/>
      <c r="PV505" s="9"/>
      <c r="PW505" s="9"/>
      <c r="PX505" s="9"/>
      <c r="PY505" s="9"/>
      <c r="PZ505" s="9"/>
      <c r="QA505" s="9"/>
      <c r="QB505" s="9"/>
      <c r="QC505" s="9"/>
      <c r="QD505" s="9"/>
      <c r="QE505" s="9"/>
      <c r="QF505" s="9"/>
      <c r="QG505" s="9"/>
      <c r="QH505" s="9"/>
      <c r="QI505" s="9"/>
      <c r="QJ505" s="9"/>
      <c r="QK505" s="9"/>
      <c r="QL505" s="9"/>
      <c r="QM505" s="9"/>
      <c r="QN505" s="9"/>
      <c r="QO505" s="9"/>
      <c r="QP505" s="9"/>
      <c r="QQ505" s="9"/>
      <c r="QR505" s="9"/>
      <c r="QS505" s="9"/>
      <c r="QT505" s="9"/>
      <c r="QU505" s="9"/>
      <c r="QV505" s="9"/>
      <c r="QW505" s="9"/>
      <c r="QX505" s="9"/>
      <c r="QY505" s="9"/>
      <c r="QZ505" s="9"/>
      <c r="RA505" s="9"/>
      <c r="RB505" s="9"/>
      <c r="RC505" s="9"/>
      <c r="RD505" s="9"/>
      <c r="RE505" s="9"/>
      <c r="RF505" s="9"/>
      <c r="RG505" s="9"/>
      <c r="RH505" s="9"/>
      <c r="RI505" s="9"/>
      <c r="RJ505" s="9"/>
      <c r="RK505" s="9"/>
      <c r="RL505" s="9"/>
      <c r="RM505" s="9"/>
      <c r="RN505" s="9"/>
      <c r="RO505" s="9"/>
      <c r="RP505" s="9"/>
      <c r="RQ505" s="9"/>
      <c r="RR505" s="9"/>
      <c r="RS505" s="9"/>
      <c r="RT505" s="9"/>
      <c r="RU505" s="9"/>
      <c r="RV505" s="9"/>
      <c r="RW505" s="9"/>
      <c r="RX505" s="9"/>
      <c r="RY505" s="9"/>
      <c r="RZ505" s="9"/>
      <c r="SA505" s="9"/>
      <c r="SB505" s="9"/>
      <c r="SC505" s="9"/>
      <c r="SD505" s="9"/>
      <c r="SE505" s="9"/>
      <c r="SF505" s="9"/>
      <c r="SG505" s="9"/>
      <c r="SH505" s="9"/>
      <c r="SI505" s="9"/>
      <c r="SJ505" s="9"/>
      <c r="SK505" s="9"/>
      <c r="SL505" s="9"/>
      <c r="SM505" s="9"/>
      <c r="SN505" s="9"/>
      <c r="SO505" s="9"/>
      <c r="SP505" s="9"/>
      <c r="SQ505" s="9"/>
      <c r="SR505" s="9"/>
      <c r="SS505" s="9"/>
      <c r="ST505" s="9"/>
      <c r="SU505" s="9"/>
      <c r="SV505" s="9"/>
      <c r="SW505" s="9"/>
      <c r="SX505" s="9"/>
      <c r="SY505" s="9"/>
      <c r="SZ505" s="9"/>
      <c r="TA505" s="9"/>
      <c r="TB505" s="9"/>
      <c r="TC505" s="9"/>
      <c r="TD505" s="9"/>
      <c r="TE505" s="9"/>
      <c r="TF505" s="9"/>
      <c r="TG505" s="9"/>
      <c r="TH505" s="9"/>
      <c r="TI505" s="9"/>
      <c r="TJ505" s="9"/>
      <c r="TK505" s="9"/>
      <c r="TL505" s="9"/>
      <c r="TM505" s="9"/>
      <c r="TN505" s="9"/>
      <c r="TO505" s="9"/>
      <c r="TP505" s="9"/>
      <c r="TQ505" s="9"/>
      <c r="TR505" s="9"/>
      <c r="TS505" s="9"/>
      <c r="TT505" s="9"/>
      <c r="TU505" s="9"/>
      <c r="TV505" s="9"/>
      <c r="TW505" s="9"/>
      <c r="TX505" s="9"/>
      <c r="TY505" s="9"/>
      <c r="TZ505" s="9"/>
      <c r="UA505" s="9"/>
      <c r="UB505" s="9"/>
      <c r="UC505" s="9"/>
      <c r="UD505" s="9"/>
      <c r="UE505" s="9"/>
      <c r="UF505" s="9"/>
      <c r="UG505" s="9"/>
      <c r="UH505" s="9"/>
      <c r="UI505" s="9"/>
      <c r="UJ505" s="9"/>
    </row>
    <row r="506">
      <c r="A506" s="8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9"/>
      <c r="JE506" s="9"/>
      <c r="JF506" s="9"/>
      <c r="JG506" s="9"/>
      <c r="JH506" s="9"/>
      <c r="JI506" s="9"/>
      <c r="JJ506" s="9"/>
      <c r="JK506" s="9"/>
      <c r="JL506" s="9"/>
      <c r="JM506" s="9"/>
      <c r="JN506" s="9"/>
      <c r="JO506" s="9"/>
      <c r="JP506" s="9"/>
      <c r="JQ506" s="9"/>
      <c r="JR506" s="9"/>
      <c r="JS506" s="9"/>
      <c r="JT506" s="9"/>
      <c r="JU506" s="9"/>
      <c r="JV506" s="9"/>
      <c r="JW506" s="9"/>
      <c r="JX506" s="9"/>
      <c r="JY506" s="9"/>
      <c r="JZ506" s="9"/>
      <c r="KA506" s="9"/>
      <c r="KB506" s="9"/>
      <c r="KC506" s="9"/>
      <c r="KD506" s="9"/>
      <c r="KE506" s="9"/>
      <c r="KF506" s="9"/>
      <c r="KG506" s="9"/>
      <c r="KH506" s="9"/>
      <c r="KI506" s="9"/>
      <c r="KJ506" s="9"/>
      <c r="KK506" s="9"/>
      <c r="KL506" s="9"/>
      <c r="KM506" s="9"/>
      <c r="KN506" s="9"/>
      <c r="KO506" s="9"/>
      <c r="KP506" s="9"/>
      <c r="KQ506" s="9"/>
      <c r="KR506" s="9"/>
      <c r="KS506" s="9"/>
      <c r="KT506" s="9"/>
      <c r="KU506" s="9"/>
      <c r="KV506" s="9"/>
      <c r="KW506" s="9"/>
      <c r="KX506" s="9"/>
      <c r="KY506" s="9"/>
      <c r="KZ506" s="9"/>
      <c r="LA506" s="9"/>
      <c r="LB506" s="9"/>
      <c r="LC506" s="9"/>
      <c r="LD506" s="9"/>
      <c r="LE506" s="9"/>
      <c r="LF506" s="9"/>
      <c r="LG506" s="9"/>
      <c r="LH506" s="9"/>
      <c r="LI506" s="9"/>
      <c r="LJ506" s="9"/>
      <c r="LK506" s="9"/>
      <c r="LL506" s="9"/>
      <c r="LM506" s="9"/>
      <c r="LN506" s="9"/>
      <c r="LO506" s="9"/>
      <c r="LP506" s="9"/>
      <c r="LQ506" s="9"/>
      <c r="LR506" s="9"/>
      <c r="LS506" s="9"/>
      <c r="LT506" s="9"/>
      <c r="LU506" s="9"/>
      <c r="LV506" s="9"/>
      <c r="LW506" s="9"/>
      <c r="LX506" s="9"/>
      <c r="LY506" s="9"/>
      <c r="LZ506" s="9"/>
      <c r="MA506" s="9"/>
      <c r="MB506" s="9"/>
      <c r="MC506" s="9"/>
      <c r="MD506" s="9"/>
      <c r="ME506" s="9"/>
      <c r="MF506" s="9"/>
      <c r="MG506" s="9"/>
      <c r="MH506" s="9"/>
      <c r="MI506" s="9"/>
      <c r="MJ506" s="9"/>
      <c r="MK506" s="9"/>
      <c r="ML506" s="9"/>
      <c r="MM506" s="9"/>
      <c r="MN506" s="9"/>
      <c r="MO506" s="9"/>
      <c r="MP506" s="9"/>
      <c r="MQ506" s="9"/>
      <c r="MR506" s="9"/>
      <c r="MS506" s="9"/>
      <c r="MT506" s="9"/>
      <c r="MU506" s="9"/>
      <c r="MV506" s="9"/>
      <c r="MW506" s="9"/>
      <c r="MX506" s="9"/>
      <c r="MY506" s="9"/>
      <c r="MZ506" s="9"/>
      <c r="NA506" s="9"/>
      <c r="NB506" s="9"/>
      <c r="NC506" s="9"/>
      <c r="ND506" s="9"/>
      <c r="NE506" s="9"/>
      <c r="NF506" s="9"/>
      <c r="NG506" s="9"/>
      <c r="NH506" s="9"/>
      <c r="NI506" s="9"/>
      <c r="NJ506" s="9"/>
      <c r="NK506" s="9"/>
      <c r="NL506" s="9"/>
      <c r="NM506" s="9"/>
      <c r="NN506" s="9"/>
      <c r="NO506" s="9"/>
      <c r="NP506" s="9"/>
      <c r="NQ506" s="9"/>
      <c r="NR506" s="9"/>
      <c r="NS506" s="9"/>
      <c r="NT506" s="9"/>
      <c r="NU506" s="9"/>
      <c r="NV506" s="9"/>
      <c r="NW506" s="9"/>
      <c r="NX506" s="9"/>
      <c r="NY506" s="9"/>
      <c r="NZ506" s="9"/>
      <c r="OA506" s="9"/>
      <c r="OB506" s="9"/>
      <c r="OC506" s="9"/>
      <c r="OD506" s="9"/>
      <c r="OE506" s="9"/>
      <c r="OF506" s="9"/>
      <c r="OG506" s="9"/>
      <c r="OH506" s="9"/>
      <c r="OI506" s="9"/>
      <c r="OJ506" s="9"/>
      <c r="OK506" s="9"/>
      <c r="OL506" s="9"/>
      <c r="OM506" s="9"/>
      <c r="ON506" s="9"/>
      <c r="OO506" s="9"/>
      <c r="OP506" s="9"/>
      <c r="OQ506" s="9"/>
      <c r="OR506" s="9"/>
      <c r="OS506" s="9"/>
      <c r="OT506" s="9"/>
      <c r="OU506" s="9"/>
      <c r="OV506" s="9"/>
      <c r="OW506" s="9"/>
      <c r="OX506" s="9"/>
      <c r="OY506" s="9"/>
      <c r="OZ506" s="9"/>
      <c r="PA506" s="9"/>
      <c r="PB506" s="9"/>
      <c r="PC506" s="9"/>
      <c r="PD506" s="9"/>
      <c r="PE506" s="9"/>
      <c r="PF506" s="9"/>
      <c r="PG506" s="9"/>
      <c r="PH506" s="9"/>
      <c r="PI506" s="9"/>
      <c r="PJ506" s="9"/>
      <c r="PK506" s="9"/>
      <c r="PL506" s="9"/>
      <c r="PM506" s="9"/>
      <c r="PN506" s="9"/>
      <c r="PO506" s="9"/>
      <c r="PP506" s="9"/>
      <c r="PQ506" s="9"/>
      <c r="PR506" s="9"/>
      <c r="PS506" s="9"/>
      <c r="PT506" s="9"/>
      <c r="PU506" s="9"/>
      <c r="PV506" s="9"/>
      <c r="PW506" s="9"/>
      <c r="PX506" s="9"/>
      <c r="PY506" s="9"/>
      <c r="PZ506" s="9"/>
      <c r="QA506" s="9"/>
      <c r="QB506" s="9"/>
      <c r="QC506" s="9"/>
      <c r="QD506" s="9"/>
      <c r="QE506" s="9"/>
      <c r="QF506" s="9"/>
      <c r="QG506" s="9"/>
      <c r="QH506" s="9"/>
      <c r="QI506" s="9"/>
      <c r="QJ506" s="9"/>
      <c r="QK506" s="9"/>
      <c r="QL506" s="9"/>
      <c r="QM506" s="9"/>
      <c r="QN506" s="9"/>
      <c r="QO506" s="9"/>
      <c r="QP506" s="9"/>
      <c r="QQ506" s="9"/>
      <c r="QR506" s="9"/>
      <c r="QS506" s="9"/>
      <c r="QT506" s="9"/>
      <c r="QU506" s="9"/>
      <c r="QV506" s="9"/>
      <c r="QW506" s="9"/>
      <c r="QX506" s="9"/>
      <c r="QY506" s="9"/>
      <c r="QZ506" s="9"/>
      <c r="RA506" s="9"/>
      <c r="RB506" s="9"/>
      <c r="RC506" s="9"/>
      <c r="RD506" s="9"/>
      <c r="RE506" s="9"/>
      <c r="RF506" s="9"/>
      <c r="RG506" s="9"/>
      <c r="RH506" s="9"/>
      <c r="RI506" s="9"/>
      <c r="RJ506" s="9"/>
      <c r="RK506" s="9"/>
      <c r="RL506" s="9"/>
      <c r="RM506" s="9"/>
      <c r="RN506" s="9"/>
      <c r="RO506" s="9"/>
      <c r="RP506" s="9"/>
      <c r="RQ506" s="9"/>
      <c r="RR506" s="9"/>
      <c r="RS506" s="9"/>
      <c r="RT506" s="9"/>
      <c r="RU506" s="9"/>
      <c r="RV506" s="9"/>
      <c r="RW506" s="9"/>
      <c r="RX506" s="9"/>
      <c r="RY506" s="9"/>
      <c r="RZ506" s="9"/>
      <c r="SA506" s="9"/>
      <c r="SB506" s="9"/>
      <c r="SC506" s="9"/>
      <c r="SD506" s="9"/>
      <c r="SE506" s="9"/>
      <c r="SF506" s="9"/>
      <c r="SG506" s="9"/>
      <c r="SH506" s="9"/>
      <c r="SI506" s="9"/>
      <c r="SJ506" s="9"/>
      <c r="SK506" s="9"/>
      <c r="SL506" s="9"/>
      <c r="SM506" s="9"/>
      <c r="SN506" s="9"/>
      <c r="SO506" s="9"/>
      <c r="SP506" s="9"/>
      <c r="SQ506" s="9"/>
      <c r="SR506" s="9"/>
      <c r="SS506" s="9"/>
      <c r="ST506" s="9"/>
      <c r="SU506" s="9"/>
      <c r="SV506" s="9"/>
      <c r="SW506" s="9"/>
      <c r="SX506" s="9"/>
      <c r="SY506" s="9"/>
      <c r="SZ506" s="9"/>
      <c r="TA506" s="9"/>
      <c r="TB506" s="9"/>
      <c r="TC506" s="9"/>
      <c r="TD506" s="9"/>
      <c r="TE506" s="9"/>
      <c r="TF506" s="9"/>
      <c r="TG506" s="9"/>
      <c r="TH506" s="9"/>
      <c r="TI506" s="9"/>
      <c r="TJ506" s="9"/>
      <c r="TK506" s="9"/>
      <c r="TL506" s="9"/>
      <c r="TM506" s="9"/>
      <c r="TN506" s="9"/>
      <c r="TO506" s="9"/>
      <c r="TP506" s="9"/>
      <c r="TQ506" s="9"/>
      <c r="TR506" s="9"/>
      <c r="TS506" s="9"/>
      <c r="TT506" s="9"/>
      <c r="TU506" s="9"/>
      <c r="TV506" s="9"/>
      <c r="TW506" s="9"/>
      <c r="TX506" s="9"/>
      <c r="TY506" s="9"/>
      <c r="TZ506" s="9"/>
      <c r="UA506" s="9"/>
      <c r="UB506" s="9"/>
      <c r="UC506" s="9"/>
      <c r="UD506" s="9"/>
      <c r="UE506" s="9"/>
      <c r="UF506" s="9"/>
      <c r="UG506" s="9"/>
      <c r="UH506" s="9"/>
      <c r="UI506" s="9"/>
      <c r="UJ506" s="9"/>
    </row>
    <row r="507">
      <c r="A507" s="8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</row>
    <row r="508">
      <c r="A508" s="8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</row>
    <row r="509">
      <c r="A509" s="8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</row>
    <row r="510">
      <c r="A510" s="8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</row>
    <row r="511">
      <c r="A511" s="8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  <c r="IN511" s="9"/>
      <c r="IO511" s="9"/>
      <c r="IP511" s="9"/>
      <c r="IQ511" s="9"/>
      <c r="IR511" s="9"/>
      <c r="IS511" s="9"/>
      <c r="IT511" s="9"/>
      <c r="IU511" s="9"/>
      <c r="IV511" s="9"/>
      <c r="IW511" s="9"/>
      <c r="IX511" s="9"/>
      <c r="IY511" s="9"/>
      <c r="IZ511" s="9"/>
      <c r="JA511" s="9"/>
      <c r="JB511" s="9"/>
      <c r="JC511" s="9"/>
      <c r="JD511" s="9"/>
      <c r="JE511" s="9"/>
      <c r="JF511" s="9"/>
      <c r="JG511" s="9"/>
      <c r="JH511" s="9"/>
      <c r="JI511" s="9"/>
      <c r="JJ511" s="9"/>
      <c r="JK511" s="9"/>
      <c r="JL511" s="9"/>
      <c r="JM511" s="9"/>
      <c r="JN511" s="9"/>
      <c r="JO511" s="9"/>
      <c r="JP511" s="9"/>
      <c r="JQ511" s="9"/>
      <c r="JR511" s="9"/>
      <c r="JS511" s="9"/>
      <c r="JT511" s="9"/>
      <c r="JU511" s="9"/>
      <c r="JV511" s="9"/>
      <c r="JW511" s="9"/>
      <c r="JX511" s="9"/>
      <c r="JY511" s="9"/>
      <c r="JZ511" s="9"/>
      <c r="KA511" s="9"/>
      <c r="KB511" s="9"/>
      <c r="KC511" s="9"/>
      <c r="KD511" s="9"/>
      <c r="KE511" s="9"/>
      <c r="KF511" s="9"/>
      <c r="KG511" s="9"/>
      <c r="KH511" s="9"/>
      <c r="KI511" s="9"/>
      <c r="KJ511" s="9"/>
      <c r="KK511" s="9"/>
      <c r="KL511" s="9"/>
      <c r="KM511" s="9"/>
      <c r="KN511" s="9"/>
      <c r="KO511" s="9"/>
      <c r="KP511" s="9"/>
      <c r="KQ511" s="9"/>
      <c r="KR511" s="9"/>
      <c r="KS511" s="9"/>
      <c r="KT511" s="9"/>
      <c r="KU511" s="9"/>
      <c r="KV511" s="9"/>
      <c r="KW511" s="9"/>
      <c r="KX511" s="9"/>
      <c r="KY511" s="9"/>
      <c r="KZ511" s="9"/>
      <c r="LA511" s="9"/>
      <c r="LB511" s="9"/>
      <c r="LC511" s="9"/>
      <c r="LD511" s="9"/>
      <c r="LE511" s="9"/>
      <c r="LF511" s="9"/>
      <c r="LG511" s="9"/>
      <c r="LH511" s="9"/>
      <c r="LI511" s="9"/>
      <c r="LJ511" s="9"/>
      <c r="LK511" s="9"/>
      <c r="LL511" s="9"/>
      <c r="LM511" s="9"/>
      <c r="LN511" s="9"/>
      <c r="LO511" s="9"/>
      <c r="LP511" s="9"/>
      <c r="LQ511" s="9"/>
      <c r="LR511" s="9"/>
      <c r="LS511" s="9"/>
      <c r="LT511" s="9"/>
      <c r="LU511" s="9"/>
      <c r="LV511" s="9"/>
      <c r="LW511" s="9"/>
      <c r="LX511" s="9"/>
      <c r="LY511" s="9"/>
      <c r="LZ511" s="9"/>
      <c r="MA511" s="9"/>
      <c r="MB511" s="9"/>
      <c r="MC511" s="9"/>
      <c r="MD511" s="9"/>
      <c r="ME511" s="9"/>
      <c r="MF511" s="9"/>
      <c r="MG511" s="9"/>
      <c r="MH511" s="9"/>
      <c r="MI511" s="9"/>
      <c r="MJ511" s="9"/>
      <c r="MK511" s="9"/>
      <c r="ML511" s="9"/>
      <c r="MM511" s="9"/>
      <c r="MN511" s="9"/>
      <c r="MO511" s="9"/>
      <c r="MP511" s="9"/>
      <c r="MQ511" s="9"/>
      <c r="MR511" s="9"/>
      <c r="MS511" s="9"/>
      <c r="MT511" s="9"/>
      <c r="MU511" s="9"/>
      <c r="MV511" s="9"/>
      <c r="MW511" s="9"/>
      <c r="MX511" s="9"/>
      <c r="MY511" s="9"/>
      <c r="MZ511" s="9"/>
      <c r="NA511" s="9"/>
      <c r="NB511" s="9"/>
      <c r="NC511" s="9"/>
      <c r="ND511" s="9"/>
      <c r="NE511" s="9"/>
      <c r="NF511" s="9"/>
      <c r="NG511" s="9"/>
      <c r="NH511" s="9"/>
      <c r="NI511" s="9"/>
      <c r="NJ511" s="9"/>
      <c r="NK511" s="9"/>
      <c r="NL511" s="9"/>
      <c r="NM511" s="9"/>
      <c r="NN511" s="9"/>
      <c r="NO511" s="9"/>
      <c r="NP511" s="9"/>
      <c r="NQ511" s="9"/>
      <c r="NR511" s="9"/>
      <c r="NS511" s="9"/>
      <c r="NT511" s="9"/>
      <c r="NU511" s="9"/>
      <c r="NV511" s="9"/>
      <c r="NW511" s="9"/>
      <c r="NX511" s="9"/>
      <c r="NY511" s="9"/>
      <c r="NZ511" s="9"/>
      <c r="OA511" s="9"/>
      <c r="OB511" s="9"/>
      <c r="OC511" s="9"/>
      <c r="OD511" s="9"/>
      <c r="OE511" s="9"/>
      <c r="OF511" s="9"/>
      <c r="OG511" s="9"/>
      <c r="OH511" s="9"/>
      <c r="OI511" s="9"/>
      <c r="OJ511" s="9"/>
      <c r="OK511" s="9"/>
      <c r="OL511" s="9"/>
      <c r="OM511" s="9"/>
      <c r="ON511" s="9"/>
      <c r="OO511" s="9"/>
      <c r="OP511" s="9"/>
      <c r="OQ511" s="9"/>
      <c r="OR511" s="9"/>
      <c r="OS511" s="9"/>
      <c r="OT511" s="9"/>
      <c r="OU511" s="9"/>
      <c r="OV511" s="9"/>
      <c r="OW511" s="9"/>
      <c r="OX511" s="9"/>
      <c r="OY511" s="9"/>
      <c r="OZ511" s="9"/>
      <c r="PA511" s="9"/>
      <c r="PB511" s="9"/>
      <c r="PC511" s="9"/>
      <c r="PD511" s="9"/>
      <c r="PE511" s="9"/>
      <c r="PF511" s="9"/>
      <c r="PG511" s="9"/>
      <c r="PH511" s="9"/>
      <c r="PI511" s="9"/>
      <c r="PJ511" s="9"/>
      <c r="PK511" s="9"/>
      <c r="PL511" s="9"/>
      <c r="PM511" s="9"/>
      <c r="PN511" s="9"/>
      <c r="PO511" s="9"/>
      <c r="PP511" s="9"/>
      <c r="PQ511" s="9"/>
      <c r="PR511" s="9"/>
      <c r="PS511" s="9"/>
      <c r="PT511" s="9"/>
      <c r="PU511" s="9"/>
      <c r="PV511" s="9"/>
      <c r="PW511" s="9"/>
      <c r="PX511" s="9"/>
      <c r="PY511" s="9"/>
      <c r="PZ511" s="9"/>
      <c r="QA511" s="9"/>
      <c r="QB511" s="9"/>
      <c r="QC511" s="9"/>
      <c r="QD511" s="9"/>
      <c r="QE511" s="9"/>
      <c r="QF511" s="9"/>
      <c r="QG511" s="9"/>
      <c r="QH511" s="9"/>
      <c r="QI511" s="9"/>
      <c r="QJ511" s="9"/>
      <c r="QK511" s="9"/>
      <c r="QL511" s="9"/>
      <c r="QM511" s="9"/>
      <c r="QN511" s="9"/>
      <c r="QO511" s="9"/>
      <c r="QP511" s="9"/>
      <c r="QQ511" s="9"/>
      <c r="QR511" s="9"/>
      <c r="QS511" s="9"/>
      <c r="QT511" s="9"/>
      <c r="QU511" s="9"/>
      <c r="QV511" s="9"/>
      <c r="QW511" s="9"/>
      <c r="QX511" s="9"/>
      <c r="QY511" s="9"/>
      <c r="QZ511" s="9"/>
      <c r="RA511" s="9"/>
      <c r="RB511" s="9"/>
      <c r="RC511" s="9"/>
      <c r="RD511" s="9"/>
      <c r="RE511" s="9"/>
      <c r="RF511" s="9"/>
      <c r="RG511" s="9"/>
      <c r="RH511" s="9"/>
      <c r="RI511" s="9"/>
      <c r="RJ511" s="9"/>
      <c r="RK511" s="9"/>
      <c r="RL511" s="9"/>
      <c r="RM511" s="9"/>
      <c r="RN511" s="9"/>
      <c r="RO511" s="9"/>
      <c r="RP511" s="9"/>
      <c r="RQ511" s="9"/>
      <c r="RR511" s="9"/>
      <c r="RS511" s="9"/>
      <c r="RT511" s="9"/>
      <c r="RU511" s="9"/>
      <c r="RV511" s="9"/>
      <c r="RW511" s="9"/>
      <c r="RX511" s="9"/>
      <c r="RY511" s="9"/>
      <c r="RZ511" s="9"/>
      <c r="SA511" s="9"/>
      <c r="SB511" s="9"/>
      <c r="SC511" s="9"/>
      <c r="SD511" s="9"/>
      <c r="SE511" s="9"/>
      <c r="SF511" s="9"/>
      <c r="SG511" s="9"/>
      <c r="SH511" s="9"/>
      <c r="SI511" s="9"/>
      <c r="SJ511" s="9"/>
      <c r="SK511" s="9"/>
      <c r="SL511" s="9"/>
      <c r="SM511" s="9"/>
      <c r="SN511" s="9"/>
      <c r="SO511" s="9"/>
      <c r="SP511" s="9"/>
      <c r="SQ511" s="9"/>
      <c r="SR511" s="9"/>
      <c r="SS511" s="9"/>
      <c r="ST511" s="9"/>
      <c r="SU511" s="9"/>
      <c r="SV511" s="9"/>
      <c r="SW511" s="9"/>
      <c r="SX511" s="9"/>
      <c r="SY511" s="9"/>
      <c r="SZ511" s="9"/>
      <c r="TA511" s="9"/>
      <c r="TB511" s="9"/>
      <c r="TC511" s="9"/>
      <c r="TD511" s="9"/>
      <c r="TE511" s="9"/>
      <c r="TF511" s="9"/>
      <c r="TG511" s="9"/>
      <c r="TH511" s="9"/>
      <c r="TI511" s="9"/>
      <c r="TJ511" s="9"/>
      <c r="TK511" s="9"/>
      <c r="TL511" s="9"/>
      <c r="TM511" s="9"/>
      <c r="TN511" s="9"/>
      <c r="TO511" s="9"/>
      <c r="TP511" s="9"/>
      <c r="TQ511" s="9"/>
      <c r="TR511" s="9"/>
      <c r="TS511" s="9"/>
      <c r="TT511" s="9"/>
      <c r="TU511" s="9"/>
      <c r="TV511" s="9"/>
      <c r="TW511" s="9"/>
      <c r="TX511" s="9"/>
      <c r="TY511" s="9"/>
      <c r="TZ511" s="9"/>
      <c r="UA511" s="9"/>
      <c r="UB511" s="9"/>
      <c r="UC511" s="9"/>
      <c r="UD511" s="9"/>
      <c r="UE511" s="9"/>
      <c r="UF511" s="9"/>
      <c r="UG511" s="9"/>
      <c r="UH511" s="9"/>
      <c r="UI511" s="9"/>
      <c r="UJ511" s="9"/>
    </row>
    <row r="512">
      <c r="A512" s="8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9"/>
      <c r="JE512" s="9"/>
      <c r="JF512" s="9"/>
      <c r="JG512" s="9"/>
      <c r="JH512" s="9"/>
      <c r="JI512" s="9"/>
      <c r="JJ512" s="9"/>
      <c r="JK512" s="9"/>
      <c r="JL512" s="9"/>
      <c r="JM512" s="9"/>
      <c r="JN512" s="9"/>
      <c r="JO512" s="9"/>
      <c r="JP512" s="9"/>
      <c r="JQ512" s="9"/>
      <c r="JR512" s="9"/>
      <c r="JS512" s="9"/>
      <c r="JT512" s="9"/>
      <c r="JU512" s="9"/>
      <c r="JV512" s="9"/>
      <c r="JW512" s="9"/>
      <c r="JX512" s="9"/>
      <c r="JY512" s="9"/>
      <c r="JZ512" s="9"/>
      <c r="KA512" s="9"/>
      <c r="KB512" s="9"/>
      <c r="KC512" s="9"/>
      <c r="KD512" s="9"/>
      <c r="KE512" s="9"/>
      <c r="KF512" s="9"/>
      <c r="KG512" s="9"/>
      <c r="KH512" s="9"/>
      <c r="KI512" s="9"/>
      <c r="KJ512" s="9"/>
      <c r="KK512" s="9"/>
      <c r="KL512" s="9"/>
      <c r="KM512" s="9"/>
      <c r="KN512" s="9"/>
      <c r="KO512" s="9"/>
      <c r="KP512" s="9"/>
      <c r="KQ512" s="9"/>
      <c r="KR512" s="9"/>
      <c r="KS512" s="9"/>
      <c r="KT512" s="9"/>
      <c r="KU512" s="9"/>
      <c r="KV512" s="9"/>
      <c r="KW512" s="9"/>
      <c r="KX512" s="9"/>
      <c r="KY512" s="9"/>
      <c r="KZ512" s="9"/>
      <c r="LA512" s="9"/>
      <c r="LB512" s="9"/>
      <c r="LC512" s="9"/>
      <c r="LD512" s="9"/>
      <c r="LE512" s="9"/>
      <c r="LF512" s="9"/>
      <c r="LG512" s="9"/>
      <c r="LH512" s="9"/>
      <c r="LI512" s="9"/>
      <c r="LJ512" s="9"/>
      <c r="LK512" s="9"/>
      <c r="LL512" s="9"/>
      <c r="LM512" s="9"/>
      <c r="LN512" s="9"/>
      <c r="LO512" s="9"/>
      <c r="LP512" s="9"/>
      <c r="LQ512" s="9"/>
      <c r="LR512" s="9"/>
      <c r="LS512" s="9"/>
      <c r="LT512" s="9"/>
      <c r="LU512" s="9"/>
      <c r="LV512" s="9"/>
      <c r="LW512" s="9"/>
      <c r="LX512" s="9"/>
      <c r="LY512" s="9"/>
      <c r="LZ512" s="9"/>
      <c r="MA512" s="9"/>
      <c r="MB512" s="9"/>
      <c r="MC512" s="9"/>
      <c r="MD512" s="9"/>
      <c r="ME512" s="9"/>
      <c r="MF512" s="9"/>
      <c r="MG512" s="9"/>
      <c r="MH512" s="9"/>
      <c r="MI512" s="9"/>
      <c r="MJ512" s="9"/>
      <c r="MK512" s="9"/>
      <c r="ML512" s="9"/>
      <c r="MM512" s="9"/>
      <c r="MN512" s="9"/>
      <c r="MO512" s="9"/>
      <c r="MP512" s="9"/>
      <c r="MQ512" s="9"/>
      <c r="MR512" s="9"/>
      <c r="MS512" s="9"/>
      <c r="MT512" s="9"/>
      <c r="MU512" s="9"/>
      <c r="MV512" s="9"/>
      <c r="MW512" s="9"/>
      <c r="MX512" s="9"/>
      <c r="MY512" s="9"/>
      <c r="MZ512" s="9"/>
      <c r="NA512" s="9"/>
      <c r="NB512" s="9"/>
      <c r="NC512" s="9"/>
      <c r="ND512" s="9"/>
      <c r="NE512" s="9"/>
      <c r="NF512" s="9"/>
      <c r="NG512" s="9"/>
      <c r="NH512" s="9"/>
      <c r="NI512" s="9"/>
      <c r="NJ512" s="9"/>
      <c r="NK512" s="9"/>
      <c r="NL512" s="9"/>
      <c r="NM512" s="9"/>
      <c r="NN512" s="9"/>
      <c r="NO512" s="9"/>
      <c r="NP512" s="9"/>
      <c r="NQ512" s="9"/>
      <c r="NR512" s="9"/>
      <c r="NS512" s="9"/>
      <c r="NT512" s="9"/>
      <c r="NU512" s="9"/>
      <c r="NV512" s="9"/>
      <c r="NW512" s="9"/>
      <c r="NX512" s="9"/>
      <c r="NY512" s="9"/>
      <c r="NZ512" s="9"/>
      <c r="OA512" s="9"/>
      <c r="OB512" s="9"/>
      <c r="OC512" s="9"/>
      <c r="OD512" s="9"/>
      <c r="OE512" s="9"/>
      <c r="OF512" s="9"/>
      <c r="OG512" s="9"/>
      <c r="OH512" s="9"/>
      <c r="OI512" s="9"/>
      <c r="OJ512" s="9"/>
      <c r="OK512" s="9"/>
      <c r="OL512" s="9"/>
      <c r="OM512" s="9"/>
      <c r="ON512" s="9"/>
      <c r="OO512" s="9"/>
      <c r="OP512" s="9"/>
      <c r="OQ512" s="9"/>
      <c r="OR512" s="9"/>
      <c r="OS512" s="9"/>
      <c r="OT512" s="9"/>
      <c r="OU512" s="9"/>
      <c r="OV512" s="9"/>
      <c r="OW512" s="9"/>
      <c r="OX512" s="9"/>
      <c r="OY512" s="9"/>
      <c r="OZ512" s="9"/>
      <c r="PA512" s="9"/>
      <c r="PB512" s="9"/>
      <c r="PC512" s="9"/>
      <c r="PD512" s="9"/>
      <c r="PE512" s="9"/>
      <c r="PF512" s="9"/>
      <c r="PG512" s="9"/>
      <c r="PH512" s="9"/>
      <c r="PI512" s="9"/>
      <c r="PJ512" s="9"/>
      <c r="PK512" s="9"/>
      <c r="PL512" s="9"/>
      <c r="PM512" s="9"/>
      <c r="PN512" s="9"/>
      <c r="PO512" s="9"/>
      <c r="PP512" s="9"/>
      <c r="PQ512" s="9"/>
      <c r="PR512" s="9"/>
      <c r="PS512" s="9"/>
      <c r="PT512" s="9"/>
      <c r="PU512" s="9"/>
      <c r="PV512" s="9"/>
      <c r="PW512" s="9"/>
      <c r="PX512" s="9"/>
      <c r="PY512" s="9"/>
      <c r="PZ512" s="9"/>
      <c r="QA512" s="9"/>
      <c r="QB512" s="9"/>
      <c r="QC512" s="9"/>
      <c r="QD512" s="9"/>
      <c r="QE512" s="9"/>
      <c r="QF512" s="9"/>
      <c r="QG512" s="9"/>
      <c r="QH512" s="9"/>
      <c r="QI512" s="9"/>
      <c r="QJ512" s="9"/>
      <c r="QK512" s="9"/>
      <c r="QL512" s="9"/>
      <c r="QM512" s="9"/>
      <c r="QN512" s="9"/>
      <c r="QO512" s="9"/>
      <c r="QP512" s="9"/>
      <c r="QQ512" s="9"/>
      <c r="QR512" s="9"/>
      <c r="QS512" s="9"/>
      <c r="QT512" s="9"/>
      <c r="QU512" s="9"/>
      <c r="QV512" s="9"/>
      <c r="QW512" s="9"/>
      <c r="QX512" s="9"/>
      <c r="QY512" s="9"/>
      <c r="QZ512" s="9"/>
      <c r="RA512" s="9"/>
      <c r="RB512" s="9"/>
      <c r="RC512" s="9"/>
      <c r="RD512" s="9"/>
      <c r="RE512" s="9"/>
      <c r="RF512" s="9"/>
      <c r="RG512" s="9"/>
      <c r="RH512" s="9"/>
      <c r="RI512" s="9"/>
      <c r="RJ512" s="9"/>
      <c r="RK512" s="9"/>
      <c r="RL512" s="9"/>
      <c r="RM512" s="9"/>
      <c r="RN512" s="9"/>
      <c r="RO512" s="9"/>
      <c r="RP512" s="9"/>
      <c r="RQ512" s="9"/>
      <c r="RR512" s="9"/>
      <c r="RS512" s="9"/>
      <c r="RT512" s="9"/>
      <c r="RU512" s="9"/>
      <c r="RV512" s="9"/>
      <c r="RW512" s="9"/>
      <c r="RX512" s="9"/>
      <c r="RY512" s="9"/>
      <c r="RZ512" s="9"/>
      <c r="SA512" s="9"/>
      <c r="SB512" s="9"/>
      <c r="SC512" s="9"/>
      <c r="SD512" s="9"/>
      <c r="SE512" s="9"/>
      <c r="SF512" s="9"/>
      <c r="SG512" s="9"/>
      <c r="SH512" s="9"/>
      <c r="SI512" s="9"/>
      <c r="SJ512" s="9"/>
      <c r="SK512" s="9"/>
      <c r="SL512" s="9"/>
      <c r="SM512" s="9"/>
      <c r="SN512" s="9"/>
      <c r="SO512" s="9"/>
      <c r="SP512" s="9"/>
      <c r="SQ512" s="9"/>
      <c r="SR512" s="9"/>
      <c r="SS512" s="9"/>
      <c r="ST512" s="9"/>
      <c r="SU512" s="9"/>
      <c r="SV512" s="9"/>
      <c r="SW512" s="9"/>
      <c r="SX512" s="9"/>
      <c r="SY512" s="9"/>
      <c r="SZ512" s="9"/>
      <c r="TA512" s="9"/>
      <c r="TB512" s="9"/>
      <c r="TC512" s="9"/>
      <c r="TD512" s="9"/>
      <c r="TE512" s="9"/>
      <c r="TF512" s="9"/>
      <c r="TG512" s="9"/>
      <c r="TH512" s="9"/>
      <c r="TI512" s="9"/>
      <c r="TJ512" s="9"/>
      <c r="TK512" s="9"/>
      <c r="TL512" s="9"/>
      <c r="TM512" s="9"/>
      <c r="TN512" s="9"/>
      <c r="TO512" s="9"/>
      <c r="TP512" s="9"/>
      <c r="TQ512" s="9"/>
      <c r="TR512" s="9"/>
      <c r="TS512" s="9"/>
      <c r="TT512" s="9"/>
      <c r="TU512" s="9"/>
      <c r="TV512" s="9"/>
      <c r="TW512" s="9"/>
      <c r="TX512" s="9"/>
      <c r="TY512" s="9"/>
      <c r="TZ512" s="9"/>
      <c r="UA512" s="9"/>
      <c r="UB512" s="9"/>
      <c r="UC512" s="9"/>
      <c r="UD512" s="9"/>
      <c r="UE512" s="9"/>
      <c r="UF512" s="9"/>
      <c r="UG512" s="9"/>
      <c r="UH512" s="9"/>
      <c r="UI512" s="9"/>
      <c r="UJ512" s="9"/>
    </row>
    <row r="513">
      <c r="A513" s="8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  <c r="JG513" s="9"/>
      <c r="JH513" s="9"/>
      <c r="JI513" s="9"/>
      <c r="JJ513" s="9"/>
      <c r="JK513" s="9"/>
      <c r="JL513" s="9"/>
      <c r="JM513" s="9"/>
      <c r="JN513" s="9"/>
      <c r="JO513" s="9"/>
      <c r="JP513" s="9"/>
      <c r="JQ513" s="9"/>
      <c r="JR513" s="9"/>
      <c r="JS513" s="9"/>
      <c r="JT513" s="9"/>
      <c r="JU513" s="9"/>
      <c r="JV513" s="9"/>
      <c r="JW513" s="9"/>
      <c r="JX513" s="9"/>
      <c r="JY513" s="9"/>
      <c r="JZ513" s="9"/>
      <c r="KA513" s="9"/>
      <c r="KB513" s="9"/>
      <c r="KC513" s="9"/>
      <c r="KD513" s="9"/>
      <c r="KE513" s="9"/>
      <c r="KF513" s="9"/>
      <c r="KG513" s="9"/>
      <c r="KH513" s="9"/>
      <c r="KI513" s="9"/>
      <c r="KJ513" s="9"/>
      <c r="KK513" s="9"/>
      <c r="KL513" s="9"/>
      <c r="KM513" s="9"/>
      <c r="KN513" s="9"/>
      <c r="KO513" s="9"/>
      <c r="KP513" s="9"/>
      <c r="KQ513" s="9"/>
      <c r="KR513" s="9"/>
      <c r="KS513" s="9"/>
      <c r="KT513" s="9"/>
      <c r="KU513" s="9"/>
      <c r="KV513" s="9"/>
      <c r="KW513" s="9"/>
      <c r="KX513" s="9"/>
      <c r="KY513" s="9"/>
      <c r="KZ513" s="9"/>
      <c r="LA513" s="9"/>
      <c r="LB513" s="9"/>
      <c r="LC513" s="9"/>
      <c r="LD513" s="9"/>
      <c r="LE513" s="9"/>
      <c r="LF513" s="9"/>
      <c r="LG513" s="9"/>
      <c r="LH513" s="9"/>
      <c r="LI513" s="9"/>
      <c r="LJ513" s="9"/>
      <c r="LK513" s="9"/>
      <c r="LL513" s="9"/>
      <c r="LM513" s="9"/>
      <c r="LN513" s="9"/>
      <c r="LO513" s="9"/>
      <c r="LP513" s="9"/>
      <c r="LQ513" s="9"/>
      <c r="LR513" s="9"/>
      <c r="LS513" s="9"/>
      <c r="LT513" s="9"/>
      <c r="LU513" s="9"/>
      <c r="LV513" s="9"/>
      <c r="LW513" s="9"/>
      <c r="LX513" s="9"/>
      <c r="LY513" s="9"/>
      <c r="LZ513" s="9"/>
      <c r="MA513" s="9"/>
      <c r="MB513" s="9"/>
      <c r="MC513" s="9"/>
      <c r="MD513" s="9"/>
      <c r="ME513" s="9"/>
      <c r="MF513" s="9"/>
      <c r="MG513" s="9"/>
      <c r="MH513" s="9"/>
      <c r="MI513" s="9"/>
      <c r="MJ513" s="9"/>
      <c r="MK513" s="9"/>
      <c r="ML513" s="9"/>
      <c r="MM513" s="9"/>
      <c r="MN513" s="9"/>
      <c r="MO513" s="9"/>
      <c r="MP513" s="9"/>
      <c r="MQ513" s="9"/>
      <c r="MR513" s="9"/>
      <c r="MS513" s="9"/>
      <c r="MT513" s="9"/>
      <c r="MU513" s="9"/>
      <c r="MV513" s="9"/>
      <c r="MW513" s="9"/>
      <c r="MX513" s="9"/>
      <c r="MY513" s="9"/>
      <c r="MZ513" s="9"/>
      <c r="NA513" s="9"/>
      <c r="NB513" s="9"/>
      <c r="NC513" s="9"/>
      <c r="ND513" s="9"/>
      <c r="NE513" s="9"/>
      <c r="NF513" s="9"/>
      <c r="NG513" s="9"/>
      <c r="NH513" s="9"/>
      <c r="NI513" s="9"/>
      <c r="NJ513" s="9"/>
      <c r="NK513" s="9"/>
      <c r="NL513" s="9"/>
      <c r="NM513" s="9"/>
      <c r="NN513" s="9"/>
      <c r="NO513" s="9"/>
      <c r="NP513" s="9"/>
      <c r="NQ513" s="9"/>
      <c r="NR513" s="9"/>
      <c r="NS513" s="9"/>
      <c r="NT513" s="9"/>
      <c r="NU513" s="9"/>
      <c r="NV513" s="9"/>
      <c r="NW513" s="9"/>
      <c r="NX513" s="9"/>
      <c r="NY513" s="9"/>
      <c r="NZ513" s="9"/>
      <c r="OA513" s="9"/>
      <c r="OB513" s="9"/>
      <c r="OC513" s="9"/>
      <c r="OD513" s="9"/>
      <c r="OE513" s="9"/>
      <c r="OF513" s="9"/>
      <c r="OG513" s="9"/>
      <c r="OH513" s="9"/>
      <c r="OI513" s="9"/>
      <c r="OJ513" s="9"/>
      <c r="OK513" s="9"/>
      <c r="OL513" s="9"/>
      <c r="OM513" s="9"/>
      <c r="ON513" s="9"/>
      <c r="OO513" s="9"/>
      <c r="OP513" s="9"/>
      <c r="OQ513" s="9"/>
      <c r="OR513" s="9"/>
      <c r="OS513" s="9"/>
      <c r="OT513" s="9"/>
      <c r="OU513" s="9"/>
      <c r="OV513" s="9"/>
      <c r="OW513" s="9"/>
      <c r="OX513" s="9"/>
      <c r="OY513" s="9"/>
      <c r="OZ513" s="9"/>
      <c r="PA513" s="9"/>
      <c r="PB513" s="9"/>
      <c r="PC513" s="9"/>
      <c r="PD513" s="9"/>
      <c r="PE513" s="9"/>
      <c r="PF513" s="9"/>
      <c r="PG513" s="9"/>
      <c r="PH513" s="9"/>
      <c r="PI513" s="9"/>
      <c r="PJ513" s="9"/>
      <c r="PK513" s="9"/>
      <c r="PL513" s="9"/>
      <c r="PM513" s="9"/>
      <c r="PN513" s="9"/>
      <c r="PO513" s="9"/>
      <c r="PP513" s="9"/>
      <c r="PQ513" s="9"/>
      <c r="PR513" s="9"/>
      <c r="PS513" s="9"/>
      <c r="PT513" s="9"/>
      <c r="PU513" s="9"/>
      <c r="PV513" s="9"/>
      <c r="PW513" s="9"/>
      <c r="PX513" s="9"/>
      <c r="PY513" s="9"/>
      <c r="PZ513" s="9"/>
      <c r="QA513" s="9"/>
      <c r="QB513" s="9"/>
      <c r="QC513" s="9"/>
      <c r="QD513" s="9"/>
      <c r="QE513" s="9"/>
      <c r="QF513" s="9"/>
      <c r="QG513" s="9"/>
      <c r="QH513" s="9"/>
      <c r="QI513" s="9"/>
      <c r="QJ513" s="9"/>
      <c r="QK513" s="9"/>
      <c r="QL513" s="9"/>
      <c r="QM513" s="9"/>
      <c r="QN513" s="9"/>
      <c r="QO513" s="9"/>
      <c r="QP513" s="9"/>
      <c r="QQ513" s="9"/>
      <c r="QR513" s="9"/>
      <c r="QS513" s="9"/>
      <c r="QT513" s="9"/>
      <c r="QU513" s="9"/>
      <c r="QV513" s="9"/>
      <c r="QW513" s="9"/>
      <c r="QX513" s="9"/>
      <c r="QY513" s="9"/>
      <c r="QZ513" s="9"/>
      <c r="RA513" s="9"/>
      <c r="RB513" s="9"/>
      <c r="RC513" s="9"/>
      <c r="RD513" s="9"/>
      <c r="RE513" s="9"/>
      <c r="RF513" s="9"/>
      <c r="RG513" s="9"/>
      <c r="RH513" s="9"/>
      <c r="RI513" s="9"/>
      <c r="RJ513" s="9"/>
      <c r="RK513" s="9"/>
      <c r="RL513" s="9"/>
      <c r="RM513" s="9"/>
      <c r="RN513" s="9"/>
      <c r="RO513" s="9"/>
      <c r="RP513" s="9"/>
      <c r="RQ513" s="9"/>
      <c r="RR513" s="9"/>
      <c r="RS513" s="9"/>
      <c r="RT513" s="9"/>
      <c r="RU513" s="9"/>
      <c r="RV513" s="9"/>
      <c r="RW513" s="9"/>
      <c r="RX513" s="9"/>
      <c r="RY513" s="9"/>
      <c r="RZ513" s="9"/>
      <c r="SA513" s="9"/>
      <c r="SB513" s="9"/>
      <c r="SC513" s="9"/>
      <c r="SD513" s="9"/>
      <c r="SE513" s="9"/>
      <c r="SF513" s="9"/>
      <c r="SG513" s="9"/>
      <c r="SH513" s="9"/>
      <c r="SI513" s="9"/>
      <c r="SJ513" s="9"/>
      <c r="SK513" s="9"/>
      <c r="SL513" s="9"/>
      <c r="SM513" s="9"/>
      <c r="SN513" s="9"/>
      <c r="SO513" s="9"/>
      <c r="SP513" s="9"/>
      <c r="SQ513" s="9"/>
      <c r="SR513" s="9"/>
      <c r="SS513" s="9"/>
      <c r="ST513" s="9"/>
      <c r="SU513" s="9"/>
      <c r="SV513" s="9"/>
      <c r="SW513" s="9"/>
      <c r="SX513" s="9"/>
      <c r="SY513" s="9"/>
      <c r="SZ513" s="9"/>
      <c r="TA513" s="9"/>
      <c r="TB513" s="9"/>
      <c r="TC513" s="9"/>
      <c r="TD513" s="9"/>
      <c r="TE513" s="9"/>
      <c r="TF513" s="9"/>
      <c r="TG513" s="9"/>
      <c r="TH513" s="9"/>
      <c r="TI513" s="9"/>
      <c r="TJ513" s="9"/>
      <c r="TK513" s="9"/>
      <c r="TL513" s="9"/>
      <c r="TM513" s="9"/>
      <c r="TN513" s="9"/>
      <c r="TO513" s="9"/>
      <c r="TP513" s="9"/>
      <c r="TQ513" s="9"/>
      <c r="TR513" s="9"/>
      <c r="TS513" s="9"/>
      <c r="TT513" s="9"/>
      <c r="TU513" s="9"/>
      <c r="TV513" s="9"/>
      <c r="TW513" s="9"/>
      <c r="TX513" s="9"/>
      <c r="TY513" s="9"/>
      <c r="TZ513" s="9"/>
      <c r="UA513" s="9"/>
      <c r="UB513" s="9"/>
      <c r="UC513" s="9"/>
      <c r="UD513" s="9"/>
      <c r="UE513" s="9"/>
      <c r="UF513" s="9"/>
      <c r="UG513" s="9"/>
      <c r="UH513" s="9"/>
      <c r="UI513" s="9"/>
      <c r="UJ513" s="9"/>
    </row>
    <row r="514">
      <c r="A514" s="8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  <c r="IC514" s="9"/>
      <c r="ID514" s="9"/>
      <c r="IE514" s="9"/>
      <c r="IF514" s="9"/>
      <c r="IG514" s="9"/>
      <c r="IH514" s="9"/>
      <c r="II514" s="9"/>
      <c r="IJ514" s="9"/>
      <c r="IK514" s="9"/>
      <c r="IL514" s="9"/>
      <c r="IM514" s="9"/>
      <c r="IN514" s="9"/>
      <c r="IO514" s="9"/>
      <c r="IP514" s="9"/>
      <c r="IQ514" s="9"/>
      <c r="IR514" s="9"/>
      <c r="IS514" s="9"/>
      <c r="IT514" s="9"/>
      <c r="IU514" s="9"/>
      <c r="IV514" s="9"/>
      <c r="IW514" s="9"/>
      <c r="IX514" s="9"/>
      <c r="IY514" s="9"/>
      <c r="IZ514" s="9"/>
      <c r="JA514" s="9"/>
      <c r="JB514" s="9"/>
      <c r="JC514" s="9"/>
      <c r="JD514" s="9"/>
      <c r="JE514" s="9"/>
      <c r="JF514" s="9"/>
      <c r="JG514" s="9"/>
      <c r="JH514" s="9"/>
      <c r="JI514" s="9"/>
      <c r="JJ514" s="9"/>
      <c r="JK514" s="9"/>
      <c r="JL514" s="9"/>
      <c r="JM514" s="9"/>
      <c r="JN514" s="9"/>
      <c r="JO514" s="9"/>
      <c r="JP514" s="9"/>
      <c r="JQ514" s="9"/>
      <c r="JR514" s="9"/>
      <c r="JS514" s="9"/>
      <c r="JT514" s="9"/>
      <c r="JU514" s="9"/>
      <c r="JV514" s="9"/>
      <c r="JW514" s="9"/>
      <c r="JX514" s="9"/>
      <c r="JY514" s="9"/>
      <c r="JZ514" s="9"/>
      <c r="KA514" s="9"/>
      <c r="KB514" s="9"/>
      <c r="KC514" s="9"/>
      <c r="KD514" s="9"/>
      <c r="KE514" s="9"/>
      <c r="KF514" s="9"/>
      <c r="KG514" s="9"/>
      <c r="KH514" s="9"/>
      <c r="KI514" s="9"/>
      <c r="KJ514" s="9"/>
      <c r="KK514" s="9"/>
      <c r="KL514" s="9"/>
      <c r="KM514" s="9"/>
      <c r="KN514" s="9"/>
      <c r="KO514" s="9"/>
      <c r="KP514" s="9"/>
      <c r="KQ514" s="9"/>
      <c r="KR514" s="9"/>
      <c r="KS514" s="9"/>
      <c r="KT514" s="9"/>
      <c r="KU514" s="9"/>
      <c r="KV514" s="9"/>
      <c r="KW514" s="9"/>
      <c r="KX514" s="9"/>
      <c r="KY514" s="9"/>
      <c r="KZ514" s="9"/>
      <c r="LA514" s="9"/>
      <c r="LB514" s="9"/>
      <c r="LC514" s="9"/>
      <c r="LD514" s="9"/>
      <c r="LE514" s="9"/>
      <c r="LF514" s="9"/>
      <c r="LG514" s="9"/>
      <c r="LH514" s="9"/>
      <c r="LI514" s="9"/>
      <c r="LJ514" s="9"/>
      <c r="LK514" s="9"/>
      <c r="LL514" s="9"/>
      <c r="LM514" s="9"/>
      <c r="LN514" s="9"/>
      <c r="LO514" s="9"/>
      <c r="LP514" s="9"/>
      <c r="LQ514" s="9"/>
      <c r="LR514" s="9"/>
      <c r="LS514" s="9"/>
      <c r="LT514" s="9"/>
      <c r="LU514" s="9"/>
      <c r="LV514" s="9"/>
      <c r="LW514" s="9"/>
      <c r="LX514" s="9"/>
      <c r="LY514" s="9"/>
      <c r="LZ514" s="9"/>
      <c r="MA514" s="9"/>
      <c r="MB514" s="9"/>
      <c r="MC514" s="9"/>
      <c r="MD514" s="9"/>
      <c r="ME514" s="9"/>
      <c r="MF514" s="9"/>
      <c r="MG514" s="9"/>
      <c r="MH514" s="9"/>
      <c r="MI514" s="9"/>
      <c r="MJ514" s="9"/>
      <c r="MK514" s="9"/>
      <c r="ML514" s="9"/>
      <c r="MM514" s="9"/>
      <c r="MN514" s="9"/>
      <c r="MO514" s="9"/>
      <c r="MP514" s="9"/>
      <c r="MQ514" s="9"/>
      <c r="MR514" s="9"/>
      <c r="MS514" s="9"/>
      <c r="MT514" s="9"/>
      <c r="MU514" s="9"/>
      <c r="MV514" s="9"/>
      <c r="MW514" s="9"/>
      <c r="MX514" s="9"/>
      <c r="MY514" s="9"/>
      <c r="MZ514" s="9"/>
      <c r="NA514" s="9"/>
      <c r="NB514" s="9"/>
      <c r="NC514" s="9"/>
      <c r="ND514" s="9"/>
      <c r="NE514" s="9"/>
      <c r="NF514" s="9"/>
      <c r="NG514" s="9"/>
      <c r="NH514" s="9"/>
      <c r="NI514" s="9"/>
      <c r="NJ514" s="9"/>
      <c r="NK514" s="9"/>
      <c r="NL514" s="9"/>
      <c r="NM514" s="9"/>
      <c r="NN514" s="9"/>
      <c r="NO514" s="9"/>
      <c r="NP514" s="9"/>
      <c r="NQ514" s="9"/>
      <c r="NR514" s="9"/>
      <c r="NS514" s="9"/>
      <c r="NT514" s="9"/>
      <c r="NU514" s="9"/>
      <c r="NV514" s="9"/>
      <c r="NW514" s="9"/>
      <c r="NX514" s="9"/>
      <c r="NY514" s="9"/>
      <c r="NZ514" s="9"/>
      <c r="OA514" s="9"/>
      <c r="OB514" s="9"/>
      <c r="OC514" s="9"/>
      <c r="OD514" s="9"/>
      <c r="OE514" s="9"/>
      <c r="OF514" s="9"/>
      <c r="OG514" s="9"/>
      <c r="OH514" s="9"/>
      <c r="OI514" s="9"/>
      <c r="OJ514" s="9"/>
      <c r="OK514" s="9"/>
      <c r="OL514" s="9"/>
      <c r="OM514" s="9"/>
      <c r="ON514" s="9"/>
      <c r="OO514" s="9"/>
      <c r="OP514" s="9"/>
      <c r="OQ514" s="9"/>
      <c r="OR514" s="9"/>
      <c r="OS514" s="9"/>
      <c r="OT514" s="9"/>
      <c r="OU514" s="9"/>
      <c r="OV514" s="9"/>
      <c r="OW514" s="9"/>
      <c r="OX514" s="9"/>
      <c r="OY514" s="9"/>
      <c r="OZ514" s="9"/>
      <c r="PA514" s="9"/>
      <c r="PB514" s="9"/>
      <c r="PC514" s="9"/>
      <c r="PD514" s="9"/>
      <c r="PE514" s="9"/>
      <c r="PF514" s="9"/>
      <c r="PG514" s="9"/>
      <c r="PH514" s="9"/>
      <c r="PI514" s="9"/>
      <c r="PJ514" s="9"/>
      <c r="PK514" s="9"/>
      <c r="PL514" s="9"/>
      <c r="PM514" s="9"/>
      <c r="PN514" s="9"/>
      <c r="PO514" s="9"/>
      <c r="PP514" s="9"/>
      <c r="PQ514" s="9"/>
      <c r="PR514" s="9"/>
      <c r="PS514" s="9"/>
      <c r="PT514" s="9"/>
      <c r="PU514" s="9"/>
      <c r="PV514" s="9"/>
      <c r="PW514" s="9"/>
      <c r="PX514" s="9"/>
      <c r="PY514" s="9"/>
      <c r="PZ514" s="9"/>
      <c r="QA514" s="9"/>
      <c r="QB514" s="9"/>
      <c r="QC514" s="9"/>
      <c r="QD514" s="9"/>
      <c r="QE514" s="9"/>
      <c r="QF514" s="9"/>
      <c r="QG514" s="9"/>
      <c r="QH514" s="9"/>
      <c r="QI514" s="9"/>
      <c r="QJ514" s="9"/>
      <c r="QK514" s="9"/>
      <c r="QL514" s="9"/>
      <c r="QM514" s="9"/>
      <c r="QN514" s="9"/>
      <c r="QO514" s="9"/>
      <c r="QP514" s="9"/>
      <c r="QQ514" s="9"/>
      <c r="QR514" s="9"/>
      <c r="QS514" s="9"/>
      <c r="QT514" s="9"/>
      <c r="QU514" s="9"/>
      <c r="QV514" s="9"/>
      <c r="QW514" s="9"/>
      <c r="QX514" s="9"/>
      <c r="QY514" s="9"/>
      <c r="QZ514" s="9"/>
      <c r="RA514" s="9"/>
      <c r="RB514" s="9"/>
      <c r="RC514" s="9"/>
      <c r="RD514" s="9"/>
      <c r="RE514" s="9"/>
      <c r="RF514" s="9"/>
      <c r="RG514" s="9"/>
      <c r="RH514" s="9"/>
      <c r="RI514" s="9"/>
      <c r="RJ514" s="9"/>
      <c r="RK514" s="9"/>
      <c r="RL514" s="9"/>
      <c r="RM514" s="9"/>
      <c r="RN514" s="9"/>
      <c r="RO514" s="9"/>
      <c r="RP514" s="9"/>
      <c r="RQ514" s="9"/>
      <c r="RR514" s="9"/>
      <c r="RS514" s="9"/>
      <c r="RT514" s="9"/>
      <c r="RU514" s="9"/>
      <c r="RV514" s="9"/>
      <c r="RW514" s="9"/>
      <c r="RX514" s="9"/>
      <c r="RY514" s="9"/>
      <c r="RZ514" s="9"/>
      <c r="SA514" s="9"/>
      <c r="SB514" s="9"/>
      <c r="SC514" s="9"/>
      <c r="SD514" s="9"/>
      <c r="SE514" s="9"/>
      <c r="SF514" s="9"/>
      <c r="SG514" s="9"/>
      <c r="SH514" s="9"/>
      <c r="SI514" s="9"/>
      <c r="SJ514" s="9"/>
      <c r="SK514" s="9"/>
      <c r="SL514" s="9"/>
      <c r="SM514" s="9"/>
      <c r="SN514" s="9"/>
      <c r="SO514" s="9"/>
      <c r="SP514" s="9"/>
      <c r="SQ514" s="9"/>
      <c r="SR514" s="9"/>
      <c r="SS514" s="9"/>
      <c r="ST514" s="9"/>
      <c r="SU514" s="9"/>
      <c r="SV514" s="9"/>
      <c r="SW514" s="9"/>
      <c r="SX514" s="9"/>
      <c r="SY514" s="9"/>
      <c r="SZ514" s="9"/>
      <c r="TA514" s="9"/>
      <c r="TB514" s="9"/>
      <c r="TC514" s="9"/>
      <c r="TD514" s="9"/>
      <c r="TE514" s="9"/>
      <c r="TF514" s="9"/>
      <c r="TG514" s="9"/>
      <c r="TH514" s="9"/>
      <c r="TI514" s="9"/>
      <c r="TJ514" s="9"/>
      <c r="TK514" s="9"/>
      <c r="TL514" s="9"/>
      <c r="TM514" s="9"/>
      <c r="TN514" s="9"/>
      <c r="TO514" s="9"/>
      <c r="TP514" s="9"/>
      <c r="TQ514" s="9"/>
      <c r="TR514" s="9"/>
      <c r="TS514" s="9"/>
      <c r="TT514" s="9"/>
      <c r="TU514" s="9"/>
      <c r="TV514" s="9"/>
      <c r="TW514" s="9"/>
      <c r="TX514" s="9"/>
      <c r="TY514" s="9"/>
      <c r="TZ514" s="9"/>
      <c r="UA514" s="9"/>
      <c r="UB514" s="9"/>
      <c r="UC514" s="9"/>
      <c r="UD514" s="9"/>
      <c r="UE514" s="9"/>
      <c r="UF514" s="9"/>
      <c r="UG514" s="9"/>
      <c r="UH514" s="9"/>
      <c r="UI514" s="9"/>
      <c r="UJ514" s="9"/>
    </row>
    <row r="515">
      <c r="A515" s="8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</row>
    <row r="516">
      <c r="A516" s="8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</row>
    <row r="517">
      <c r="A517" s="8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  <c r="HZ517" s="9"/>
      <c r="IA517" s="9"/>
      <c r="IB517" s="9"/>
      <c r="IC517" s="9"/>
      <c r="ID517" s="9"/>
      <c r="IE517" s="9"/>
      <c r="IF517" s="9"/>
      <c r="IG517" s="9"/>
      <c r="IH517" s="9"/>
      <c r="II517" s="9"/>
      <c r="IJ517" s="9"/>
      <c r="IK517" s="9"/>
      <c r="IL517" s="9"/>
      <c r="IM517" s="9"/>
      <c r="IN517" s="9"/>
      <c r="IO517" s="9"/>
      <c r="IP517" s="9"/>
      <c r="IQ517" s="9"/>
      <c r="IR517" s="9"/>
      <c r="IS517" s="9"/>
      <c r="IT517" s="9"/>
      <c r="IU517" s="9"/>
      <c r="IV517" s="9"/>
      <c r="IW517" s="9"/>
      <c r="IX517" s="9"/>
      <c r="IY517" s="9"/>
      <c r="IZ517" s="9"/>
      <c r="JA517" s="9"/>
      <c r="JB517" s="9"/>
      <c r="JC517" s="9"/>
      <c r="JD517" s="9"/>
      <c r="JE517" s="9"/>
      <c r="JF517" s="9"/>
      <c r="JG517" s="9"/>
      <c r="JH517" s="9"/>
      <c r="JI517" s="9"/>
      <c r="JJ517" s="9"/>
      <c r="JK517" s="9"/>
      <c r="JL517" s="9"/>
      <c r="JM517" s="9"/>
      <c r="JN517" s="9"/>
      <c r="JO517" s="9"/>
      <c r="JP517" s="9"/>
      <c r="JQ517" s="9"/>
      <c r="JR517" s="9"/>
      <c r="JS517" s="9"/>
      <c r="JT517" s="9"/>
      <c r="JU517" s="9"/>
      <c r="JV517" s="9"/>
      <c r="JW517" s="9"/>
      <c r="JX517" s="9"/>
      <c r="JY517" s="9"/>
      <c r="JZ517" s="9"/>
      <c r="KA517" s="9"/>
      <c r="KB517" s="9"/>
      <c r="KC517" s="9"/>
      <c r="KD517" s="9"/>
      <c r="KE517" s="9"/>
      <c r="KF517" s="9"/>
      <c r="KG517" s="9"/>
      <c r="KH517" s="9"/>
      <c r="KI517" s="9"/>
      <c r="KJ517" s="9"/>
      <c r="KK517" s="9"/>
      <c r="KL517" s="9"/>
      <c r="KM517" s="9"/>
      <c r="KN517" s="9"/>
      <c r="KO517" s="9"/>
      <c r="KP517" s="9"/>
      <c r="KQ517" s="9"/>
      <c r="KR517" s="9"/>
      <c r="KS517" s="9"/>
      <c r="KT517" s="9"/>
      <c r="KU517" s="9"/>
      <c r="KV517" s="9"/>
      <c r="KW517" s="9"/>
      <c r="KX517" s="9"/>
      <c r="KY517" s="9"/>
      <c r="KZ517" s="9"/>
      <c r="LA517" s="9"/>
      <c r="LB517" s="9"/>
      <c r="LC517" s="9"/>
      <c r="LD517" s="9"/>
      <c r="LE517" s="9"/>
      <c r="LF517" s="9"/>
      <c r="LG517" s="9"/>
      <c r="LH517" s="9"/>
      <c r="LI517" s="9"/>
      <c r="LJ517" s="9"/>
      <c r="LK517" s="9"/>
      <c r="LL517" s="9"/>
      <c r="LM517" s="9"/>
      <c r="LN517" s="9"/>
      <c r="LO517" s="9"/>
      <c r="LP517" s="9"/>
      <c r="LQ517" s="9"/>
      <c r="LR517" s="9"/>
      <c r="LS517" s="9"/>
      <c r="LT517" s="9"/>
      <c r="LU517" s="9"/>
      <c r="LV517" s="9"/>
      <c r="LW517" s="9"/>
      <c r="LX517" s="9"/>
      <c r="LY517" s="9"/>
      <c r="LZ517" s="9"/>
      <c r="MA517" s="9"/>
      <c r="MB517" s="9"/>
      <c r="MC517" s="9"/>
      <c r="MD517" s="9"/>
      <c r="ME517" s="9"/>
      <c r="MF517" s="9"/>
      <c r="MG517" s="9"/>
      <c r="MH517" s="9"/>
      <c r="MI517" s="9"/>
      <c r="MJ517" s="9"/>
      <c r="MK517" s="9"/>
      <c r="ML517" s="9"/>
      <c r="MM517" s="9"/>
      <c r="MN517" s="9"/>
      <c r="MO517" s="9"/>
      <c r="MP517" s="9"/>
      <c r="MQ517" s="9"/>
      <c r="MR517" s="9"/>
      <c r="MS517" s="9"/>
      <c r="MT517" s="9"/>
      <c r="MU517" s="9"/>
      <c r="MV517" s="9"/>
      <c r="MW517" s="9"/>
      <c r="MX517" s="9"/>
      <c r="MY517" s="9"/>
      <c r="MZ517" s="9"/>
      <c r="NA517" s="9"/>
      <c r="NB517" s="9"/>
      <c r="NC517" s="9"/>
      <c r="ND517" s="9"/>
      <c r="NE517" s="9"/>
      <c r="NF517" s="9"/>
      <c r="NG517" s="9"/>
      <c r="NH517" s="9"/>
      <c r="NI517" s="9"/>
      <c r="NJ517" s="9"/>
      <c r="NK517" s="9"/>
      <c r="NL517" s="9"/>
      <c r="NM517" s="9"/>
      <c r="NN517" s="9"/>
      <c r="NO517" s="9"/>
      <c r="NP517" s="9"/>
      <c r="NQ517" s="9"/>
      <c r="NR517" s="9"/>
      <c r="NS517" s="9"/>
      <c r="NT517" s="9"/>
      <c r="NU517" s="9"/>
      <c r="NV517" s="9"/>
      <c r="NW517" s="9"/>
      <c r="NX517" s="9"/>
      <c r="NY517" s="9"/>
      <c r="NZ517" s="9"/>
      <c r="OA517" s="9"/>
      <c r="OB517" s="9"/>
      <c r="OC517" s="9"/>
      <c r="OD517" s="9"/>
      <c r="OE517" s="9"/>
      <c r="OF517" s="9"/>
      <c r="OG517" s="9"/>
      <c r="OH517" s="9"/>
      <c r="OI517" s="9"/>
      <c r="OJ517" s="9"/>
      <c r="OK517" s="9"/>
      <c r="OL517" s="9"/>
      <c r="OM517" s="9"/>
      <c r="ON517" s="9"/>
      <c r="OO517" s="9"/>
      <c r="OP517" s="9"/>
      <c r="OQ517" s="9"/>
      <c r="OR517" s="9"/>
      <c r="OS517" s="9"/>
      <c r="OT517" s="9"/>
      <c r="OU517" s="9"/>
      <c r="OV517" s="9"/>
      <c r="OW517" s="9"/>
      <c r="OX517" s="9"/>
      <c r="OY517" s="9"/>
      <c r="OZ517" s="9"/>
      <c r="PA517" s="9"/>
      <c r="PB517" s="9"/>
      <c r="PC517" s="9"/>
      <c r="PD517" s="9"/>
      <c r="PE517" s="9"/>
      <c r="PF517" s="9"/>
      <c r="PG517" s="9"/>
      <c r="PH517" s="9"/>
      <c r="PI517" s="9"/>
      <c r="PJ517" s="9"/>
      <c r="PK517" s="9"/>
      <c r="PL517" s="9"/>
      <c r="PM517" s="9"/>
      <c r="PN517" s="9"/>
      <c r="PO517" s="9"/>
      <c r="PP517" s="9"/>
      <c r="PQ517" s="9"/>
      <c r="PR517" s="9"/>
      <c r="PS517" s="9"/>
      <c r="PT517" s="9"/>
      <c r="PU517" s="9"/>
      <c r="PV517" s="9"/>
      <c r="PW517" s="9"/>
      <c r="PX517" s="9"/>
      <c r="PY517" s="9"/>
      <c r="PZ517" s="9"/>
      <c r="QA517" s="9"/>
      <c r="QB517" s="9"/>
      <c r="QC517" s="9"/>
      <c r="QD517" s="9"/>
      <c r="QE517" s="9"/>
      <c r="QF517" s="9"/>
      <c r="QG517" s="9"/>
      <c r="QH517" s="9"/>
      <c r="QI517" s="9"/>
      <c r="QJ517" s="9"/>
      <c r="QK517" s="9"/>
      <c r="QL517" s="9"/>
      <c r="QM517" s="9"/>
      <c r="QN517" s="9"/>
      <c r="QO517" s="9"/>
      <c r="QP517" s="9"/>
      <c r="QQ517" s="9"/>
      <c r="QR517" s="9"/>
      <c r="QS517" s="9"/>
      <c r="QT517" s="9"/>
      <c r="QU517" s="9"/>
      <c r="QV517" s="9"/>
      <c r="QW517" s="9"/>
      <c r="QX517" s="9"/>
      <c r="QY517" s="9"/>
      <c r="QZ517" s="9"/>
      <c r="RA517" s="9"/>
      <c r="RB517" s="9"/>
      <c r="RC517" s="9"/>
      <c r="RD517" s="9"/>
      <c r="RE517" s="9"/>
      <c r="RF517" s="9"/>
      <c r="RG517" s="9"/>
      <c r="RH517" s="9"/>
      <c r="RI517" s="9"/>
      <c r="RJ517" s="9"/>
      <c r="RK517" s="9"/>
      <c r="RL517" s="9"/>
      <c r="RM517" s="9"/>
      <c r="RN517" s="9"/>
      <c r="RO517" s="9"/>
      <c r="RP517" s="9"/>
      <c r="RQ517" s="9"/>
      <c r="RR517" s="9"/>
      <c r="RS517" s="9"/>
      <c r="RT517" s="9"/>
      <c r="RU517" s="9"/>
      <c r="RV517" s="9"/>
      <c r="RW517" s="9"/>
      <c r="RX517" s="9"/>
      <c r="RY517" s="9"/>
      <c r="RZ517" s="9"/>
      <c r="SA517" s="9"/>
      <c r="SB517" s="9"/>
      <c r="SC517" s="9"/>
      <c r="SD517" s="9"/>
      <c r="SE517" s="9"/>
      <c r="SF517" s="9"/>
      <c r="SG517" s="9"/>
      <c r="SH517" s="9"/>
      <c r="SI517" s="9"/>
      <c r="SJ517" s="9"/>
      <c r="SK517" s="9"/>
      <c r="SL517" s="9"/>
      <c r="SM517" s="9"/>
      <c r="SN517" s="9"/>
      <c r="SO517" s="9"/>
      <c r="SP517" s="9"/>
      <c r="SQ517" s="9"/>
      <c r="SR517" s="9"/>
      <c r="SS517" s="9"/>
      <c r="ST517" s="9"/>
      <c r="SU517" s="9"/>
      <c r="SV517" s="9"/>
      <c r="SW517" s="9"/>
      <c r="SX517" s="9"/>
      <c r="SY517" s="9"/>
      <c r="SZ517" s="9"/>
      <c r="TA517" s="9"/>
      <c r="TB517" s="9"/>
      <c r="TC517" s="9"/>
      <c r="TD517" s="9"/>
      <c r="TE517" s="9"/>
      <c r="TF517" s="9"/>
      <c r="TG517" s="9"/>
      <c r="TH517" s="9"/>
      <c r="TI517" s="9"/>
      <c r="TJ517" s="9"/>
      <c r="TK517" s="9"/>
      <c r="TL517" s="9"/>
      <c r="TM517" s="9"/>
      <c r="TN517" s="9"/>
      <c r="TO517" s="9"/>
      <c r="TP517" s="9"/>
      <c r="TQ517" s="9"/>
      <c r="TR517" s="9"/>
      <c r="TS517" s="9"/>
      <c r="TT517" s="9"/>
      <c r="TU517" s="9"/>
      <c r="TV517" s="9"/>
      <c r="TW517" s="9"/>
      <c r="TX517" s="9"/>
      <c r="TY517" s="9"/>
      <c r="TZ517" s="9"/>
      <c r="UA517" s="9"/>
      <c r="UB517" s="9"/>
      <c r="UC517" s="9"/>
      <c r="UD517" s="9"/>
      <c r="UE517" s="9"/>
      <c r="UF517" s="9"/>
      <c r="UG517" s="9"/>
      <c r="UH517" s="9"/>
      <c r="UI517" s="9"/>
      <c r="UJ517" s="9"/>
    </row>
    <row r="518">
      <c r="A518" s="8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  <c r="IN518" s="9"/>
      <c r="IO518" s="9"/>
      <c r="IP518" s="9"/>
      <c r="IQ518" s="9"/>
      <c r="IR518" s="9"/>
      <c r="IS518" s="9"/>
      <c r="IT518" s="9"/>
      <c r="IU518" s="9"/>
      <c r="IV518" s="9"/>
      <c r="IW518" s="9"/>
      <c r="IX518" s="9"/>
      <c r="IY518" s="9"/>
      <c r="IZ518" s="9"/>
      <c r="JA518" s="9"/>
      <c r="JB518" s="9"/>
      <c r="JC518" s="9"/>
      <c r="JD518" s="9"/>
      <c r="JE518" s="9"/>
      <c r="JF518" s="9"/>
      <c r="JG518" s="9"/>
      <c r="JH518" s="9"/>
      <c r="JI518" s="9"/>
      <c r="JJ518" s="9"/>
      <c r="JK518" s="9"/>
      <c r="JL518" s="9"/>
      <c r="JM518" s="9"/>
      <c r="JN518" s="9"/>
      <c r="JO518" s="9"/>
      <c r="JP518" s="9"/>
      <c r="JQ518" s="9"/>
      <c r="JR518" s="9"/>
      <c r="JS518" s="9"/>
      <c r="JT518" s="9"/>
      <c r="JU518" s="9"/>
      <c r="JV518" s="9"/>
      <c r="JW518" s="9"/>
      <c r="JX518" s="9"/>
      <c r="JY518" s="9"/>
      <c r="JZ518" s="9"/>
      <c r="KA518" s="9"/>
      <c r="KB518" s="9"/>
      <c r="KC518" s="9"/>
      <c r="KD518" s="9"/>
      <c r="KE518" s="9"/>
      <c r="KF518" s="9"/>
      <c r="KG518" s="9"/>
      <c r="KH518" s="9"/>
      <c r="KI518" s="9"/>
      <c r="KJ518" s="9"/>
      <c r="KK518" s="9"/>
      <c r="KL518" s="9"/>
      <c r="KM518" s="9"/>
      <c r="KN518" s="9"/>
      <c r="KO518" s="9"/>
      <c r="KP518" s="9"/>
      <c r="KQ518" s="9"/>
      <c r="KR518" s="9"/>
      <c r="KS518" s="9"/>
      <c r="KT518" s="9"/>
      <c r="KU518" s="9"/>
      <c r="KV518" s="9"/>
      <c r="KW518" s="9"/>
      <c r="KX518" s="9"/>
      <c r="KY518" s="9"/>
      <c r="KZ518" s="9"/>
      <c r="LA518" s="9"/>
      <c r="LB518" s="9"/>
      <c r="LC518" s="9"/>
      <c r="LD518" s="9"/>
      <c r="LE518" s="9"/>
      <c r="LF518" s="9"/>
      <c r="LG518" s="9"/>
      <c r="LH518" s="9"/>
      <c r="LI518" s="9"/>
      <c r="LJ518" s="9"/>
      <c r="LK518" s="9"/>
      <c r="LL518" s="9"/>
      <c r="LM518" s="9"/>
      <c r="LN518" s="9"/>
      <c r="LO518" s="9"/>
      <c r="LP518" s="9"/>
      <c r="LQ518" s="9"/>
      <c r="LR518" s="9"/>
      <c r="LS518" s="9"/>
      <c r="LT518" s="9"/>
      <c r="LU518" s="9"/>
      <c r="LV518" s="9"/>
      <c r="LW518" s="9"/>
      <c r="LX518" s="9"/>
      <c r="LY518" s="9"/>
      <c r="LZ518" s="9"/>
      <c r="MA518" s="9"/>
      <c r="MB518" s="9"/>
      <c r="MC518" s="9"/>
      <c r="MD518" s="9"/>
      <c r="ME518" s="9"/>
      <c r="MF518" s="9"/>
      <c r="MG518" s="9"/>
      <c r="MH518" s="9"/>
      <c r="MI518" s="9"/>
      <c r="MJ518" s="9"/>
      <c r="MK518" s="9"/>
      <c r="ML518" s="9"/>
      <c r="MM518" s="9"/>
      <c r="MN518" s="9"/>
      <c r="MO518" s="9"/>
      <c r="MP518" s="9"/>
      <c r="MQ518" s="9"/>
      <c r="MR518" s="9"/>
      <c r="MS518" s="9"/>
      <c r="MT518" s="9"/>
      <c r="MU518" s="9"/>
      <c r="MV518" s="9"/>
      <c r="MW518" s="9"/>
      <c r="MX518" s="9"/>
      <c r="MY518" s="9"/>
      <c r="MZ518" s="9"/>
      <c r="NA518" s="9"/>
      <c r="NB518" s="9"/>
      <c r="NC518" s="9"/>
      <c r="ND518" s="9"/>
      <c r="NE518" s="9"/>
      <c r="NF518" s="9"/>
      <c r="NG518" s="9"/>
      <c r="NH518" s="9"/>
      <c r="NI518" s="9"/>
      <c r="NJ518" s="9"/>
      <c r="NK518" s="9"/>
      <c r="NL518" s="9"/>
      <c r="NM518" s="9"/>
      <c r="NN518" s="9"/>
      <c r="NO518" s="9"/>
      <c r="NP518" s="9"/>
      <c r="NQ518" s="9"/>
      <c r="NR518" s="9"/>
      <c r="NS518" s="9"/>
      <c r="NT518" s="9"/>
      <c r="NU518" s="9"/>
      <c r="NV518" s="9"/>
      <c r="NW518" s="9"/>
      <c r="NX518" s="9"/>
      <c r="NY518" s="9"/>
      <c r="NZ518" s="9"/>
      <c r="OA518" s="9"/>
      <c r="OB518" s="9"/>
      <c r="OC518" s="9"/>
      <c r="OD518" s="9"/>
      <c r="OE518" s="9"/>
      <c r="OF518" s="9"/>
      <c r="OG518" s="9"/>
      <c r="OH518" s="9"/>
      <c r="OI518" s="9"/>
      <c r="OJ518" s="9"/>
      <c r="OK518" s="9"/>
      <c r="OL518" s="9"/>
      <c r="OM518" s="9"/>
      <c r="ON518" s="9"/>
      <c r="OO518" s="9"/>
      <c r="OP518" s="9"/>
      <c r="OQ518" s="9"/>
      <c r="OR518" s="9"/>
      <c r="OS518" s="9"/>
      <c r="OT518" s="9"/>
      <c r="OU518" s="9"/>
      <c r="OV518" s="9"/>
      <c r="OW518" s="9"/>
      <c r="OX518" s="9"/>
      <c r="OY518" s="9"/>
      <c r="OZ518" s="9"/>
      <c r="PA518" s="9"/>
      <c r="PB518" s="9"/>
      <c r="PC518" s="9"/>
      <c r="PD518" s="9"/>
      <c r="PE518" s="9"/>
      <c r="PF518" s="9"/>
      <c r="PG518" s="9"/>
      <c r="PH518" s="9"/>
      <c r="PI518" s="9"/>
      <c r="PJ518" s="9"/>
      <c r="PK518" s="9"/>
      <c r="PL518" s="9"/>
      <c r="PM518" s="9"/>
      <c r="PN518" s="9"/>
      <c r="PO518" s="9"/>
      <c r="PP518" s="9"/>
      <c r="PQ518" s="9"/>
      <c r="PR518" s="9"/>
      <c r="PS518" s="9"/>
      <c r="PT518" s="9"/>
      <c r="PU518" s="9"/>
      <c r="PV518" s="9"/>
      <c r="PW518" s="9"/>
      <c r="PX518" s="9"/>
      <c r="PY518" s="9"/>
      <c r="PZ518" s="9"/>
      <c r="QA518" s="9"/>
      <c r="QB518" s="9"/>
      <c r="QC518" s="9"/>
      <c r="QD518" s="9"/>
      <c r="QE518" s="9"/>
      <c r="QF518" s="9"/>
      <c r="QG518" s="9"/>
      <c r="QH518" s="9"/>
      <c r="QI518" s="9"/>
      <c r="QJ518" s="9"/>
      <c r="QK518" s="9"/>
      <c r="QL518" s="9"/>
      <c r="QM518" s="9"/>
      <c r="QN518" s="9"/>
      <c r="QO518" s="9"/>
      <c r="QP518" s="9"/>
      <c r="QQ518" s="9"/>
      <c r="QR518" s="9"/>
      <c r="QS518" s="9"/>
      <c r="QT518" s="9"/>
      <c r="QU518" s="9"/>
      <c r="QV518" s="9"/>
      <c r="QW518" s="9"/>
      <c r="QX518" s="9"/>
      <c r="QY518" s="9"/>
      <c r="QZ518" s="9"/>
      <c r="RA518" s="9"/>
      <c r="RB518" s="9"/>
      <c r="RC518" s="9"/>
      <c r="RD518" s="9"/>
      <c r="RE518" s="9"/>
      <c r="RF518" s="9"/>
      <c r="RG518" s="9"/>
      <c r="RH518" s="9"/>
      <c r="RI518" s="9"/>
      <c r="RJ518" s="9"/>
      <c r="RK518" s="9"/>
      <c r="RL518" s="9"/>
      <c r="RM518" s="9"/>
      <c r="RN518" s="9"/>
      <c r="RO518" s="9"/>
      <c r="RP518" s="9"/>
      <c r="RQ518" s="9"/>
      <c r="RR518" s="9"/>
      <c r="RS518" s="9"/>
      <c r="RT518" s="9"/>
      <c r="RU518" s="9"/>
      <c r="RV518" s="9"/>
      <c r="RW518" s="9"/>
      <c r="RX518" s="9"/>
      <c r="RY518" s="9"/>
      <c r="RZ518" s="9"/>
      <c r="SA518" s="9"/>
      <c r="SB518" s="9"/>
      <c r="SC518" s="9"/>
      <c r="SD518" s="9"/>
      <c r="SE518" s="9"/>
      <c r="SF518" s="9"/>
      <c r="SG518" s="9"/>
      <c r="SH518" s="9"/>
      <c r="SI518" s="9"/>
      <c r="SJ518" s="9"/>
      <c r="SK518" s="9"/>
      <c r="SL518" s="9"/>
      <c r="SM518" s="9"/>
      <c r="SN518" s="9"/>
      <c r="SO518" s="9"/>
      <c r="SP518" s="9"/>
      <c r="SQ518" s="9"/>
      <c r="SR518" s="9"/>
      <c r="SS518" s="9"/>
      <c r="ST518" s="9"/>
      <c r="SU518" s="9"/>
      <c r="SV518" s="9"/>
      <c r="SW518" s="9"/>
      <c r="SX518" s="9"/>
      <c r="SY518" s="9"/>
      <c r="SZ518" s="9"/>
      <c r="TA518" s="9"/>
      <c r="TB518" s="9"/>
      <c r="TC518" s="9"/>
      <c r="TD518" s="9"/>
      <c r="TE518" s="9"/>
      <c r="TF518" s="9"/>
      <c r="TG518" s="9"/>
      <c r="TH518" s="9"/>
      <c r="TI518" s="9"/>
      <c r="TJ518" s="9"/>
      <c r="TK518" s="9"/>
      <c r="TL518" s="9"/>
      <c r="TM518" s="9"/>
      <c r="TN518" s="9"/>
      <c r="TO518" s="9"/>
      <c r="TP518" s="9"/>
      <c r="TQ518" s="9"/>
      <c r="TR518" s="9"/>
      <c r="TS518" s="9"/>
      <c r="TT518" s="9"/>
      <c r="TU518" s="9"/>
      <c r="TV518" s="9"/>
      <c r="TW518" s="9"/>
      <c r="TX518" s="9"/>
      <c r="TY518" s="9"/>
      <c r="TZ518" s="9"/>
      <c r="UA518" s="9"/>
      <c r="UB518" s="9"/>
      <c r="UC518" s="9"/>
      <c r="UD518" s="9"/>
      <c r="UE518" s="9"/>
      <c r="UF518" s="9"/>
      <c r="UG518" s="9"/>
      <c r="UH518" s="9"/>
      <c r="UI518" s="9"/>
      <c r="UJ518" s="9"/>
    </row>
    <row r="519">
      <c r="A519" s="8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9"/>
      <c r="IA519" s="9"/>
      <c r="IB519" s="9"/>
      <c r="IC519" s="9"/>
      <c r="ID519" s="9"/>
      <c r="IE519" s="9"/>
      <c r="IF519" s="9"/>
      <c r="IG519" s="9"/>
      <c r="IH519" s="9"/>
      <c r="II519" s="9"/>
      <c r="IJ519" s="9"/>
      <c r="IK519" s="9"/>
      <c r="IL519" s="9"/>
      <c r="IM519" s="9"/>
      <c r="IN519" s="9"/>
      <c r="IO519" s="9"/>
      <c r="IP519" s="9"/>
      <c r="IQ519" s="9"/>
      <c r="IR519" s="9"/>
      <c r="IS519" s="9"/>
      <c r="IT519" s="9"/>
      <c r="IU519" s="9"/>
      <c r="IV519" s="9"/>
      <c r="IW519" s="9"/>
      <c r="IX519" s="9"/>
      <c r="IY519" s="9"/>
      <c r="IZ519" s="9"/>
      <c r="JA519" s="9"/>
      <c r="JB519" s="9"/>
      <c r="JC519" s="9"/>
      <c r="JD519" s="9"/>
      <c r="JE519" s="9"/>
      <c r="JF519" s="9"/>
      <c r="JG519" s="9"/>
      <c r="JH519" s="9"/>
      <c r="JI519" s="9"/>
      <c r="JJ519" s="9"/>
      <c r="JK519" s="9"/>
      <c r="JL519" s="9"/>
      <c r="JM519" s="9"/>
      <c r="JN519" s="9"/>
      <c r="JO519" s="9"/>
      <c r="JP519" s="9"/>
      <c r="JQ519" s="9"/>
      <c r="JR519" s="9"/>
      <c r="JS519" s="9"/>
      <c r="JT519" s="9"/>
      <c r="JU519" s="9"/>
      <c r="JV519" s="9"/>
      <c r="JW519" s="9"/>
      <c r="JX519" s="9"/>
      <c r="JY519" s="9"/>
      <c r="JZ519" s="9"/>
      <c r="KA519" s="9"/>
      <c r="KB519" s="9"/>
      <c r="KC519" s="9"/>
      <c r="KD519" s="9"/>
      <c r="KE519" s="9"/>
      <c r="KF519" s="9"/>
      <c r="KG519" s="9"/>
      <c r="KH519" s="9"/>
      <c r="KI519" s="9"/>
      <c r="KJ519" s="9"/>
      <c r="KK519" s="9"/>
      <c r="KL519" s="9"/>
      <c r="KM519" s="9"/>
      <c r="KN519" s="9"/>
      <c r="KO519" s="9"/>
      <c r="KP519" s="9"/>
      <c r="KQ519" s="9"/>
      <c r="KR519" s="9"/>
      <c r="KS519" s="9"/>
      <c r="KT519" s="9"/>
      <c r="KU519" s="9"/>
      <c r="KV519" s="9"/>
      <c r="KW519" s="9"/>
      <c r="KX519" s="9"/>
      <c r="KY519" s="9"/>
      <c r="KZ519" s="9"/>
      <c r="LA519" s="9"/>
      <c r="LB519" s="9"/>
      <c r="LC519" s="9"/>
      <c r="LD519" s="9"/>
      <c r="LE519" s="9"/>
      <c r="LF519" s="9"/>
      <c r="LG519" s="9"/>
      <c r="LH519" s="9"/>
      <c r="LI519" s="9"/>
      <c r="LJ519" s="9"/>
      <c r="LK519" s="9"/>
      <c r="LL519" s="9"/>
      <c r="LM519" s="9"/>
      <c r="LN519" s="9"/>
      <c r="LO519" s="9"/>
      <c r="LP519" s="9"/>
      <c r="LQ519" s="9"/>
      <c r="LR519" s="9"/>
      <c r="LS519" s="9"/>
      <c r="LT519" s="9"/>
      <c r="LU519" s="9"/>
      <c r="LV519" s="9"/>
      <c r="LW519" s="9"/>
      <c r="LX519" s="9"/>
      <c r="LY519" s="9"/>
      <c r="LZ519" s="9"/>
      <c r="MA519" s="9"/>
      <c r="MB519" s="9"/>
      <c r="MC519" s="9"/>
      <c r="MD519" s="9"/>
      <c r="ME519" s="9"/>
      <c r="MF519" s="9"/>
      <c r="MG519" s="9"/>
      <c r="MH519" s="9"/>
      <c r="MI519" s="9"/>
      <c r="MJ519" s="9"/>
      <c r="MK519" s="9"/>
      <c r="ML519" s="9"/>
      <c r="MM519" s="9"/>
      <c r="MN519" s="9"/>
      <c r="MO519" s="9"/>
      <c r="MP519" s="9"/>
      <c r="MQ519" s="9"/>
      <c r="MR519" s="9"/>
      <c r="MS519" s="9"/>
      <c r="MT519" s="9"/>
      <c r="MU519" s="9"/>
      <c r="MV519" s="9"/>
      <c r="MW519" s="9"/>
      <c r="MX519" s="9"/>
      <c r="MY519" s="9"/>
      <c r="MZ519" s="9"/>
      <c r="NA519" s="9"/>
      <c r="NB519" s="9"/>
      <c r="NC519" s="9"/>
      <c r="ND519" s="9"/>
      <c r="NE519" s="9"/>
      <c r="NF519" s="9"/>
      <c r="NG519" s="9"/>
      <c r="NH519" s="9"/>
      <c r="NI519" s="9"/>
      <c r="NJ519" s="9"/>
      <c r="NK519" s="9"/>
      <c r="NL519" s="9"/>
      <c r="NM519" s="9"/>
      <c r="NN519" s="9"/>
      <c r="NO519" s="9"/>
      <c r="NP519" s="9"/>
      <c r="NQ519" s="9"/>
      <c r="NR519" s="9"/>
      <c r="NS519" s="9"/>
      <c r="NT519" s="9"/>
      <c r="NU519" s="9"/>
      <c r="NV519" s="9"/>
      <c r="NW519" s="9"/>
      <c r="NX519" s="9"/>
      <c r="NY519" s="9"/>
      <c r="NZ519" s="9"/>
      <c r="OA519" s="9"/>
      <c r="OB519" s="9"/>
      <c r="OC519" s="9"/>
      <c r="OD519" s="9"/>
      <c r="OE519" s="9"/>
      <c r="OF519" s="9"/>
      <c r="OG519" s="9"/>
      <c r="OH519" s="9"/>
      <c r="OI519" s="9"/>
      <c r="OJ519" s="9"/>
      <c r="OK519" s="9"/>
      <c r="OL519" s="9"/>
      <c r="OM519" s="9"/>
      <c r="ON519" s="9"/>
      <c r="OO519" s="9"/>
      <c r="OP519" s="9"/>
      <c r="OQ519" s="9"/>
      <c r="OR519" s="9"/>
      <c r="OS519" s="9"/>
      <c r="OT519" s="9"/>
      <c r="OU519" s="9"/>
      <c r="OV519" s="9"/>
      <c r="OW519" s="9"/>
      <c r="OX519" s="9"/>
      <c r="OY519" s="9"/>
      <c r="OZ519" s="9"/>
      <c r="PA519" s="9"/>
      <c r="PB519" s="9"/>
      <c r="PC519" s="9"/>
      <c r="PD519" s="9"/>
      <c r="PE519" s="9"/>
      <c r="PF519" s="9"/>
      <c r="PG519" s="9"/>
      <c r="PH519" s="9"/>
      <c r="PI519" s="9"/>
      <c r="PJ519" s="9"/>
      <c r="PK519" s="9"/>
      <c r="PL519" s="9"/>
      <c r="PM519" s="9"/>
      <c r="PN519" s="9"/>
      <c r="PO519" s="9"/>
      <c r="PP519" s="9"/>
      <c r="PQ519" s="9"/>
      <c r="PR519" s="9"/>
      <c r="PS519" s="9"/>
      <c r="PT519" s="9"/>
      <c r="PU519" s="9"/>
      <c r="PV519" s="9"/>
      <c r="PW519" s="9"/>
      <c r="PX519" s="9"/>
      <c r="PY519" s="9"/>
      <c r="PZ519" s="9"/>
      <c r="QA519" s="9"/>
      <c r="QB519" s="9"/>
      <c r="QC519" s="9"/>
      <c r="QD519" s="9"/>
      <c r="QE519" s="9"/>
      <c r="QF519" s="9"/>
      <c r="QG519" s="9"/>
      <c r="QH519" s="9"/>
      <c r="QI519" s="9"/>
      <c r="QJ519" s="9"/>
      <c r="QK519" s="9"/>
      <c r="QL519" s="9"/>
      <c r="QM519" s="9"/>
      <c r="QN519" s="9"/>
      <c r="QO519" s="9"/>
      <c r="QP519" s="9"/>
      <c r="QQ519" s="9"/>
      <c r="QR519" s="9"/>
      <c r="QS519" s="9"/>
      <c r="QT519" s="9"/>
      <c r="QU519" s="9"/>
      <c r="QV519" s="9"/>
      <c r="QW519" s="9"/>
      <c r="QX519" s="9"/>
      <c r="QY519" s="9"/>
      <c r="QZ519" s="9"/>
      <c r="RA519" s="9"/>
      <c r="RB519" s="9"/>
      <c r="RC519" s="9"/>
      <c r="RD519" s="9"/>
      <c r="RE519" s="9"/>
      <c r="RF519" s="9"/>
      <c r="RG519" s="9"/>
      <c r="RH519" s="9"/>
      <c r="RI519" s="9"/>
      <c r="RJ519" s="9"/>
      <c r="RK519" s="9"/>
      <c r="RL519" s="9"/>
      <c r="RM519" s="9"/>
      <c r="RN519" s="9"/>
      <c r="RO519" s="9"/>
      <c r="RP519" s="9"/>
      <c r="RQ519" s="9"/>
      <c r="RR519" s="9"/>
      <c r="RS519" s="9"/>
      <c r="RT519" s="9"/>
      <c r="RU519" s="9"/>
      <c r="RV519" s="9"/>
      <c r="RW519" s="9"/>
      <c r="RX519" s="9"/>
      <c r="RY519" s="9"/>
      <c r="RZ519" s="9"/>
      <c r="SA519" s="9"/>
      <c r="SB519" s="9"/>
      <c r="SC519" s="9"/>
      <c r="SD519" s="9"/>
      <c r="SE519" s="9"/>
      <c r="SF519" s="9"/>
      <c r="SG519" s="9"/>
      <c r="SH519" s="9"/>
      <c r="SI519" s="9"/>
      <c r="SJ519" s="9"/>
      <c r="SK519" s="9"/>
      <c r="SL519" s="9"/>
      <c r="SM519" s="9"/>
      <c r="SN519" s="9"/>
      <c r="SO519" s="9"/>
      <c r="SP519" s="9"/>
      <c r="SQ519" s="9"/>
      <c r="SR519" s="9"/>
      <c r="SS519" s="9"/>
      <c r="ST519" s="9"/>
      <c r="SU519" s="9"/>
      <c r="SV519" s="9"/>
      <c r="SW519" s="9"/>
      <c r="SX519" s="9"/>
      <c r="SY519" s="9"/>
      <c r="SZ519" s="9"/>
      <c r="TA519" s="9"/>
      <c r="TB519" s="9"/>
      <c r="TC519" s="9"/>
      <c r="TD519" s="9"/>
      <c r="TE519" s="9"/>
      <c r="TF519" s="9"/>
      <c r="TG519" s="9"/>
      <c r="TH519" s="9"/>
      <c r="TI519" s="9"/>
      <c r="TJ519" s="9"/>
      <c r="TK519" s="9"/>
      <c r="TL519" s="9"/>
      <c r="TM519" s="9"/>
      <c r="TN519" s="9"/>
      <c r="TO519" s="9"/>
      <c r="TP519" s="9"/>
      <c r="TQ519" s="9"/>
      <c r="TR519" s="9"/>
      <c r="TS519" s="9"/>
      <c r="TT519" s="9"/>
      <c r="TU519" s="9"/>
      <c r="TV519" s="9"/>
      <c r="TW519" s="9"/>
      <c r="TX519" s="9"/>
      <c r="TY519" s="9"/>
      <c r="TZ519" s="9"/>
      <c r="UA519" s="9"/>
      <c r="UB519" s="9"/>
      <c r="UC519" s="9"/>
      <c r="UD519" s="9"/>
      <c r="UE519" s="9"/>
      <c r="UF519" s="9"/>
      <c r="UG519" s="9"/>
      <c r="UH519" s="9"/>
      <c r="UI519" s="9"/>
      <c r="UJ519" s="9"/>
    </row>
    <row r="520">
      <c r="A520" s="8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9"/>
      <c r="JE520" s="9"/>
      <c r="JF520" s="9"/>
      <c r="JG520" s="9"/>
      <c r="JH520" s="9"/>
      <c r="JI520" s="9"/>
      <c r="JJ520" s="9"/>
      <c r="JK520" s="9"/>
      <c r="JL520" s="9"/>
      <c r="JM520" s="9"/>
      <c r="JN520" s="9"/>
      <c r="JO520" s="9"/>
      <c r="JP520" s="9"/>
      <c r="JQ520" s="9"/>
      <c r="JR520" s="9"/>
      <c r="JS520" s="9"/>
      <c r="JT520" s="9"/>
      <c r="JU520" s="9"/>
      <c r="JV520" s="9"/>
      <c r="JW520" s="9"/>
      <c r="JX520" s="9"/>
      <c r="JY520" s="9"/>
      <c r="JZ520" s="9"/>
      <c r="KA520" s="9"/>
      <c r="KB520" s="9"/>
      <c r="KC520" s="9"/>
      <c r="KD520" s="9"/>
      <c r="KE520" s="9"/>
      <c r="KF520" s="9"/>
      <c r="KG520" s="9"/>
      <c r="KH520" s="9"/>
      <c r="KI520" s="9"/>
      <c r="KJ520" s="9"/>
      <c r="KK520" s="9"/>
      <c r="KL520" s="9"/>
      <c r="KM520" s="9"/>
      <c r="KN520" s="9"/>
      <c r="KO520" s="9"/>
      <c r="KP520" s="9"/>
      <c r="KQ520" s="9"/>
      <c r="KR520" s="9"/>
      <c r="KS520" s="9"/>
      <c r="KT520" s="9"/>
      <c r="KU520" s="9"/>
      <c r="KV520" s="9"/>
      <c r="KW520" s="9"/>
      <c r="KX520" s="9"/>
      <c r="KY520" s="9"/>
      <c r="KZ520" s="9"/>
      <c r="LA520" s="9"/>
      <c r="LB520" s="9"/>
      <c r="LC520" s="9"/>
      <c r="LD520" s="9"/>
      <c r="LE520" s="9"/>
      <c r="LF520" s="9"/>
      <c r="LG520" s="9"/>
      <c r="LH520" s="9"/>
      <c r="LI520" s="9"/>
      <c r="LJ520" s="9"/>
      <c r="LK520" s="9"/>
      <c r="LL520" s="9"/>
      <c r="LM520" s="9"/>
      <c r="LN520" s="9"/>
      <c r="LO520" s="9"/>
      <c r="LP520" s="9"/>
      <c r="LQ520" s="9"/>
      <c r="LR520" s="9"/>
      <c r="LS520" s="9"/>
      <c r="LT520" s="9"/>
      <c r="LU520" s="9"/>
      <c r="LV520" s="9"/>
      <c r="LW520" s="9"/>
      <c r="LX520" s="9"/>
      <c r="LY520" s="9"/>
      <c r="LZ520" s="9"/>
      <c r="MA520" s="9"/>
      <c r="MB520" s="9"/>
      <c r="MC520" s="9"/>
      <c r="MD520" s="9"/>
      <c r="ME520" s="9"/>
      <c r="MF520" s="9"/>
      <c r="MG520" s="9"/>
      <c r="MH520" s="9"/>
      <c r="MI520" s="9"/>
      <c r="MJ520" s="9"/>
      <c r="MK520" s="9"/>
      <c r="ML520" s="9"/>
      <c r="MM520" s="9"/>
      <c r="MN520" s="9"/>
      <c r="MO520" s="9"/>
      <c r="MP520" s="9"/>
      <c r="MQ520" s="9"/>
      <c r="MR520" s="9"/>
      <c r="MS520" s="9"/>
      <c r="MT520" s="9"/>
      <c r="MU520" s="9"/>
      <c r="MV520" s="9"/>
      <c r="MW520" s="9"/>
      <c r="MX520" s="9"/>
      <c r="MY520" s="9"/>
      <c r="MZ520" s="9"/>
      <c r="NA520" s="9"/>
      <c r="NB520" s="9"/>
      <c r="NC520" s="9"/>
      <c r="ND520" s="9"/>
      <c r="NE520" s="9"/>
      <c r="NF520" s="9"/>
      <c r="NG520" s="9"/>
      <c r="NH520" s="9"/>
      <c r="NI520" s="9"/>
      <c r="NJ520" s="9"/>
      <c r="NK520" s="9"/>
      <c r="NL520" s="9"/>
      <c r="NM520" s="9"/>
      <c r="NN520" s="9"/>
      <c r="NO520" s="9"/>
      <c r="NP520" s="9"/>
      <c r="NQ520" s="9"/>
      <c r="NR520" s="9"/>
      <c r="NS520" s="9"/>
      <c r="NT520" s="9"/>
      <c r="NU520" s="9"/>
      <c r="NV520" s="9"/>
      <c r="NW520" s="9"/>
      <c r="NX520" s="9"/>
      <c r="NY520" s="9"/>
      <c r="NZ520" s="9"/>
      <c r="OA520" s="9"/>
      <c r="OB520" s="9"/>
      <c r="OC520" s="9"/>
      <c r="OD520" s="9"/>
      <c r="OE520" s="9"/>
      <c r="OF520" s="9"/>
      <c r="OG520" s="9"/>
      <c r="OH520" s="9"/>
      <c r="OI520" s="9"/>
      <c r="OJ520" s="9"/>
      <c r="OK520" s="9"/>
      <c r="OL520" s="9"/>
      <c r="OM520" s="9"/>
      <c r="ON520" s="9"/>
      <c r="OO520" s="9"/>
      <c r="OP520" s="9"/>
      <c r="OQ520" s="9"/>
      <c r="OR520" s="9"/>
      <c r="OS520" s="9"/>
      <c r="OT520" s="9"/>
      <c r="OU520" s="9"/>
      <c r="OV520" s="9"/>
      <c r="OW520" s="9"/>
      <c r="OX520" s="9"/>
      <c r="OY520" s="9"/>
      <c r="OZ520" s="9"/>
      <c r="PA520" s="9"/>
      <c r="PB520" s="9"/>
      <c r="PC520" s="9"/>
      <c r="PD520" s="9"/>
      <c r="PE520" s="9"/>
      <c r="PF520" s="9"/>
      <c r="PG520" s="9"/>
      <c r="PH520" s="9"/>
      <c r="PI520" s="9"/>
      <c r="PJ520" s="9"/>
      <c r="PK520" s="9"/>
      <c r="PL520" s="9"/>
      <c r="PM520" s="9"/>
      <c r="PN520" s="9"/>
      <c r="PO520" s="9"/>
      <c r="PP520" s="9"/>
      <c r="PQ520" s="9"/>
      <c r="PR520" s="9"/>
      <c r="PS520" s="9"/>
      <c r="PT520" s="9"/>
      <c r="PU520" s="9"/>
      <c r="PV520" s="9"/>
      <c r="PW520" s="9"/>
      <c r="PX520" s="9"/>
      <c r="PY520" s="9"/>
      <c r="PZ520" s="9"/>
      <c r="QA520" s="9"/>
      <c r="QB520" s="9"/>
      <c r="QC520" s="9"/>
      <c r="QD520" s="9"/>
      <c r="QE520" s="9"/>
      <c r="QF520" s="9"/>
      <c r="QG520" s="9"/>
      <c r="QH520" s="9"/>
      <c r="QI520" s="9"/>
      <c r="QJ520" s="9"/>
      <c r="QK520" s="9"/>
      <c r="QL520" s="9"/>
      <c r="QM520" s="9"/>
      <c r="QN520" s="9"/>
      <c r="QO520" s="9"/>
      <c r="QP520" s="9"/>
      <c r="QQ520" s="9"/>
      <c r="QR520" s="9"/>
      <c r="QS520" s="9"/>
      <c r="QT520" s="9"/>
      <c r="QU520" s="9"/>
      <c r="QV520" s="9"/>
      <c r="QW520" s="9"/>
      <c r="QX520" s="9"/>
      <c r="QY520" s="9"/>
      <c r="QZ520" s="9"/>
      <c r="RA520" s="9"/>
      <c r="RB520" s="9"/>
      <c r="RC520" s="9"/>
      <c r="RD520" s="9"/>
      <c r="RE520" s="9"/>
      <c r="RF520" s="9"/>
      <c r="RG520" s="9"/>
      <c r="RH520" s="9"/>
      <c r="RI520" s="9"/>
      <c r="RJ520" s="9"/>
      <c r="RK520" s="9"/>
      <c r="RL520" s="9"/>
      <c r="RM520" s="9"/>
      <c r="RN520" s="9"/>
      <c r="RO520" s="9"/>
      <c r="RP520" s="9"/>
      <c r="RQ520" s="9"/>
      <c r="RR520" s="9"/>
      <c r="RS520" s="9"/>
      <c r="RT520" s="9"/>
      <c r="RU520" s="9"/>
      <c r="RV520" s="9"/>
      <c r="RW520" s="9"/>
      <c r="RX520" s="9"/>
      <c r="RY520" s="9"/>
      <c r="RZ520" s="9"/>
      <c r="SA520" s="9"/>
      <c r="SB520" s="9"/>
      <c r="SC520" s="9"/>
      <c r="SD520" s="9"/>
      <c r="SE520" s="9"/>
      <c r="SF520" s="9"/>
      <c r="SG520" s="9"/>
      <c r="SH520" s="9"/>
      <c r="SI520" s="9"/>
      <c r="SJ520" s="9"/>
      <c r="SK520" s="9"/>
      <c r="SL520" s="9"/>
      <c r="SM520" s="9"/>
      <c r="SN520" s="9"/>
      <c r="SO520" s="9"/>
      <c r="SP520" s="9"/>
      <c r="SQ520" s="9"/>
      <c r="SR520" s="9"/>
      <c r="SS520" s="9"/>
      <c r="ST520" s="9"/>
      <c r="SU520" s="9"/>
      <c r="SV520" s="9"/>
      <c r="SW520" s="9"/>
      <c r="SX520" s="9"/>
      <c r="SY520" s="9"/>
      <c r="SZ520" s="9"/>
      <c r="TA520" s="9"/>
      <c r="TB520" s="9"/>
      <c r="TC520" s="9"/>
      <c r="TD520" s="9"/>
      <c r="TE520" s="9"/>
      <c r="TF520" s="9"/>
      <c r="TG520" s="9"/>
      <c r="TH520" s="9"/>
      <c r="TI520" s="9"/>
      <c r="TJ520" s="9"/>
      <c r="TK520" s="9"/>
      <c r="TL520" s="9"/>
      <c r="TM520" s="9"/>
      <c r="TN520" s="9"/>
      <c r="TO520" s="9"/>
      <c r="TP520" s="9"/>
      <c r="TQ520" s="9"/>
      <c r="TR520" s="9"/>
      <c r="TS520" s="9"/>
      <c r="TT520" s="9"/>
      <c r="TU520" s="9"/>
      <c r="TV520" s="9"/>
      <c r="TW520" s="9"/>
      <c r="TX520" s="9"/>
      <c r="TY520" s="9"/>
      <c r="TZ520" s="9"/>
      <c r="UA520" s="9"/>
      <c r="UB520" s="9"/>
      <c r="UC520" s="9"/>
      <c r="UD520" s="9"/>
      <c r="UE520" s="9"/>
      <c r="UF520" s="9"/>
      <c r="UG520" s="9"/>
      <c r="UH520" s="9"/>
      <c r="UI520" s="9"/>
      <c r="UJ520" s="9"/>
    </row>
    <row r="521">
      <c r="A521" s="8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  <c r="IN521" s="9"/>
      <c r="IO521" s="9"/>
      <c r="IP521" s="9"/>
      <c r="IQ521" s="9"/>
      <c r="IR521" s="9"/>
      <c r="IS521" s="9"/>
      <c r="IT521" s="9"/>
      <c r="IU521" s="9"/>
      <c r="IV521" s="9"/>
      <c r="IW521" s="9"/>
      <c r="IX521" s="9"/>
      <c r="IY521" s="9"/>
      <c r="IZ521" s="9"/>
      <c r="JA521" s="9"/>
      <c r="JB521" s="9"/>
      <c r="JC521" s="9"/>
      <c r="JD521" s="9"/>
      <c r="JE521" s="9"/>
      <c r="JF521" s="9"/>
      <c r="JG521" s="9"/>
      <c r="JH521" s="9"/>
      <c r="JI521" s="9"/>
      <c r="JJ521" s="9"/>
      <c r="JK521" s="9"/>
      <c r="JL521" s="9"/>
      <c r="JM521" s="9"/>
      <c r="JN521" s="9"/>
      <c r="JO521" s="9"/>
      <c r="JP521" s="9"/>
      <c r="JQ521" s="9"/>
      <c r="JR521" s="9"/>
      <c r="JS521" s="9"/>
      <c r="JT521" s="9"/>
      <c r="JU521" s="9"/>
      <c r="JV521" s="9"/>
      <c r="JW521" s="9"/>
      <c r="JX521" s="9"/>
      <c r="JY521" s="9"/>
      <c r="JZ521" s="9"/>
      <c r="KA521" s="9"/>
      <c r="KB521" s="9"/>
      <c r="KC521" s="9"/>
      <c r="KD521" s="9"/>
      <c r="KE521" s="9"/>
      <c r="KF521" s="9"/>
      <c r="KG521" s="9"/>
      <c r="KH521" s="9"/>
      <c r="KI521" s="9"/>
      <c r="KJ521" s="9"/>
      <c r="KK521" s="9"/>
      <c r="KL521" s="9"/>
      <c r="KM521" s="9"/>
      <c r="KN521" s="9"/>
      <c r="KO521" s="9"/>
      <c r="KP521" s="9"/>
      <c r="KQ521" s="9"/>
      <c r="KR521" s="9"/>
      <c r="KS521" s="9"/>
      <c r="KT521" s="9"/>
      <c r="KU521" s="9"/>
      <c r="KV521" s="9"/>
      <c r="KW521" s="9"/>
      <c r="KX521" s="9"/>
      <c r="KY521" s="9"/>
      <c r="KZ521" s="9"/>
      <c r="LA521" s="9"/>
      <c r="LB521" s="9"/>
      <c r="LC521" s="9"/>
      <c r="LD521" s="9"/>
      <c r="LE521" s="9"/>
      <c r="LF521" s="9"/>
      <c r="LG521" s="9"/>
      <c r="LH521" s="9"/>
      <c r="LI521" s="9"/>
      <c r="LJ521" s="9"/>
      <c r="LK521" s="9"/>
      <c r="LL521" s="9"/>
      <c r="LM521" s="9"/>
      <c r="LN521" s="9"/>
      <c r="LO521" s="9"/>
      <c r="LP521" s="9"/>
      <c r="LQ521" s="9"/>
      <c r="LR521" s="9"/>
      <c r="LS521" s="9"/>
      <c r="LT521" s="9"/>
      <c r="LU521" s="9"/>
      <c r="LV521" s="9"/>
      <c r="LW521" s="9"/>
      <c r="LX521" s="9"/>
      <c r="LY521" s="9"/>
      <c r="LZ521" s="9"/>
      <c r="MA521" s="9"/>
      <c r="MB521" s="9"/>
      <c r="MC521" s="9"/>
      <c r="MD521" s="9"/>
      <c r="ME521" s="9"/>
      <c r="MF521" s="9"/>
      <c r="MG521" s="9"/>
      <c r="MH521" s="9"/>
      <c r="MI521" s="9"/>
      <c r="MJ521" s="9"/>
      <c r="MK521" s="9"/>
      <c r="ML521" s="9"/>
      <c r="MM521" s="9"/>
      <c r="MN521" s="9"/>
      <c r="MO521" s="9"/>
      <c r="MP521" s="9"/>
      <c r="MQ521" s="9"/>
      <c r="MR521" s="9"/>
      <c r="MS521" s="9"/>
      <c r="MT521" s="9"/>
      <c r="MU521" s="9"/>
      <c r="MV521" s="9"/>
      <c r="MW521" s="9"/>
      <c r="MX521" s="9"/>
      <c r="MY521" s="9"/>
      <c r="MZ521" s="9"/>
      <c r="NA521" s="9"/>
      <c r="NB521" s="9"/>
      <c r="NC521" s="9"/>
      <c r="ND521" s="9"/>
      <c r="NE521" s="9"/>
      <c r="NF521" s="9"/>
      <c r="NG521" s="9"/>
      <c r="NH521" s="9"/>
      <c r="NI521" s="9"/>
      <c r="NJ521" s="9"/>
      <c r="NK521" s="9"/>
      <c r="NL521" s="9"/>
      <c r="NM521" s="9"/>
      <c r="NN521" s="9"/>
      <c r="NO521" s="9"/>
      <c r="NP521" s="9"/>
      <c r="NQ521" s="9"/>
      <c r="NR521" s="9"/>
      <c r="NS521" s="9"/>
      <c r="NT521" s="9"/>
      <c r="NU521" s="9"/>
      <c r="NV521" s="9"/>
      <c r="NW521" s="9"/>
      <c r="NX521" s="9"/>
      <c r="NY521" s="9"/>
      <c r="NZ521" s="9"/>
      <c r="OA521" s="9"/>
      <c r="OB521" s="9"/>
      <c r="OC521" s="9"/>
      <c r="OD521" s="9"/>
      <c r="OE521" s="9"/>
      <c r="OF521" s="9"/>
      <c r="OG521" s="9"/>
      <c r="OH521" s="9"/>
      <c r="OI521" s="9"/>
      <c r="OJ521" s="9"/>
      <c r="OK521" s="9"/>
      <c r="OL521" s="9"/>
      <c r="OM521" s="9"/>
      <c r="ON521" s="9"/>
      <c r="OO521" s="9"/>
      <c r="OP521" s="9"/>
      <c r="OQ521" s="9"/>
      <c r="OR521" s="9"/>
      <c r="OS521" s="9"/>
      <c r="OT521" s="9"/>
      <c r="OU521" s="9"/>
      <c r="OV521" s="9"/>
      <c r="OW521" s="9"/>
      <c r="OX521" s="9"/>
      <c r="OY521" s="9"/>
      <c r="OZ521" s="9"/>
      <c r="PA521" s="9"/>
      <c r="PB521" s="9"/>
      <c r="PC521" s="9"/>
      <c r="PD521" s="9"/>
      <c r="PE521" s="9"/>
      <c r="PF521" s="9"/>
      <c r="PG521" s="9"/>
      <c r="PH521" s="9"/>
      <c r="PI521" s="9"/>
      <c r="PJ521" s="9"/>
      <c r="PK521" s="9"/>
      <c r="PL521" s="9"/>
      <c r="PM521" s="9"/>
      <c r="PN521" s="9"/>
      <c r="PO521" s="9"/>
      <c r="PP521" s="9"/>
      <c r="PQ521" s="9"/>
      <c r="PR521" s="9"/>
      <c r="PS521" s="9"/>
      <c r="PT521" s="9"/>
      <c r="PU521" s="9"/>
      <c r="PV521" s="9"/>
      <c r="PW521" s="9"/>
      <c r="PX521" s="9"/>
      <c r="PY521" s="9"/>
      <c r="PZ521" s="9"/>
      <c r="QA521" s="9"/>
      <c r="QB521" s="9"/>
      <c r="QC521" s="9"/>
      <c r="QD521" s="9"/>
      <c r="QE521" s="9"/>
      <c r="QF521" s="9"/>
      <c r="QG521" s="9"/>
      <c r="QH521" s="9"/>
      <c r="QI521" s="9"/>
      <c r="QJ521" s="9"/>
      <c r="QK521" s="9"/>
      <c r="QL521" s="9"/>
      <c r="QM521" s="9"/>
      <c r="QN521" s="9"/>
      <c r="QO521" s="9"/>
      <c r="QP521" s="9"/>
      <c r="QQ521" s="9"/>
      <c r="QR521" s="9"/>
      <c r="QS521" s="9"/>
      <c r="QT521" s="9"/>
      <c r="QU521" s="9"/>
      <c r="QV521" s="9"/>
      <c r="QW521" s="9"/>
      <c r="QX521" s="9"/>
      <c r="QY521" s="9"/>
      <c r="QZ521" s="9"/>
      <c r="RA521" s="9"/>
      <c r="RB521" s="9"/>
      <c r="RC521" s="9"/>
      <c r="RD521" s="9"/>
      <c r="RE521" s="9"/>
      <c r="RF521" s="9"/>
      <c r="RG521" s="9"/>
      <c r="RH521" s="9"/>
      <c r="RI521" s="9"/>
      <c r="RJ521" s="9"/>
      <c r="RK521" s="9"/>
      <c r="RL521" s="9"/>
      <c r="RM521" s="9"/>
      <c r="RN521" s="9"/>
      <c r="RO521" s="9"/>
      <c r="RP521" s="9"/>
      <c r="RQ521" s="9"/>
      <c r="RR521" s="9"/>
      <c r="RS521" s="9"/>
      <c r="RT521" s="9"/>
      <c r="RU521" s="9"/>
      <c r="RV521" s="9"/>
      <c r="RW521" s="9"/>
      <c r="RX521" s="9"/>
      <c r="RY521" s="9"/>
      <c r="RZ521" s="9"/>
      <c r="SA521" s="9"/>
      <c r="SB521" s="9"/>
      <c r="SC521" s="9"/>
      <c r="SD521" s="9"/>
      <c r="SE521" s="9"/>
      <c r="SF521" s="9"/>
      <c r="SG521" s="9"/>
      <c r="SH521" s="9"/>
      <c r="SI521" s="9"/>
      <c r="SJ521" s="9"/>
      <c r="SK521" s="9"/>
      <c r="SL521" s="9"/>
      <c r="SM521" s="9"/>
      <c r="SN521" s="9"/>
      <c r="SO521" s="9"/>
      <c r="SP521" s="9"/>
      <c r="SQ521" s="9"/>
      <c r="SR521" s="9"/>
      <c r="SS521" s="9"/>
      <c r="ST521" s="9"/>
      <c r="SU521" s="9"/>
      <c r="SV521" s="9"/>
      <c r="SW521" s="9"/>
      <c r="SX521" s="9"/>
      <c r="SY521" s="9"/>
      <c r="SZ521" s="9"/>
      <c r="TA521" s="9"/>
      <c r="TB521" s="9"/>
      <c r="TC521" s="9"/>
      <c r="TD521" s="9"/>
      <c r="TE521" s="9"/>
      <c r="TF521" s="9"/>
      <c r="TG521" s="9"/>
      <c r="TH521" s="9"/>
      <c r="TI521" s="9"/>
      <c r="TJ521" s="9"/>
      <c r="TK521" s="9"/>
      <c r="TL521" s="9"/>
      <c r="TM521" s="9"/>
      <c r="TN521" s="9"/>
      <c r="TO521" s="9"/>
      <c r="TP521" s="9"/>
      <c r="TQ521" s="9"/>
      <c r="TR521" s="9"/>
      <c r="TS521" s="9"/>
      <c r="TT521" s="9"/>
      <c r="TU521" s="9"/>
      <c r="TV521" s="9"/>
      <c r="TW521" s="9"/>
      <c r="TX521" s="9"/>
      <c r="TY521" s="9"/>
      <c r="TZ521" s="9"/>
      <c r="UA521" s="9"/>
      <c r="UB521" s="9"/>
      <c r="UC521" s="9"/>
      <c r="UD521" s="9"/>
      <c r="UE521" s="9"/>
      <c r="UF521" s="9"/>
      <c r="UG521" s="9"/>
      <c r="UH521" s="9"/>
      <c r="UI521" s="9"/>
      <c r="UJ521" s="9"/>
    </row>
    <row r="522">
      <c r="A522" s="8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  <c r="IC522" s="9"/>
      <c r="ID522" s="9"/>
      <c r="IE522" s="9"/>
      <c r="IF522" s="9"/>
      <c r="IG522" s="9"/>
      <c r="IH522" s="9"/>
      <c r="II522" s="9"/>
      <c r="IJ522" s="9"/>
      <c r="IK522" s="9"/>
      <c r="IL522" s="9"/>
      <c r="IM522" s="9"/>
      <c r="IN522" s="9"/>
      <c r="IO522" s="9"/>
      <c r="IP522" s="9"/>
      <c r="IQ522" s="9"/>
      <c r="IR522" s="9"/>
      <c r="IS522" s="9"/>
      <c r="IT522" s="9"/>
      <c r="IU522" s="9"/>
      <c r="IV522" s="9"/>
      <c r="IW522" s="9"/>
      <c r="IX522" s="9"/>
      <c r="IY522" s="9"/>
      <c r="IZ522" s="9"/>
      <c r="JA522" s="9"/>
      <c r="JB522" s="9"/>
      <c r="JC522" s="9"/>
      <c r="JD522" s="9"/>
      <c r="JE522" s="9"/>
      <c r="JF522" s="9"/>
      <c r="JG522" s="9"/>
      <c r="JH522" s="9"/>
      <c r="JI522" s="9"/>
      <c r="JJ522" s="9"/>
      <c r="JK522" s="9"/>
      <c r="JL522" s="9"/>
      <c r="JM522" s="9"/>
      <c r="JN522" s="9"/>
      <c r="JO522" s="9"/>
      <c r="JP522" s="9"/>
      <c r="JQ522" s="9"/>
      <c r="JR522" s="9"/>
      <c r="JS522" s="9"/>
      <c r="JT522" s="9"/>
      <c r="JU522" s="9"/>
      <c r="JV522" s="9"/>
      <c r="JW522" s="9"/>
      <c r="JX522" s="9"/>
      <c r="JY522" s="9"/>
      <c r="JZ522" s="9"/>
      <c r="KA522" s="9"/>
      <c r="KB522" s="9"/>
      <c r="KC522" s="9"/>
      <c r="KD522" s="9"/>
      <c r="KE522" s="9"/>
      <c r="KF522" s="9"/>
      <c r="KG522" s="9"/>
      <c r="KH522" s="9"/>
      <c r="KI522" s="9"/>
      <c r="KJ522" s="9"/>
      <c r="KK522" s="9"/>
      <c r="KL522" s="9"/>
      <c r="KM522" s="9"/>
      <c r="KN522" s="9"/>
      <c r="KO522" s="9"/>
      <c r="KP522" s="9"/>
      <c r="KQ522" s="9"/>
      <c r="KR522" s="9"/>
      <c r="KS522" s="9"/>
      <c r="KT522" s="9"/>
      <c r="KU522" s="9"/>
      <c r="KV522" s="9"/>
      <c r="KW522" s="9"/>
      <c r="KX522" s="9"/>
      <c r="KY522" s="9"/>
      <c r="KZ522" s="9"/>
      <c r="LA522" s="9"/>
      <c r="LB522" s="9"/>
      <c r="LC522" s="9"/>
      <c r="LD522" s="9"/>
      <c r="LE522" s="9"/>
      <c r="LF522" s="9"/>
      <c r="LG522" s="9"/>
      <c r="LH522" s="9"/>
      <c r="LI522" s="9"/>
      <c r="LJ522" s="9"/>
      <c r="LK522" s="9"/>
      <c r="LL522" s="9"/>
      <c r="LM522" s="9"/>
      <c r="LN522" s="9"/>
      <c r="LO522" s="9"/>
      <c r="LP522" s="9"/>
      <c r="LQ522" s="9"/>
      <c r="LR522" s="9"/>
      <c r="LS522" s="9"/>
      <c r="LT522" s="9"/>
      <c r="LU522" s="9"/>
      <c r="LV522" s="9"/>
      <c r="LW522" s="9"/>
      <c r="LX522" s="9"/>
      <c r="LY522" s="9"/>
      <c r="LZ522" s="9"/>
      <c r="MA522" s="9"/>
      <c r="MB522" s="9"/>
      <c r="MC522" s="9"/>
      <c r="MD522" s="9"/>
      <c r="ME522" s="9"/>
      <c r="MF522" s="9"/>
      <c r="MG522" s="9"/>
      <c r="MH522" s="9"/>
      <c r="MI522" s="9"/>
      <c r="MJ522" s="9"/>
      <c r="MK522" s="9"/>
      <c r="ML522" s="9"/>
      <c r="MM522" s="9"/>
      <c r="MN522" s="9"/>
      <c r="MO522" s="9"/>
      <c r="MP522" s="9"/>
      <c r="MQ522" s="9"/>
      <c r="MR522" s="9"/>
      <c r="MS522" s="9"/>
      <c r="MT522" s="9"/>
      <c r="MU522" s="9"/>
      <c r="MV522" s="9"/>
      <c r="MW522" s="9"/>
      <c r="MX522" s="9"/>
      <c r="MY522" s="9"/>
      <c r="MZ522" s="9"/>
      <c r="NA522" s="9"/>
      <c r="NB522" s="9"/>
      <c r="NC522" s="9"/>
      <c r="ND522" s="9"/>
      <c r="NE522" s="9"/>
      <c r="NF522" s="9"/>
      <c r="NG522" s="9"/>
      <c r="NH522" s="9"/>
      <c r="NI522" s="9"/>
      <c r="NJ522" s="9"/>
      <c r="NK522" s="9"/>
      <c r="NL522" s="9"/>
      <c r="NM522" s="9"/>
      <c r="NN522" s="9"/>
      <c r="NO522" s="9"/>
      <c r="NP522" s="9"/>
      <c r="NQ522" s="9"/>
      <c r="NR522" s="9"/>
      <c r="NS522" s="9"/>
      <c r="NT522" s="9"/>
      <c r="NU522" s="9"/>
      <c r="NV522" s="9"/>
      <c r="NW522" s="9"/>
      <c r="NX522" s="9"/>
      <c r="NY522" s="9"/>
      <c r="NZ522" s="9"/>
      <c r="OA522" s="9"/>
      <c r="OB522" s="9"/>
      <c r="OC522" s="9"/>
      <c r="OD522" s="9"/>
      <c r="OE522" s="9"/>
      <c r="OF522" s="9"/>
      <c r="OG522" s="9"/>
      <c r="OH522" s="9"/>
      <c r="OI522" s="9"/>
      <c r="OJ522" s="9"/>
      <c r="OK522" s="9"/>
      <c r="OL522" s="9"/>
      <c r="OM522" s="9"/>
      <c r="ON522" s="9"/>
      <c r="OO522" s="9"/>
      <c r="OP522" s="9"/>
      <c r="OQ522" s="9"/>
      <c r="OR522" s="9"/>
      <c r="OS522" s="9"/>
      <c r="OT522" s="9"/>
      <c r="OU522" s="9"/>
      <c r="OV522" s="9"/>
      <c r="OW522" s="9"/>
      <c r="OX522" s="9"/>
      <c r="OY522" s="9"/>
      <c r="OZ522" s="9"/>
      <c r="PA522" s="9"/>
      <c r="PB522" s="9"/>
      <c r="PC522" s="9"/>
      <c r="PD522" s="9"/>
      <c r="PE522" s="9"/>
      <c r="PF522" s="9"/>
      <c r="PG522" s="9"/>
      <c r="PH522" s="9"/>
      <c r="PI522" s="9"/>
      <c r="PJ522" s="9"/>
      <c r="PK522" s="9"/>
      <c r="PL522" s="9"/>
      <c r="PM522" s="9"/>
      <c r="PN522" s="9"/>
      <c r="PO522" s="9"/>
      <c r="PP522" s="9"/>
      <c r="PQ522" s="9"/>
      <c r="PR522" s="9"/>
      <c r="PS522" s="9"/>
      <c r="PT522" s="9"/>
      <c r="PU522" s="9"/>
      <c r="PV522" s="9"/>
      <c r="PW522" s="9"/>
      <c r="PX522" s="9"/>
      <c r="PY522" s="9"/>
      <c r="PZ522" s="9"/>
      <c r="QA522" s="9"/>
      <c r="QB522" s="9"/>
      <c r="QC522" s="9"/>
      <c r="QD522" s="9"/>
      <c r="QE522" s="9"/>
      <c r="QF522" s="9"/>
      <c r="QG522" s="9"/>
      <c r="QH522" s="9"/>
      <c r="QI522" s="9"/>
      <c r="QJ522" s="9"/>
      <c r="QK522" s="9"/>
      <c r="QL522" s="9"/>
      <c r="QM522" s="9"/>
      <c r="QN522" s="9"/>
      <c r="QO522" s="9"/>
      <c r="QP522" s="9"/>
      <c r="QQ522" s="9"/>
      <c r="QR522" s="9"/>
      <c r="QS522" s="9"/>
      <c r="QT522" s="9"/>
      <c r="QU522" s="9"/>
      <c r="QV522" s="9"/>
      <c r="QW522" s="9"/>
      <c r="QX522" s="9"/>
      <c r="QY522" s="9"/>
      <c r="QZ522" s="9"/>
      <c r="RA522" s="9"/>
      <c r="RB522" s="9"/>
      <c r="RC522" s="9"/>
      <c r="RD522" s="9"/>
      <c r="RE522" s="9"/>
      <c r="RF522" s="9"/>
      <c r="RG522" s="9"/>
      <c r="RH522" s="9"/>
      <c r="RI522" s="9"/>
      <c r="RJ522" s="9"/>
      <c r="RK522" s="9"/>
      <c r="RL522" s="9"/>
      <c r="RM522" s="9"/>
      <c r="RN522" s="9"/>
      <c r="RO522" s="9"/>
      <c r="RP522" s="9"/>
      <c r="RQ522" s="9"/>
      <c r="RR522" s="9"/>
      <c r="RS522" s="9"/>
      <c r="RT522" s="9"/>
      <c r="RU522" s="9"/>
      <c r="RV522" s="9"/>
      <c r="RW522" s="9"/>
      <c r="RX522" s="9"/>
      <c r="RY522" s="9"/>
      <c r="RZ522" s="9"/>
      <c r="SA522" s="9"/>
      <c r="SB522" s="9"/>
      <c r="SC522" s="9"/>
      <c r="SD522" s="9"/>
      <c r="SE522" s="9"/>
      <c r="SF522" s="9"/>
      <c r="SG522" s="9"/>
      <c r="SH522" s="9"/>
      <c r="SI522" s="9"/>
      <c r="SJ522" s="9"/>
      <c r="SK522" s="9"/>
      <c r="SL522" s="9"/>
      <c r="SM522" s="9"/>
      <c r="SN522" s="9"/>
      <c r="SO522" s="9"/>
      <c r="SP522" s="9"/>
      <c r="SQ522" s="9"/>
      <c r="SR522" s="9"/>
      <c r="SS522" s="9"/>
      <c r="ST522" s="9"/>
      <c r="SU522" s="9"/>
      <c r="SV522" s="9"/>
      <c r="SW522" s="9"/>
      <c r="SX522" s="9"/>
      <c r="SY522" s="9"/>
      <c r="SZ522" s="9"/>
      <c r="TA522" s="9"/>
      <c r="TB522" s="9"/>
      <c r="TC522" s="9"/>
      <c r="TD522" s="9"/>
      <c r="TE522" s="9"/>
      <c r="TF522" s="9"/>
      <c r="TG522" s="9"/>
      <c r="TH522" s="9"/>
      <c r="TI522" s="9"/>
      <c r="TJ522" s="9"/>
      <c r="TK522" s="9"/>
      <c r="TL522" s="9"/>
      <c r="TM522" s="9"/>
      <c r="TN522" s="9"/>
      <c r="TO522" s="9"/>
      <c r="TP522" s="9"/>
      <c r="TQ522" s="9"/>
      <c r="TR522" s="9"/>
      <c r="TS522" s="9"/>
      <c r="TT522" s="9"/>
      <c r="TU522" s="9"/>
      <c r="TV522" s="9"/>
      <c r="TW522" s="9"/>
      <c r="TX522" s="9"/>
      <c r="TY522" s="9"/>
      <c r="TZ522" s="9"/>
      <c r="UA522" s="9"/>
      <c r="UB522" s="9"/>
      <c r="UC522" s="9"/>
      <c r="UD522" s="9"/>
      <c r="UE522" s="9"/>
      <c r="UF522" s="9"/>
      <c r="UG522" s="9"/>
      <c r="UH522" s="9"/>
      <c r="UI522" s="9"/>
      <c r="UJ522" s="9"/>
    </row>
    <row r="523">
      <c r="A523" s="8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  <c r="IN523" s="9"/>
      <c r="IO523" s="9"/>
      <c r="IP523" s="9"/>
      <c r="IQ523" s="9"/>
      <c r="IR523" s="9"/>
      <c r="IS523" s="9"/>
      <c r="IT523" s="9"/>
      <c r="IU523" s="9"/>
      <c r="IV523" s="9"/>
      <c r="IW523" s="9"/>
      <c r="IX523" s="9"/>
      <c r="IY523" s="9"/>
      <c r="IZ523" s="9"/>
      <c r="JA523" s="9"/>
      <c r="JB523" s="9"/>
      <c r="JC523" s="9"/>
      <c r="JD523" s="9"/>
      <c r="JE523" s="9"/>
      <c r="JF523" s="9"/>
      <c r="JG523" s="9"/>
      <c r="JH523" s="9"/>
      <c r="JI523" s="9"/>
      <c r="JJ523" s="9"/>
      <c r="JK523" s="9"/>
      <c r="JL523" s="9"/>
      <c r="JM523" s="9"/>
      <c r="JN523" s="9"/>
      <c r="JO523" s="9"/>
      <c r="JP523" s="9"/>
      <c r="JQ523" s="9"/>
      <c r="JR523" s="9"/>
      <c r="JS523" s="9"/>
      <c r="JT523" s="9"/>
      <c r="JU523" s="9"/>
      <c r="JV523" s="9"/>
      <c r="JW523" s="9"/>
      <c r="JX523" s="9"/>
      <c r="JY523" s="9"/>
      <c r="JZ523" s="9"/>
      <c r="KA523" s="9"/>
      <c r="KB523" s="9"/>
      <c r="KC523" s="9"/>
      <c r="KD523" s="9"/>
      <c r="KE523" s="9"/>
      <c r="KF523" s="9"/>
      <c r="KG523" s="9"/>
      <c r="KH523" s="9"/>
      <c r="KI523" s="9"/>
      <c r="KJ523" s="9"/>
      <c r="KK523" s="9"/>
      <c r="KL523" s="9"/>
      <c r="KM523" s="9"/>
      <c r="KN523" s="9"/>
      <c r="KO523" s="9"/>
      <c r="KP523" s="9"/>
      <c r="KQ523" s="9"/>
      <c r="KR523" s="9"/>
      <c r="KS523" s="9"/>
      <c r="KT523" s="9"/>
      <c r="KU523" s="9"/>
      <c r="KV523" s="9"/>
      <c r="KW523" s="9"/>
      <c r="KX523" s="9"/>
      <c r="KY523" s="9"/>
      <c r="KZ523" s="9"/>
      <c r="LA523" s="9"/>
      <c r="LB523" s="9"/>
      <c r="LC523" s="9"/>
      <c r="LD523" s="9"/>
      <c r="LE523" s="9"/>
      <c r="LF523" s="9"/>
      <c r="LG523" s="9"/>
      <c r="LH523" s="9"/>
      <c r="LI523" s="9"/>
      <c r="LJ523" s="9"/>
      <c r="LK523" s="9"/>
      <c r="LL523" s="9"/>
      <c r="LM523" s="9"/>
      <c r="LN523" s="9"/>
      <c r="LO523" s="9"/>
      <c r="LP523" s="9"/>
      <c r="LQ523" s="9"/>
      <c r="LR523" s="9"/>
      <c r="LS523" s="9"/>
      <c r="LT523" s="9"/>
      <c r="LU523" s="9"/>
      <c r="LV523" s="9"/>
      <c r="LW523" s="9"/>
      <c r="LX523" s="9"/>
      <c r="LY523" s="9"/>
      <c r="LZ523" s="9"/>
      <c r="MA523" s="9"/>
      <c r="MB523" s="9"/>
      <c r="MC523" s="9"/>
      <c r="MD523" s="9"/>
      <c r="ME523" s="9"/>
      <c r="MF523" s="9"/>
      <c r="MG523" s="9"/>
      <c r="MH523" s="9"/>
      <c r="MI523" s="9"/>
      <c r="MJ523" s="9"/>
      <c r="MK523" s="9"/>
      <c r="ML523" s="9"/>
      <c r="MM523" s="9"/>
      <c r="MN523" s="9"/>
      <c r="MO523" s="9"/>
      <c r="MP523" s="9"/>
      <c r="MQ523" s="9"/>
      <c r="MR523" s="9"/>
      <c r="MS523" s="9"/>
      <c r="MT523" s="9"/>
      <c r="MU523" s="9"/>
      <c r="MV523" s="9"/>
      <c r="MW523" s="9"/>
      <c r="MX523" s="9"/>
      <c r="MY523" s="9"/>
      <c r="MZ523" s="9"/>
      <c r="NA523" s="9"/>
      <c r="NB523" s="9"/>
      <c r="NC523" s="9"/>
      <c r="ND523" s="9"/>
      <c r="NE523" s="9"/>
      <c r="NF523" s="9"/>
      <c r="NG523" s="9"/>
      <c r="NH523" s="9"/>
      <c r="NI523" s="9"/>
      <c r="NJ523" s="9"/>
      <c r="NK523" s="9"/>
      <c r="NL523" s="9"/>
      <c r="NM523" s="9"/>
      <c r="NN523" s="9"/>
      <c r="NO523" s="9"/>
      <c r="NP523" s="9"/>
      <c r="NQ523" s="9"/>
      <c r="NR523" s="9"/>
      <c r="NS523" s="9"/>
      <c r="NT523" s="9"/>
      <c r="NU523" s="9"/>
      <c r="NV523" s="9"/>
      <c r="NW523" s="9"/>
      <c r="NX523" s="9"/>
      <c r="NY523" s="9"/>
      <c r="NZ523" s="9"/>
      <c r="OA523" s="9"/>
      <c r="OB523" s="9"/>
      <c r="OC523" s="9"/>
      <c r="OD523" s="9"/>
      <c r="OE523" s="9"/>
      <c r="OF523" s="9"/>
      <c r="OG523" s="9"/>
      <c r="OH523" s="9"/>
      <c r="OI523" s="9"/>
      <c r="OJ523" s="9"/>
      <c r="OK523" s="9"/>
      <c r="OL523" s="9"/>
      <c r="OM523" s="9"/>
      <c r="ON523" s="9"/>
      <c r="OO523" s="9"/>
      <c r="OP523" s="9"/>
      <c r="OQ523" s="9"/>
      <c r="OR523" s="9"/>
      <c r="OS523" s="9"/>
      <c r="OT523" s="9"/>
      <c r="OU523" s="9"/>
      <c r="OV523" s="9"/>
      <c r="OW523" s="9"/>
      <c r="OX523" s="9"/>
      <c r="OY523" s="9"/>
      <c r="OZ523" s="9"/>
      <c r="PA523" s="9"/>
      <c r="PB523" s="9"/>
      <c r="PC523" s="9"/>
      <c r="PD523" s="9"/>
      <c r="PE523" s="9"/>
      <c r="PF523" s="9"/>
      <c r="PG523" s="9"/>
      <c r="PH523" s="9"/>
      <c r="PI523" s="9"/>
      <c r="PJ523" s="9"/>
      <c r="PK523" s="9"/>
      <c r="PL523" s="9"/>
      <c r="PM523" s="9"/>
      <c r="PN523" s="9"/>
      <c r="PO523" s="9"/>
      <c r="PP523" s="9"/>
      <c r="PQ523" s="9"/>
      <c r="PR523" s="9"/>
      <c r="PS523" s="9"/>
      <c r="PT523" s="9"/>
      <c r="PU523" s="9"/>
      <c r="PV523" s="9"/>
      <c r="PW523" s="9"/>
      <c r="PX523" s="9"/>
      <c r="PY523" s="9"/>
      <c r="PZ523" s="9"/>
      <c r="QA523" s="9"/>
      <c r="QB523" s="9"/>
      <c r="QC523" s="9"/>
      <c r="QD523" s="9"/>
      <c r="QE523" s="9"/>
      <c r="QF523" s="9"/>
      <c r="QG523" s="9"/>
      <c r="QH523" s="9"/>
      <c r="QI523" s="9"/>
      <c r="QJ523" s="9"/>
      <c r="QK523" s="9"/>
      <c r="QL523" s="9"/>
      <c r="QM523" s="9"/>
      <c r="QN523" s="9"/>
      <c r="QO523" s="9"/>
      <c r="QP523" s="9"/>
      <c r="QQ523" s="9"/>
      <c r="QR523" s="9"/>
      <c r="QS523" s="9"/>
      <c r="QT523" s="9"/>
      <c r="QU523" s="9"/>
      <c r="QV523" s="9"/>
      <c r="QW523" s="9"/>
      <c r="QX523" s="9"/>
      <c r="QY523" s="9"/>
      <c r="QZ523" s="9"/>
      <c r="RA523" s="9"/>
      <c r="RB523" s="9"/>
      <c r="RC523" s="9"/>
      <c r="RD523" s="9"/>
      <c r="RE523" s="9"/>
      <c r="RF523" s="9"/>
      <c r="RG523" s="9"/>
      <c r="RH523" s="9"/>
      <c r="RI523" s="9"/>
      <c r="RJ523" s="9"/>
      <c r="RK523" s="9"/>
      <c r="RL523" s="9"/>
      <c r="RM523" s="9"/>
      <c r="RN523" s="9"/>
      <c r="RO523" s="9"/>
      <c r="RP523" s="9"/>
      <c r="RQ523" s="9"/>
      <c r="RR523" s="9"/>
      <c r="RS523" s="9"/>
      <c r="RT523" s="9"/>
      <c r="RU523" s="9"/>
      <c r="RV523" s="9"/>
      <c r="RW523" s="9"/>
      <c r="RX523" s="9"/>
      <c r="RY523" s="9"/>
      <c r="RZ523" s="9"/>
      <c r="SA523" s="9"/>
      <c r="SB523" s="9"/>
      <c r="SC523" s="9"/>
      <c r="SD523" s="9"/>
      <c r="SE523" s="9"/>
      <c r="SF523" s="9"/>
      <c r="SG523" s="9"/>
      <c r="SH523" s="9"/>
      <c r="SI523" s="9"/>
      <c r="SJ523" s="9"/>
      <c r="SK523" s="9"/>
      <c r="SL523" s="9"/>
      <c r="SM523" s="9"/>
      <c r="SN523" s="9"/>
      <c r="SO523" s="9"/>
      <c r="SP523" s="9"/>
      <c r="SQ523" s="9"/>
      <c r="SR523" s="9"/>
      <c r="SS523" s="9"/>
      <c r="ST523" s="9"/>
      <c r="SU523" s="9"/>
      <c r="SV523" s="9"/>
      <c r="SW523" s="9"/>
      <c r="SX523" s="9"/>
      <c r="SY523" s="9"/>
      <c r="SZ523" s="9"/>
      <c r="TA523" s="9"/>
      <c r="TB523" s="9"/>
      <c r="TC523" s="9"/>
      <c r="TD523" s="9"/>
      <c r="TE523" s="9"/>
      <c r="TF523" s="9"/>
      <c r="TG523" s="9"/>
      <c r="TH523" s="9"/>
      <c r="TI523" s="9"/>
      <c r="TJ523" s="9"/>
      <c r="TK523" s="9"/>
      <c r="TL523" s="9"/>
      <c r="TM523" s="9"/>
      <c r="TN523" s="9"/>
      <c r="TO523" s="9"/>
      <c r="TP523" s="9"/>
      <c r="TQ523" s="9"/>
      <c r="TR523" s="9"/>
      <c r="TS523" s="9"/>
      <c r="TT523" s="9"/>
      <c r="TU523" s="9"/>
      <c r="TV523" s="9"/>
      <c r="TW523" s="9"/>
      <c r="TX523" s="9"/>
      <c r="TY523" s="9"/>
      <c r="TZ523" s="9"/>
      <c r="UA523" s="9"/>
      <c r="UB523" s="9"/>
      <c r="UC523" s="9"/>
      <c r="UD523" s="9"/>
      <c r="UE523" s="9"/>
      <c r="UF523" s="9"/>
      <c r="UG523" s="9"/>
      <c r="UH523" s="9"/>
      <c r="UI523" s="9"/>
      <c r="UJ523" s="9"/>
    </row>
    <row r="524">
      <c r="A524" s="8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</row>
    <row r="525">
      <c r="A525" s="8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  <c r="IW525" s="9"/>
      <c r="IX525" s="9"/>
      <c r="IY525" s="9"/>
      <c r="IZ525" s="9"/>
      <c r="JA525" s="9"/>
      <c r="JB525" s="9"/>
      <c r="JC525" s="9"/>
      <c r="JD525" s="9"/>
      <c r="JE525" s="9"/>
      <c r="JF525" s="9"/>
      <c r="JG525" s="9"/>
      <c r="JH525" s="9"/>
      <c r="JI525" s="9"/>
      <c r="JJ525" s="9"/>
      <c r="JK525" s="9"/>
      <c r="JL525" s="9"/>
      <c r="JM525" s="9"/>
      <c r="JN525" s="9"/>
      <c r="JO525" s="9"/>
      <c r="JP525" s="9"/>
      <c r="JQ525" s="9"/>
      <c r="JR525" s="9"/>
      <c r="JS525" s="9"/>
      <c r="JT525" s="9"/>
      <c r="JU525" s="9"/>
      <c r="JV525" s="9"/>
      <c r="JW525" s="9"/>
      <c r="JX525" s="9"/>
      <c r="JY525" s="9"/>
      <c r="JZ525" s="9"/>
      <c r="KA525" s="9"/>
      <c r="KB525" s="9"/>
      <c r="KC525" s="9"/>
      <c r="KD525" s="9"/>
      <c r="KE525" s="9"/>
      <c r="KF525" s="9"/>
      <c r="KG525" s="9"/>
      <c r="KH525" s="9"/>
      <c r="KI525" s="9"/>
      <c r="KJ525" s="9"/>
      <c r="KK525" s="9"/>
      <c r="KL525" s="9"/>
      <c r="KM525" s="9"/>
      <c r="KN525" s="9"/>
      <c r="KO525" s="9"/>
      <c r="KP525" s="9"/>
      <c r="KQ525" s="9"/>
      <c r="KR525" s="9"/>
      <c r="KS525" s="9"/>
      <c r="KT525" s="9"/>
      <c r="KU525" s="9"/>
      <c r="KV525" s="9"/>
      <c r="KW525" s="9"/>
      <c r="KX525" s="9"/>
      <c r="KY525" s="9"/>
      <c r="KZ525" s="9"/>
      <c r="LA525" s="9"/>
      <c r="LB525" s="9"/>
      <c r="LC525" s="9"/>
      <c r="LD525" s="9"/>
      <c r="LE525" s="9"/>
      <c r="LF525" s="9"/>
      <c r="LG525" s="9"/>
      <c r="LH525" s="9"/>
      <c r="LI525" s="9"/>
      <c r="LJ525" s="9"/>
      <c r="LK525" s="9"/>
      <c r="LL525" s="9"/>
      <c r="LM525" s="9"/>
      <c r="LN525" s="9"/>
      <c r="LO525" s="9"/>
      <c r="LP525" s="9"/>
      <c r="LQ525" s="9"/>
      <c r="LR525" s="9"/>
      <c r="LS525" s="9"/>
      <c r="LT525" s="9"/>
      <c r="LU525" s="9"/>
      <c r="LV525" s="9"/>
      <c r="LW525" s="9"/>
      <c r="LX525" s="9"/>
      <c r="LY525" s="9"/>
      <c r="LZ525" s="9"/>
      <c r="MA525" s="9"/>
      <c r="MB525" s="9"/>
      <c r="MC525" s="9"/>
      <c r="MD525" s="9"/>
      <c r="ME525" s="9"/>
      <c r="MF525" s="9"/>
      <c r="MG525" s="9"/>
      <c r="MH525" s="9"/>
      <c r="MI525" s="9"/>
      <c r="MJ525" s="9"/>
      <c r="MK525" s="9"/>
      <c r="ML525" s="9"/>
      <c r="MM525" s="9"/>
      <c r="MN525" s="9"/>
      <c r="MO525" s="9"/>
      <c r="MP525" s="9"/>
      <c r="MQ525" s="9"/>
      <c r="MR525" s="9"/>
      <c r="MS525" s="9"/>
      <c r="MT525" s="9"/>
      <c r="MU525" s="9"/>
      <c r="MV525" s="9"/>
      <c r="MW525" s="9"/>
      <c r="MX525" s="9"/>
      <c r="MY525" s="9"/>
      <c r="MZ525" s="9"/>
      <c r="NA525" s="9"/>
      <c r="NB525" s="9"/>
      <c r="NC525" s="9"/>
      <c r="ND525" s="9"/>
      <c r="NE525" s="9"/>
      <c r="NF525" s="9"/>
      <c r="NG525" s="9"/>
      <c r="NH525" s="9"/>
      <c r="NI525" s="9"/>
      <c r="NJ525" s="9"/>
      <c r="NK525" s="9"/>
      <c r="NL525" s="9"/>
      <c r="NM525" s="9"/>
      <c r="NN525" s="9"/>
      <c r="NO525" s="9"/>
      <c r="NP525" s="9"/>
      <c r="NQ525" s="9"/>
      <c r="NR525" s="9"/>
      <c r="NS525" s="9"/>
      <c r="NT525" s="9"/>
      <c r="NU525" s="9"/>
      <c r="NV525" s="9"/>
      <c r="NW525" s="9"/>
      <c r="NX525" s="9"/>
      <c r="NY525" s="9"/>
      <c r="NZ525" s="9"/>
      <c r="OA525" s="9"/>
      <c r="OB525" s="9"/>
      <c r="OC525" s="9"/>
      <c r="OD525" s="9"/>
      <c r="OE525" s="9"/>
      <c r="OF525" s="9"/>
      <c r="OG525" s="9"/>
      <c r="OH525" s="9"/>
      <c r="OI525" s="9"/>
      <c r="OJ525" s="9"/>
      <c r="OK525" s="9"/>
      <c r="OL525" s="9"/>
      <c r="OM525" s="9"/>
      <c r="ON525" s="9"/>
      <c r="OO525" s="9"/>
      <c r="OP525" s="9"/>
      <c r="OQ525" s="9"/>
      <c r="OR525" s="9"/>
      <c r="OS525" s="9"/>
      <c r="OT525" s="9"/>
      <c r="OU525" s="9"/>
      <c r="OV525" s="9"/>
      <c r="OW525" s="9"/>
      <c r="OX525" s="9"/>
      <c r="OY525" s="9"/>
      <c r="OZ525" s="9"/>
      <c r="PA525" s="9"/>
      <c r="PB525" s="9"/>
      <c r="PC525" s="9"/>
      <c r="PD525" s="9"/>
      <c r="PE525" s="9"/>
      <c r="PF525" s="9"/>
      <c r="PG525" s="9"/>
      <c r="PH525" s="9"/>
      <c r="PI525" s="9"/>
      <c r="PJ525" s="9"/>
      <c r="PK525" s="9"/>
      <c r="PL525" s="9"/>
      <c r="PM525" s="9"/>
      <c r="PN525" s="9"/>
      <c r="PO525" s="9"/>
      <c r="PP525" s="9"/>
      <c r="PQ525" s="9"/>
      <c r="PR525" s="9"/>
      <c r="PS525" s="9"/>
      <c r="PT525" s="9"/>
      <c r="PU525" s="9"/>
      <c r="PV525" s="9"/>
      <c r="PW525" s="9"/>
      <c r="PX525" s="9"/>
      <c r="PY525" s="9"/>
      <c r="PZ525" s="9"/>
      <c r="QA525" s="9"/>
      <c r="QB525" s="9"/>
      <c r="QC525" s="9"/>
      <c r="QD525" s="9"/>
      <c r="QE525" s="9"/>
      <c r="QF525" s="9"/>
      <c r="QG525" s="9"/>
      <c r="QH525" s="9"/>
      <c r="QI525" s="9"/>
      <c r="QJ525" s="9"/>
      <c r="QK525" s="9"/>
      <c r="QL525" s="9"/>
      <c r="QM525" s="9"/>
      <c r="QN525" s="9"/>
      <c r="QO525" s="9"/>
      <c r="QP525" s="9"/>
      <c r="QQ525" s="9"/>
      <c r="QR525" s="9"/>
      <c r="QS525" s="9"/>
      <c r="QT525" s="9"/>
      <c r="QU525" s="9"/>
      <c r="QV525" s="9"/>
      <c r="QW525" s="9"/>
      <c r="QX525" s="9"/>
      <c r="QY525" s="9"/>
      <c r="QZ525" s="9"/>
      <c r="RA525" s="9"/>
      <c r="RB525" s="9"/>
      <c r="RC525" s="9"/>
      <c r="RD525" s="9"/>
      <c r="RE525" s="9"/>
      <c r="RF525" s="9"/>
      <c r="RG525" s="9"/>
      <c r="RH525" s="9"/>
      <c r="RI525" s="9"/>
      <c r="RJ525" s="9"/>
      <c r="RK525" s="9"/>
      <c r="RL525" s="9"/>
      <c r="RM525" s="9"/>
      <c r="RN525" s="9"/>
      <c r="RO525" s="9"/>
      <c r="RP525" s="9"/>
      <c r="RQ525" s="9"/>
      <c r="RR525" s="9"/>
      <c r="RS525" s="9"/>
      <c r="RT525" s="9"/>
      <c r="RU525" s="9"/>
      <c r="RV525" s="9"/>
      <c r="RW525" s="9"/>
      <c r="RX525" s="9"/>
      <c r="RY525" s="9"/>
      <c r="RZ525" s="9"/>
      <c r="SA525" s="9"/>
      <c r="SB525" s="9"/>
      <c r="SC525" s="9"/>
      <c r="SD525" s="9"/>
      <c r="SE525" s="9"/>
      <c r="SF525" s="9"/>
      <c r="SG525" s="9"/>
      <c r="SH525" s="9"/>
      <c r="SI525" s="9"/>
      <c r="SJ525" s="9"/>
      <c r="SK525" s="9"/>
      <c r="SL525" s="9"/>
      <c r="SM525" s="9"/>
      <c r="SN525" s="9"/>
      <c r="SO525" s="9"/>
      <c r="SP525" s="9"/>
      <c r="SQ525" s="9"/>
      <c r="SR525" s="9"/>
      <c r="SS525" s="9"/>
      <c r="ST525" s="9"/>
      <c r="SU525" s="9"/>
      <c r="SV525" s="9"/>
      <c r="SW525" s="9"/>
      <c r="SX525" s="9"/>
      <c r="SY525" s="9"/>
      <c r="SZ525" s="9"/>
      <c r="TA525" s="9"/>
      <c r="TB525" s="9"/>
      <c r="TC525" s="9"/>
      <c r="TD525" s="9"/>
      <c r="TE525" s="9"/>
      <c r="TF525" s="9"/>
      <c r="TG525" s="9"/>
      <c r="TH525" s="9"/>
      <c r="TI525" s="9"/>
      <c r="TJ525" s="9"/>
      <c r="TK525" s="9"/>
      <c r="TL525" s="9"/>
      <c r="TM525" s="9"/>
      <c r="TN525" s="9"/>
      <c r="TO525" s="9"/>
      <c r="TP525" s="9"/>
      <c r="TQ525" s="9"/>
      <c r="TR525" s="9"/>
      <c r="TS525" s="9"/>
      <c r="TT525" s="9"/>
      <c r="TU525" s="9"/>
      <c r="TV525" s="9"/>
      <c r="TW525" s="9"/>
      <c r="TX525" s="9"/>
      <c r="TY525" s="9"/>
      <c r="TZ525" s="9"/>
      <c r="UA525" s="9"/>
      <c r="UB525" s="9"/>
      <c r="UC525" s="9"/>
      <c r="UD525" s="9"/>
      <c r="UE525" s="9"/>
      <c r="UF525" s="9"/>
      <c r="UG525" s="9"/>
      <c r="UH525" s="9"/>
      <c r="UI525" s="9"/>
      <c r="UJ525" s="9"/>
    </row>
    <row r="526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  <c r="IW526" s="9"/>
      <c r="IX526" s="9"/>
      <c r="IY526" s="9"/>
      <c r="IZ526" s="9"/>
      <c r="JA526" s="9"/>
      <c r="JB526" s="9"/>
      <c r="JC526" s="9"/>
      <c r="JD526" s="9"/>
      <c r="JE526" s="9"/>
      <c r="JF526" s="9"/>
      <c r="JG526" s="9"/>
      <c r="JH526" s="9"/>
      <c r="JI526" s="9"/>
      <c r="JJ526" s="9"/>
      <c r="JK526" s="9"/>
      <c r="JL526" s="9"/>
      <c r="JM526" s="9"/>
      <c r="JN526" s="9"/>
      <c r="JO526" s="9"/>
      <c r="JP526" s="9"/>
      <c r="JQ526" s="9"/>
      <c r="JR526" s="9"/>
      <c r="JS526" s="9"/>
      <c r="JT526" s="9"/>
      <c r="JU526" s="9"/>
      <c r="JV526" s="9"/>
      <c r="JW526" s="9"/>
      <c r="JX526" s="9"/>
      <c r="JY526" s="9"/>
      <c r="JZ526" s="9"/>
      <c r="KA526" s="9"/>
      <c r="KB526" s="9"/>
      <c r="KC526" s="9"/>
      <c r="KD526" s="9"/>
      <c r="KE526" s="9"/>
      <c r="KF526" s="9"/>
      <c r="KG526" s="9"/>
      <c r="KH526" s="9"/>
      <c r="KI526" s="9"/>
      <c r="KJ526" s="9"/>
      <c r="KK526" s="9"/>
      <c r="KL526" s="9"/>
      <c r="KM526" s="9"/>
      <c r="KN526" s="9"/>
      <c r="KO526" s="9"/>
      <c r="KP526" s="9"/>
      <c r="KQ526" s="9"/>
      <c r="KR526" s="9"/>
      <c r="KS526" s="9"/>
      <c r="KT526" s="9"/>
      <c r="KU526" s="9"/>
      <c r="KV526" s="9"/>
      <c r="KW526" s="9"/>
      <c r="KX526" s="9"/>
      <c r="KY526" s="9"/>
      <c r="KZ526" s="9"/>
      <c r="LA526" s="9"/>
      <c r="LB526" s="9"/>
      <c r="LC526" s="9"/>
      <c r="LD526" s="9"/>
      <c r="LE526" s="9"/>
      <c r="LF526" s="9"/>
      <c r="LG526" s="9"/>
      <c r="LH526" s="9"/>
      <c r="LI526" s="9"/>
      <c r="LJ526" s="9"/>
      <c r="LK526" s="9"/>
      <c r="LL526" s="9"/>
      <c r="LM526" s="9"/>
      <c r="LN526" s="9"/>
      <c r="LO526" s="9"/>
      <c r="LP526" s="9"/>
      <c r="LQ526" s="9"/>
      <c r="LR526" s="9"/>
      <c r="LS526" s="9"/>
      <c r="LT526" s="9"/>
      <c r="LU526" s="9"/>
      <c r="LV526" s="9"/>
      <c r="LW526" s="9"/>
      <c r="LX526" s="9"/>
      <c r="LY526" s="9"/>
      <c r="LZ526" s="9"/>
      <c r="MA526" s="9"/>
      <c r="MB526" s="9"/>
      <c r="MC526" s="9"/>
      <c r="MD526" s="9"/>
      <c r="ME526" s="9"/>
      <c r="MF526" s="9"/>
      <c r="MG526" s="9"/>
      <c r="MH526" s="9"/>
      <c r="MI526" s="9"/>
      <c r="MJ526" s="9"/>
      <c r="MK526" s="9"/>
      <c r="ML526" s="9"/>
      <c r="MM526" s="9"/>
      <c r="MN526" s="9"/>
      <c r="MO526" s="9"/>
      <c r="MP526" s="9"/>
      <c r="MQ526" s="9"/>
      <c r="MR526" s="9"/>
      <c r="MS526" s="9"/>
      <c r="MT526" s="9"/>
      <c r="MU526" s="9"/>
      <c r="MV526" s="9"/>
      <c r="MW526" s="9"/>
      <c r="MX526" s="9"/>
      <c r="MY526" s="9"/>
      <c r="MZ526" s="9"/>
      <c r="NA526" s="9"/>
      <c r="NB526" s="9"/>
      <c r="NC526" s="9"/>
      <c r="ND526" s="9"/>
      <c r="NE526" s="9"/>
      <c r="NF526" s="9"/>
      <c r="NG526" s="9"/>
      <c r="NH526" s="9"/>
      <c r="NI526" s="9"/>
      <c r="NJ526" s="9"/>
      <c r="NK526" s="9"/>
      <c r="NL526" s="9"/>
      <c r="NM526" s="9"/>
      <c r="NN526" s="9"/>
      <c r="NO526" s="9"/>
      <c r="NP526" s="9"/>
      <c r="NQ526" s="9"/>
      <c r="NR526" s="9"/>
      <c r="NS526" s="9"/>
      <c r="NT526" s="9"/>
      <c r="NU526" s="9"/>
      <c r="NV526" s="9"/>
      <c r="NW526" s="9"/>
      <c r="NX526" s="9"/>
      <c r="NY526" s="9"/>
      <c r="NZ526" s="9"/>
      <c r="OA526" s="9"/>
      <c r="OB526" s="9"/>
      <c r="OC526" s="9"/>
      <c r="OD526" s="9"/>
      <c r="OE526" s="9"/>
      <c r="OF526" s="9"/>
      <c r="OG526" s="9"/>
      <c r="OH526" s="9"/>
      <c r="OI526" s="9"/>
      <c r="OJ526" s="9"/>
      <c r="OK526" s="9"/>
      <c r="OL526" s="9"/>
      <c r="OM526" s="9"/>
      <c r="ON526" s="9"/>
      <c r="OO526" s="9"/>
      <c r="OP526" s="9"/>
      <c r="OQ526" s="9"/>
      <c r="OR526" s="9"/>
      <c r="OS526" s="9"/>
      <c r="OT526" s="9"/>
      <c r="OU526" s="9"/>
      <c r="OV526" s="9"/>
      <c r="OW526" s="9"/>
      <c r="OX526" s="9"/>
      <c r="OY526" s="9"/>
      <c r="OZ526" s="9"/>
      <c r="PA526" s="9"/>
      <c r="PB526" s="9"/>
      <c r="PC526" s="9"/>
      <c r="PD526" s="9"/>
      <c r="PE526" s="9"/>
      <c r="PF526" s="9"/>
      <c r="PG526" s="9"/>
      <c r="PH526" s="9"/>
      <c r="PI526" s="9"/>
      <c r="PJ526" s="9"/>
      <c r="PK526" s="9"/>
      <c r="PL526" s="9"/>
      <c r="PM526" s="9"/>
      <c r="PN526" s="9"/>
      <c r="PO526" s="9"/>
      <c r="PP526" s="9"/>
      <c r="PQ526" s="9"/>
      <c r="PR526" s="9"/>
      <c r="PS526" s="9"/>
      <c r="PT526" s="9"/>
      <c r="PU526" s="9"/>
      <c r="PV526" s="9"/>
      <c r="PW526" s="9"/>
      <c r="PX526" s="9"/>
      <c r="PY526" s="9"/>
      <c r="PZ526" s="9"/>
      <c r="QA526" s="9"/>
      <c r="QB526" s="9"/>
      <c r="QC526" s="9"/>
      <c r="QD526" s="9"/>
      <c r="QE526" s="9"/>
      <c r="QF526" s="9"/>
      <c r="QG526" s="9"/>
      <c r="QH526" s="9"/>
      <c r="QI526" s="9"/>
      <c r="QJ526" s="9"/>
      <c r="QK526" s="9"/>
      <c r="QL526" s="9"/>
      <c r="QM526" s="9"/>
      <c r="QN526" s="9"/>
      <c r="QO526" s="9"/>
      <c r="QP526" s="9"/>
      <c r="QQ526" s="9"/>
      <c r="QR526" s="9"/>
      <c r="QS526" s="9"/>
      <c r="QT526" s="9"/>
      <c r="QU526" s="9"/>
      <c r="QV526" s="9"/>
      <c r="QW526" s="9"/>
      <c r="QX526" s="9"/>
      <c r="QY526" s="9"/>
      <c r="QZ526" s="9"/>
      <c r="RA526" s="9"/>
      <c r="RB526" s="9"/>
      <c r="RC526" s="9"/>
      <c r="RD526" s="9"/>
      <c r="RE526" s="9"/>
      <c r="RF526" s="9"/>
      <c r="RG526" s="9"/>
      <c r="RH526" s="9"/>
      <c r="RI526" s="9"/>
      <c r="RJ526" s="9"/>
      <c r="RK526" s="9"/>
      <c r="RL526" s="9"/>
      <c r="RM526" s="9"/>
      <c r="RN526" s="9"/>
      <c r="RO526" s="9"/>
      <c r="RP526" s="9"/>
      <c r="RQ526" s="9"/>
      <c r="RR526" s="9"/>
      <c r="RS526" s="9"/>
      <c r="RT526" s="9"/>
      <c r="RU526" s="9"/>
      <c r="RV526" s="9"/>
      <c r="RW526" s="9"/>
      <c r="RX526" s="9"/>
      <c r="RY526" s="9"/>
      <c r="RZ526" s="9"/>
      <c r="SA526" s="9"/>
      <c r="SB526" s="9"/>
      <c r="SC526" s="9"/>
      <c r="SD526" s="9"/>
      <c r="SE526" s="9"/>
      <c r="SF526" s="9"/>
      <c r="SG526" s="9"/>
      <c r="SH526" s="9"/>
      <c r="SI526" s="9"/>
      <c r="SJ526" s="9"/>
      <c r="SK526" s="9"/>
      <c r="SL526" s="9"/>
      <c r="SM526" s="9"/>
      <c r="SN526" s="9"/>
      <c r="SO526" s="9"/>
      <c r="SP526" s="9"/>
      <c r="SQ526" s="9"/>
      <c r="SR526" s="9"/>
      <c r="SS526" s="9"/>
      <c r="ST526" s="9"/>
      <c r="SU526" s="9"/>
      <c r="SV526" s="9"/>
      <c r="SW526" s="9"/>
      <c r="SX526" s="9"/>
      <c r="SY526" s="9"/>
      <c r="SZ526" s="9"/>
      <c r="TA526" s="9"/>
      <c r="TB526" s="9"/>
      <c r="TC526" s="9"/>
      <c r="TD526" s="9"/>
      <c r="TE526" s="9"/>
      <c r="TF526" s="9"/>
      <c r="TG526" s="9"/>
      <c r="TH526" s="9"/>
      <c r="TI526" s="9"/>
      <c r="TJ526" s="9"/>
      <c r="TK526" s="9"/>
      <c r="TL526" s="9"/>
      <c r="TM526" s="9"/>
      <c r="TN526" s="9"/>
      <c r="TO526" s="9"/>
      <c r="TP526" s="9"/>
      <c r="TQ526" s="9"/>
      <c r="TR526" s="9"/>
      <c r="TS526" s="9"/>
      <c r="TT526" s="9"/>
      <c r="TU526" s="9"/>
      <c r="TV526" s="9"/>
      <c r="TW526" s="9"/>
      <c r="TX526" s="9"/>
      <c r="TY526" s="9"/>
      <c r="TZ526" s="9"/>
      <c r="UA526" s="9"/>
      <c r="UB526" s="9"/>
      <c r="UC526" s="9"/>
      <c r="UD526" s="9"/>
      <c r="UE526" s="9"/>
      <c r="UF526" s="9"/>
      <c r="UG526" s="9"/>
      <c r="UH526" s="9"/>
      <c r="UI526" s="9"/>
      <c r="UJ526" s="9"/>
    </row>
    <row r="527">
      <c r="A527" s="8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</row>
    <row r="528">
      <c r="A528" s="8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</row>
    <row r="529">
      <c r="A529" s="8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</row>
    <row r="530">
      <c r="A530" s="8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</row>
    <row r="531">
      <c r="A531" s="8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</row>
    <row r="532">
      <c r="A532" s="8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</row>
    <row r="533">
      <c r="A533" s="8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</row>
    <row r="534">
      <c r="A534" s="8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</row>
    <row r="535">
      <c r="A535" s="8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  <c r="IW535" s="9"/>
      <c r="IX535" s="9"/>
      <c r="IY535" s="9"/>
      <c r="IZ535" s="9"/>
      <c r="JA535" s="9"/>
      <c r="JB535" s="9"/>
      <c r="JC535" s="9"/>
      <c r="JD535" s="9"/>
      <c r="JE535" s="9"/>
      <c r="JF535" s="9"/>
      <c r="JG535" s="9"/>
      <c r="JH535" s="9"/>
      <c r="JI535" s="9"/>
      <c r="JJ535" s="9"/>
      <c r="JK535" s="9"/>
      <c r="JL535" s="9"/>
      <c r="JM535" s="9"/>
      <c r="JN535" s="9"/>
      <c r="JO535" s="9"/>
      <c r="JP535" s="9"/>
      <c r="JQ535" s="9"/>
      <c r="JR535" s="9"/>
      <c r="JS535" s="9"/>
      <c r="JT535" s="9"/>
      <c r="JU535" s="9"/>
      <c r="JV535" s="9"/>
      <c r="JW535" s="9"/>
      <c r="JX535" s="9"/>
      <c r="JY535" s="9"/>
      <c r="JZ535" s="9"/>
      <c r="KA535" s="9"/>
      <c r="KB535" s="9"/>
      <c r="KC535" s="9"/>
      <c r="KD535" s="9"/>
      <c r="KE535" s="9"/>
      <c r="KF535" s="9"/>
      <c r="KG535" s="9"/>
      <c r="KH535" s="9"/>
      <c r="KI535" s="9"/>
      <c r="KJ535" s="9"/>
      <c r="KK535" s="9"/>
      <c r="KL535" s="9"/>
      <c r="KM535" s="9"/>
      <c r="KN535" s="9"/>
      <c r="KO535" s="9"/>
      <c r="KP535" s="9"/>
      <c r="KQ535" s="9"/>
      <c r="KR535" s="9"/>
      <c r="KS535" s="9"/>
      <c r="KT535" s="9"/>
      <c r="KU535" s="9"/>
      <c r="KV535" s="9"/>
      <c r="KW535" s="9"/>
      <c r="KX535" s="9"/>
      <c r="KY535" s="9"/>
      <c r="KZ535" s="9"/>
      <c r="LA535" s="9"/>
      <c r="LB535" s="9"/>
      <c r="LC535" s="9"/>
      <c r="LD535" s="9"/>
      <c r="LE535" s="9"/>
      <c r="LF535" s="9"/>
      <c r="LG535" s="9"/>
      <c r="LH535" s="9"/>
      <c r="LI535" s="9"/>
      <c r="LJ535" s="9"/>
      <c r="LK535" s="9"/>
      <c r="LL535" s="9"/>
      <c r="LM535" s="9"/>
      <c r="LN535" s="9"/>
      <c r="LO535" s="9"/>
      <c r="LP535" s="9"/>
      <c r="LQ535" s="9"/>
      <c r="LR535" s="9"/>
      <c r="LS535" s="9"/>
      <c r="LT535" s="9"/>
      <c r="LU535" s="9"/>
      <c r="LV535" s="9"/>
      <c r="LW535" s="9"/>
      <c r="LX535" s="9"/>
      <c r="LY535" s="9"/>
      <c r="LZ535" s="9"/>
      <c r="MA535" s="9"/>
      <c r="MB535" s="9"/>
      <c r="MC535" s="9"/>
      <c r="MD535" s="9"/>
      <c r="ME535" s="9"/>
      <c r="MF535" s="9"/>
      <c r="MG535" s="9"/>
      <c r="MH535" s="9"/>
      <c r="MI535" s="9"/>
      <c r="MJ535" s="9"/>
      <c r="MK535" s="9"/>
      <c r="ML535" s="9"/>
      <c r="MM535" s="9"/>
      <c r="MN535" s="9"/>
      <c r="MO535" s="9"/>
      <c r="MP535" s="9"/>
      <c r="MQ535" s="9"/>
      <c r="MR535" s="9"/>
      <c r="MS535" s="9"/>
      <c r="MT535" s="9"/>
      <c r="MU535" s="9"/>
      <c r="MV535" s="9"/>
      <c r="MW535" s="9"/>
      <c r="MX535" s="9"/>
      <c r="MY535" s="9"/>
      <c r="MZ535" s="9"/>
      <c r="NA535" s="9"/>
      <c r="NB535" s="9"/>
      <c r="NC535" s="9"/>
      <c r="ND535" s="9"/>
      <c r="NE535" s="9"/>
      <c r="NF535" s="9"/>
      <c r="NG535" s="9"/>
      <c r="NH535" s="9"/>
      <c r="NI535" s="9"/>
      <c r="NJ535" s="9"/>
      <c r="NK535" s="9"/>
      <c r="NL535" s="9"/>
      <c r="NM535" s="9"/>
      <c r="NN535" s="9"/>
      <c r="NO535" s="9"/>
      <c r="NP535" s="9"/>
      <c r="NQ535" s="9"/>
      <c r="NR535" s="9"/>
      <c r="NS535" s="9"/>
      <c r="NT535" s="9"/>
      <c r="NU535" s="9"/>
      <c r="NV535" s="9"/>
      <c r="NW535" s="9"/>
      <c r="NX535" s="9"/>
      <c r="NY535" s="9"/>
      <c r="NZ535" s="9"/>
      <c r="OA535" s="9"/>
      <c r="OB535" s="9"/>
      <c r="OC535" s="9"/>
      <c r="OD535" s="9"/>
      <c r="OE535" s="9"/>
      <c r="OF535" s="9"/>
      <c r="OG535" s="9"/>
      <c r="OH535" s="9"/>
      <c r="OI535" s="9"/>
      <c r="OJ535" s="9"/>
      <c r="OK535" s="9"/>
      <c r="OL535" s="9"/>
      <c r="OM535" s="9"/>
      <c r="ON535" s="9"/>
      <c r="OO535" s="9"/>
      <c r="OP535" s="9"/>
      <c r="OQ535" s="9"/>
      <c r="OR535" s="9"/>
      <c r="OS535" s="9"/>
      <c r="OT535" s="9"/>
      <c r="OU535" s="9"/>
      <c r="OV535" s="9"/>
      <c r="OW535" s="9"/>
      <c r="OX535" s="9"/>
      <c r="OY535" s="9"/>
      <c r="OZ535" s="9"/>
      <c r="PA535" s="9"/>
      <c r="PB535" s="9"/>
      <c r="PC535" s="9"/>
      <c r="PD535" s="9"/>
      <c r="PE535" s="9"/>
      <c r="PF535" s="9"/>
      <c r="PG535" s="9"/>
      <c r="PH535" s="9"/>
      <c r="PI535" s="9"/>
      <c r="PJ535" s="9"/>
      <c r="PK535" s="9"/>
      <c r="PL535" s="9"/>
      <c r="PM535" s="9"/>
      <c r="PN535" s="9"/>
      <c r="PO535" s="9"/>
      <c r="PP535" s="9"/>
      <c r="PQ535" s="9"/>
      <c r="PR535" s="9"/>
      <c r="PS535" s="9"/>
      <c r="PT535" s="9"/>
      <c r="PU535" s="9"/>
      <c r="PV535" s="9"/>
      <c r="PW535" s="9"/>
      <c r="PX535" s="9"/>
      <c r="PY535" s="9"/>
      <c r="PZ535" s="9"/>
      <c r="QA535" s="9"/>
      <c r="QB535" s="9"/>
      <c r="QC535" s="9"/>
      <c r="QD535" s="9"/>
      <c r="QE535" s="9"/>
      <c r="QF535" s="9"/>
      <c r="QG535" s="9"/>
      <c r="QH535" s="9"/>
      <c r="QI535" s="9"/>
      <c r="QJ535" s="9"/>
      <c r="QK535" s="9"/>
      <c r="QL535" s="9"/>
      <c r="QM535" s="9"/>
      <c r="QN535" s="9"/>
      <c r="QO535" s="9"/>
      <c r="QP535" s="9"/>
      <c r="QQ535" s="9"/>
      <c r="QR535" s="9"/>
      <c r="QS535" s="9"/>
      <c r="QT535" s="9"/>
      <c r="QU535" s="9"/>
      <c r="QV535" s="9"/>
      <c r="QW535" s="9"/>
      <c r="QX535" s="9"/>
      <c r="QY535" s="9"/>
      <c r="QZ535" s="9"/>
      <c r="RA535" s="9"/>
      <c r="RB535" s="9"/>
      <c r="RC535" s="9"/>
      <c r="RD535" s="9"/>
      <c r="RE535" s="9"/>
      <c r="RF535" s="9"/>
      <c r="RG535" s="9"/>
      <c r="RH535" s="9"/>
      <c r="RI535" s="9"/>
      <c r="RJ535" s="9"/>
      <c r="RK535" s="9"/>
      <c r="RL535" s="9"/>
      <c r="RM535" s="9"/>
      <c r="RN535" s="9"/>
      <c r="RO535" s="9"/>
      <c r="RP535" s="9"/>
      <c r="RQ535" s="9"/>
      <c r="RR535" s="9"/>
      <c r="RS535" s="9"/>
      <c r="RT535" s="9"/>
      <c r="RU535" s="9"/>
      <c r="RV535" s="9"/>
      <c r="RW535" s="9"/>
      <c r="RX535" s="9"/>
      <c r="RY535" s="9"/>
      <c r="RZ535" s="9"/>
      <c r="SA535" s="9"/>
      <c r="SB535" s="9"/>
      <c r="SC535" s="9"/>
      <c r="SD535" s="9"/>
      <c r="SE535" s="9"/>
      <c r="SF535" s="9"/>
      <c r="SG535" s="9"/>
      <c r="SH535" s="9"/>
      <c r="SI535" s="9"/>
      <c r="SJ535" s="9"/>
      <c r="SK535" s="9"/>
      <c r="SL535" s="9"/>
      <c r="SM535" s="9"/>
      <c r="SN535" s="9"/>
      <c r="SO535" s="9"/>
      <c r="SP535" s="9"/>
      <c r="SQ535" s="9"/>
      <c r="SR535" s="9"/>
      <c r="SS535" s="9"/>
      <c r="ST535" s="9"/>
      <c r="SU535" s="9"/>
      <c r="SV535" s="9"/>
      <c r="SW535" s="9"/>
      <c r="SX535" s="9"/>
      <c r="SY535" s="9"/>
      <c r="SZ535" s="9"/>
      <c r="TA535" s="9"/>
      <c r="TB535" s="9"/>
      <c r="TC535" s="9"/>
      <c r="TD535" s="9"/>
      <c r="TE535" s="9"/>
      <c r="TF535" s="9"/>
      <c r="TG535" s="9"/>
      <c r="TH535" s="9"/>
      <c r="TI535" s="9"/>
      <c r="TJ535" s="9"/>
      <c r="TK535" s="9"/>
      <c r="TL535" s="9"/>
      <c r="TM535" s="9"/>
      <c r="TN535" s="9"/>
      <c r="TO535" s="9"/>
      <c r="TP535" s="9"/>
      <c r="TQ535" s="9"/>
      <c r="TR535" s="9"/>
      <c r="TS535" s="9"/>
      <c r="TT535" s="9"/>
      <c r="TU535" s="9"/>
      <c r="TV535" s="9"/>
      <c r="TW535" s="9"/>
      <c r="TX535" s="9"/>
      <c r="TY535" s="9"/>
      <c r="TZ535" s="9"/>
      <c r="UA535" s="9"/>
      <c r="UB535" s="9"/>
      <c r="UC535" s="9"/>
      <c r="UD535" s="9"/>
      <c r="UE535" s="9"/>
      <c r="UF535" s="9"/>
      <c r="UG535" s="9"/>
      <c r="UH535" s="9"/>
      <c r="UI535" s="9"/>
      <c r="UJ535" s="9"/>
    </row>
    <row r="536">
      <c r="A536" s="8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9"/>
      <c r="JE536" s="9"/>
      <c r="JF536" s="9"/>
      <c r="JG536" s="9"/>
      <c r="JH536" s="9"/>
      <c r="JI536" s="9"/>
      <c r="JJ536" s="9"/>
      <c r="JK536" s="9"/>
      <c r="JL536" s="9"/>
      <c r="JM536" s="9"/>
      <c r="JN536" s="9"/>
      <c r="JO536" s="9"/>
      <c r="JP536" s="9"/>
      <c r="JQ536" s="9"/>
      <c r="JR536" s="9"/>
      <c r="JS536" s="9"/>
      <c r="JT536" s="9"/>
      <c r="JU536" s="9"/>
      <c r="JV536" s="9"/>
      <c r="JW536" s="9"/>
      <c r="JX536" s="9"/>
      <c r="JY536" s="9"/>
      <c r="JZ536" s="9"/>
      <c r="KA536" s="9"/>
      <c r="KB536" s="9"/>
      <c r="KC536" s="9"/>
      <c r="KD536" s="9"/>
      <c r="KE536" s="9"/>
      <c r="KF536" s="9"/>
      <c r="KG536" s="9"/>
      <c r="KH536" s="9"/>
      <c r="KI536" s="9"/>
      <c r="KJ536" s="9"/>
      <c r="KK536" s="9"/>
      <c r="KL536" s="9"/>
      <c r="KM536" s="9"/>
      <c r="KN536" s="9"/>
      <c r="KO536" s="9"/>
      <c r="KP536" s="9"/>
      <c r="KQ536" s="9"/>
      <c r="KR536" s="9"/>
      <c r="KS536" s="9"/>
      <c r="KT536" s="9"/>
      <c r="KU536" s="9"/>
      <c r="KV536" s="9"/>
      <c r="KW536" s="9"/>
      <c r="KX536" s="9"/>
      <c r="KY536" s="9"/>
      <c r="KZ536" s="9"/>
      <c r="LA536" s="9"/>
      <c r="LB536" s="9"/>
      <c r="LC536" s="9"/>
      <c r="LD536" s="9"/>
      <c r="LE536" s="9"/>
      <c r="LF536" s="9"/>
      <c r="LG536" s="9"/>
      <c r="LH536" s="9"/>
      <c r="LI536" s="9"/>
      <c r="LJ536" s="9"/>
      <c r="LK536" s="9"/>
      <c r="LL536" s="9"/>
      <c r="LM536" s="9"/>
      <c r="LN536" s="9"/>
      <c r="LO536" s="9"/>
      <c r="LP536" s="9"/>
      <c r="LQ536" s="9"/>
      <c r="LR536" s="9"/>
      <c r="LS536" s="9"/>
      <c r="LT536" s="9"/>
      <c r="LU536" s="9"/>
      <c r="LV536" s="9"/>
      <c r="LW536" s="9"/>
      <c r="LX536" s="9"/>
      <c r="LY536" s="9"/>
      <c r="LZ536" s="9"/>
      <c r="MA536" s="9"/>
      <c r="MB536" s="9"/>
      <c r="MC536" s="9"/>
      <c r="MD536" s="9"/>
      <c r="ME536" s="9"/>
      <c r="MF536" s="9"/>
      <c r="MG536" s="9"/>
      <c r="MH536" s="9"/>
      <c r="MI536" s="9"/>
      <c r="MJ536" s="9"/>
      <c r="MK536" s="9"/>
      <c r="ML536" s="9"/>
      <c r="MM536" s="9"/>
      <c r="MN536" s="9"/>
      <c r="MO536" s="9"/>
      <c r="MP536" s="9"/>
      <c r="MQ536" s="9"/>
      <c r="MR536" s="9"/>
      <c r="MS536" s="9"/>
      <c r="MT536" s="9"/>
      <c r="MU536" s="9"/>
      <c r="MV536" s="9"/>
      <c r="MW536" s="9"/>
      <c r="MX536" s="9"/>
      <c r="MY536" s="9"/>
      <c r="MZ536" s="9"/>
      <c r="NA536" s="9"/>
      <c r="NB536" s="9"/>
      <c r="NC536" s="9"/>
      <c r="ND536" s="9"/>
      <c r="NE536" s="9"/>
      <c r="NF536" s="9"/>
      <c r="NG536" s="9"/>
      <c r="NH536" s="9"/>
      <c r="NI536" s="9"/>
      <c r="NJ536" s="9"/>
      <c r="NK536" s="9"/>
      <c r="NL536" s="9"/>
      <c r="NM536" s="9"/>
      <c r="NN536" s="9"/>
      <c r="NO536" s="9"/>
      <c r="NP536" s="9"/>
      <c r="NQ536" s="9"/>
      <c r="NR536" s="9"/>
      <c r="NS536" s="9"/>
      <c r="NT536" s="9"/>
      <c r="NU536" s="9"/>
      <c r="NV536" s="9"/>
      <c r="NW536" s="9"/>
      <c r="NX536" s="9"/>
      <c r="NY536" s="9"/>
      <c r="NZ536" s="9"/>
      <c r="OA536" s="9"/>
      <c r="OB536" s="9"/>
      <c r="OC536" s="9"/>
      <c r="OD536" s="9"/>
      <c r="OE536" s="9"/>
      <c r="OF536" s="9"/>
      <c r="OG536" s="9"/>
      <c r="OH536" s="9"/>
      <c r="OI536" s="9"/>
      <c r="OJ536" s="9"/>
      <c r="OK536" s="9"/>
      <c r="OL536" s="9"/>
      <c r="OM536" s="9"/>
      <c r="ON536" s="9"/>
      <c r="OO536" s="9"/>
      <c r="OP536" s="9"/>
      <c r="OQ536" s="9"/>
      <c r="OR536" s="9"/>
      <c r="OS536" s="9"/>
      <c r="OT536" s="9"/>
      <c r="OU536" s="9"/>
      <c r="OV536" s="9"/>
      <c r="OW536" s="9"/>
      <c r="OX536" s="9"/>
      <c r="OY536" s="9"/>
      <c r="OZ536" s="9"/>
      <c r="PA536" s="9"/>
      <c r="PB536" s="9"/>
      <c r="PC536" s="9"/>
      <c r="PD536" s="9"/>
      <c r="PE536" s="9"/>
      <c r="PF536" s="9"/>
      <c r="PG536" s="9"/>
      <c r="PH536" s="9"/>
      <c r="PI536" s="9"/>
      <c r="PJ536" s="9"/>
      <c r="PK536" s="9"/>
      <c r="PL536" s="9"/>
      <c r="PM536" s="9"/>
      <c r="PN536" s="9"/>
      <c r="PO536" s="9"/>
      <c r="PP536" s="9"/>
      <c r="PQ536" s="9"/>
      <c r="PR536" s="9"/>
      <c r="PS536" s="9"/>
      <c r="PT536" s="9"/>
      <c r="PU536" s="9"/>
      <c r="PV536" s="9"/>
      <c r="PW536" s="9"/>
      <c r="PX536" s="9"/>
      <c r="PY536" s="9"/>
      <c r="PZ536" s="9"/>
      <c r="QA536" s="9"/>
      <c r="QB536" s="9"/>
      <c r="QC536" s="9"/>
      <c r="QD536" s="9"/>
      <c r="QE536" s="9"/>
      <c r="QF536" s="9"/>
      <c r="QG536" s="9"/>
      <c r="QH536" s="9"/>
      <c r="QI536" s="9"/>
      <c r="QJ536" s="9"/>
      <c r="QK536" s="9"/>
      <c r="QL536" s="9"/>
      <c r="QM536" s="9"/>
      <c r="QN536" s="9"/>
      <c r="QO536" s="9"/>
      <c r="QP536" s="9"/>
      <c r="QQ536" s="9"/>
      <c r="QR536" s="9"/>
      <c r="QS536" s="9"/>
      <c r="QT536" s="9"/>
      <c r="QU536" s="9"/>
      <c r="QV536" s="9"/>
      <c r="QW536" s="9"/>
      <c r="QX536" s="9"/>
      <c r="QY536" s="9"/>
      <c r="QZ536" s="9"/>
      <c r="RA536" s="9"/>
      <c r="RB536" s="9"/>
      <c r="RC536" s="9"/>
      <c r="RD536" s="9"/>
      <c r="RE536" s="9"/>
      <c r="RF536" s="9"/>
      <c r="RG536" s="9"/>
      <c r="RH536" s="9"/>
      <c r="RI536" s="9"/>
      <c r="RJ536" s="9"/>
      <c r="RK536" s="9"/>
      <c r="RL536" s="9"/>
      <c r="RM536" s="9"/>
      <c r="RN536" s="9"/>
      <c r="RO536" s="9"/>
      <c r="RP536" s="9"/>
      <c r="RQ536" s="9"/>
      <c r="RR536" s="9"/>
      <c r="RS536" s="9"/>
      <c r="RT536" s="9"/>
      <c r="RU536" s="9"/>
      <c r="RV536" s="9"/>
      <c r="RW536" s="9"/>
      <c r="RX536" s="9"/>
      <c r="RY536" s="9"/>
      <c r="RZ536" s="9"/>
      <c r="SA536" s="9"/>
      <c r="SB536" s="9"/>
      <c r="SC536" s="9"/>
      <c r="SD536" s="9"/>
      <c r="SE536" s="9"/>
      <c r="SF536" s="9"/>
      <c r="SG536" s="9"/>
      <c r="SH536" s="9"/>
      <c r="SI536" s="9"/>
      <c r="SJ536" s="9"/>
      <c r="SK536" s="9"/>
      <c r="SL536" s="9"/>
      <c r="SM536" s="9"/>
      <c r="SN536" s="9"/>
      <c r="SO536" s="9"/>
      <c r="SP536" s="9"/>
      <c r="SQ536" s="9"/>
      <c r="SR536" s="9"/>
      <c r="SS536" s="9"/>
      <c r="ST536" s="9"/>
      <c r="SU536" s="9"/>
      <c r="SV536" s="9"/>
      <c r="SW536" s="9"/>
      <c r="SX536" s="9"/>
      <c r="SY536" s="9"/>
      <c r="SZ536" s="9"/>
      <c r="TA536" s="9"/>
      <c r="TB536" s="9"/>
      <c r="TC536" s="9"/>
      <c r="TD536" s="9"/>
      <c r="TE536" s="9"/>
      <c r="TF536" s="9"/>
      <c r="TG536" s="9"/>
      <c r="TH536" s="9"/>
      <c r="TI536" s="9"/>
      <c r="TJ536" s="9"/>
      <c r="TK536" s="9"/>
      <c r="TL536" s="9"/>
      <c r="TM536" s="9"/>
      <c r="TN536" s="9"/>
      <c r="TO536" s="9"/>
      <c r="TP536" s="9"/>
      <c r="TQ536" s="9"/>
      <c r="TR536" s="9"/>
      <c r="TS536" s="9"/>
      <c r="TT536" s="9"/>
      <c r="TU536" s="9"/>
      <c r="TV536" s="9"/>
      <c r="TW536" s="9"/>
      <c r="TX536" s="9"/>
      <c r="TY536" s="9"/>
      <c r="TZ536" s="9"/>
      <c r="UA536" s="9"/>
      <c r="UB536" s="9"/>
      <c r="UC536" s="9"/>
      <c r="UD536" s="9"/>
      <c r="UE536" s="9"/>
      <c r="UF536" s="9"/>
      <c r="UG536" s="9"/>
      <c r="UH536" s="9"/>
      <c r="UI536" s="9"/>
      <c r="UJ536" s="9"/>
    </row>
    <row r="537">
      <c r="A537" s="8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  <c r="IC537" s="9"/>
      <c r="ID537" s="9"/>
      <c r="IE537" s="9"/>
      <c r="IF537" s="9"/>
      <c r="IG537" s="9"/>
      <c r="IH537" s="9"/>
      <c r="II537" s="9"/>
      <c r="IJ537" s="9"/>
      <c r="IK537" s="9"/>
      <c r="IL537" s="9"/>
      <c r="IM537" s="9"/>
      <c r="IN537" s="9"/>
      <c r="IO537" s="9"/>
      <c r="IP537" s="9"/>
      <c r="IQ537" s="9"/>
      <c r="IR537" s="9"/>
      <c r="IS537" s="9"/>
      <c r="IT537" s="9"/>
      <c r="IU537" s="9"/>
      <c r="IV537" s="9"/>
      <c r="IW537" s="9"/>
      <c r="IX537" s="9"/>
      <c r="IY537" s="9"/>
      <c r="IZ537" s="9"/>
      <c r="JA537" s="9"/>
      <c r="JB537" s="9"/>
      <c r="JC537" s="9"/>
      <c r="JD537" s="9"/>
      <c r="JE537" s="9"/>
      <c r="JF537" s="9"/>
      <c r="JG537" s="9"/>
      <c r="JH537" s="9"/>
      <c r="JI537" s="9"/>
      <c r="JJ537" s="9"/>
      <c r="JK537" s="9"/>
      <c r="JL537" s="9"/>
      <c r="JM537" s="9"/>
      <c r="JN537" s="9"/>
      <c r="JO537" s="9"/>
      <c r="JP537" s="9"/>
      <c r="JQ537" s="9"/>
      <c r="JR537" s="9"/>
      <c r="JS537" s="9"/>
      <c r="JT537" s="9"/>
      <c r="JU537" s="9"/>
      <c r="JV537" s="9"/>
      <c r="JW537" s="9"/>
      <c r="JX537" s="9"/>
      <c r="JY537" s="9"/>
      <c r="JZ537" s="9"/>
      <c r="KA537" s="9"/>
      <c r="KB537" s="9"/>
      <c r="KC537" s="9"/>
      <c r="KD537" s="9"/>
      <c r="KE537" s="9"/>
      <c r="KF537" s="9"/>
      <c r="KG537" s="9"/>
      <c r="KH537" s="9"/>
      <c r="KI537" s="9"/>
      <c r="KJ537" s="9"/>
      <c r="KK537" s="9"/>
      <c r="KL537" s="9"/>
      <c r="KM537" s="9"/>
      <c r="KN537" s="9"/>
      <c r="KO537" s="9"/>
      <c r="KP537" s="9"/>
      <c r="KQ537" s="9"/>
      <c r="KR537" s="9"/>
      <c r="KS537" s="9"/>
      <c r="KT537" s="9"/>
      <c r="KU537" s="9"/>
      <c r="KV537" s="9"/>
      <c r="KW537" s="9"/>
      <c r="KX537" s="9"/>
      <c r="KY537" s="9"/>
      <c r="KZ537" s="9"/>
      <c r="LA537" s="9"/>
      <c r="LB537" s="9"/>
      <c r="LC537" s="9"/>
      <c r="LD537" s="9"/>
      <c r="LE537" s="9"/>
      <c r="LF537" s="9"/>
      <c r="LG537" s="9"/>
      <c r="LH537" s="9"/>
      <c r="LI537" s="9"/>
      <c r="LJ537" s="9"/>
      <c r="LK537" s="9"/>
      <c r="LL537" s="9"/>
      <c r="LM537" s="9"/>
      <c r="LN537" s="9"/>
      <c r="LO537" s="9"/>
      <c r="LP537" s="9"/>
      <c r="LQ537" s="9"/>
      <c r="LR537" s="9"/>
      <c r="LS537" s="9"/>
      <c r="LT537" s="9"/>
      <c r="LU537" s="9"/>
      <c r="LV537" s="9"/>
      <c r="LW537" s="9"/>
      <c r="LX537" s="9"/>
      <c r="LY537" s="9"/>
      <c r="LZ537" s="9"/>
      <c r="MA537" s="9"/>
      <c r="MB537" s="9"/>
      <c r="MC537" s="9"/>
      <c r="MD537" s="9"/>
      <c r="ME537" s="9"/>
      <c r="MF537" s="9"/>
      <c r="MG537" s="9"/>
      <c r="MH537" s="9"/>
      <c r="MI537" s="9"/>
      <c r="MJ537" s="9"/>
      <c r="MK537" s="9"/>
      <c r="ML537" s="9"/>
      <c r="MM537" s="9"/>
      <c r="MN537" s="9"/>
      <c r="MO537" s="9"/>
      <c r="MP537" s="9"/>
      <c r="MQ537" s="9"/>
      <c r="MR537" s="9"/>
      <c r="MS537" s="9"/>
      <c r="MT537" s="9"/>
      <c r="MU537" s="9"/>
      <c r="MV537" s="9"/>
      <c r="MW537" s="9"/>
      <c r="MX537" s="9"/>
      <c r="MY537" s="9"/>
      <c r="MZ537" s="9"/>
      <c r="NA537" s="9"/>
      <c r="NB537" s="9"/>
      <c r="NC537" s="9"/>
      <c r="ND537" s="9"/>
      <c r="NE537" s="9"/>
      <c r="NF537" s="9"/>
      <c r="NG537" s="9"/>
      <c r="NH537" s="9"/>
      <c r="NI537" s="9"/>
      <c r="NJ537" s="9"/>
      <c r="NK537" s="9"/>
      <c r="NL537" s="9"/>
      <c r="NM537" s="9"/>
      <c r="NN537" s="9"/>
      <c r="NO537" s="9"/>
      <c r="NP537" s="9"/>
      <c r="NQ537" s="9"/>
      <c r="NR537" s="9"/>
      <c r="NS537" s="9"/>
      <c r="NT537" s="9"/>
      <c r="NU537" s="9"/>
      <c r="NV537" s="9"/>
      <c r="NW537" s="9"/>
      <c r="NX537" s="9"/>
      <c r="NY537" s="9"/>
      <c r="NZ537" s="9"/>
      <c r="OA537" s="9"/>
      <c r="OB537" s="9"/>
      <c r="OC537" s="9"/>
      <c r="OD537" s="9"/>
      <c r="OE537" s="9"/>
      <c r="OF537" s="9"/>
      <c r="OG537" s="9"/>
      <c r="OH537" s="9"/>
      <c r="OI537" s="9"/>
      <c r="OJ537" s="9"/>
      <c r="OK537" s="9"/>
      <c r="OL537" s="9"/>
      <c r="OM537" s="9"/>
      <c r="ON537" s="9"/>
      <c r="OO537" s="9"/>
      <c r="OP537" s="9"/>
      <c r="OQ537" s="9"/>
      <c r="OR537" s="9"/>
      <c r="OS537" s="9"/>
      <c r="OT537" s="9"/>
      <c r="OU537" s="9"/>
      <c r="OV537" s="9"/>
      <c r="OW537" s="9"/>
      <c r="OX537" s="9"/>
      <c r="OY537" s="9"/>
      <c r="OZ537" s="9"/>
      <c r="PA537" s="9"/>
      <c r="PB537" s="9"/>
      <c r="PC537" s="9"/>
      <c r="PD537" s="9"/>
      <c r="PE537" s="9"/>
      <c r="PF537" s="9"/>
      <c r="PG537" s="9"/>
      <c r="PH537" s="9"/>
      <c r="PI537" s="9"/>
      <c r="PJ537" s="9"/>
      <c r="PK537" s="9"/>
      <c r="PL537" s="9"/>
      <c r="PM537" s="9"/>
      <c r="PN537" s="9"/>
      <c r="PO537" s="9"/>
      <c r="PP537" s="9"/>
      <c r="PQ537" s="9"/>
      <c r="PR537" s="9"/>
      <c r="PS537" s="9"/>
      <c r="PT537" s="9"/>
      <c r="PU537" s="9"/>
      <c r="PV537" s="9"/>
      <c r="PW537" s="9"/>
      <c r="PX537" s="9"/>
      <c r="PY537" s="9"/>
      <c r="PZ537" s="9"/>
      <c r="QA537" s="9"/>
      <c r="QB537" s="9"/>
      <c r="QC537" s="9"/>
      <c r="QD537" s="9"/>
      <c r="QE537" s="9"/>
      <c r="QF537" s="9"/>
      <c r="QG537" s="9"/>
      <c r="QH537" s="9"/>
      <c r="QI537" s="9"/>
      <c r="QJ537" s="9"/>
      <c r="QK537" s="9"/>
      <c r="QL537" s="9"/>
      <c r="QM537" s="9"/>
      <c r="QN537" s="9"/>
      <c r="QO537" s="9"/>
      <c r="QP537" s="9"/>
      <c r="QQ537" s="9"/>
      <c r="QR537" s="9"/>
      <c r="QS537" s="9"/>
      <c r="QT537" s="9"/>
      <c r="QU537" s="9"/>
      <c r="QV537" s="9"/>
      <c r="QW537" s="9"/>
      <c r="QX537" s="9"/>
      <c r="QY537" s="9"/>
      <c r="QZ537" s="9"/>
      <c r="RA537" s="9"/>
      <c r="RB537" s="9"/>
      <c r="RC537" s="9"/>
      <c r="RD537" s="9"/>
      <c r="RE537" s="9"/>
      <c r="RF537" s="9"/>
      <c r="RG537" s="9"/>
      <c r="RH537" s="9"/>
      <c r="RI537" s="9"/>
      <c r="RJ537" s="9"/>
      <c r="RK537" s="9"/>
      <c r="RL537" s="9"/>
      <c r="RM537" s="9"/>
      <c r="RN537" s="9"/>
      <c r="RO537" s="9"/>
      <c r="RP537" s="9"/>
      <c r="RQ537" s="9"/>
      <c r="RR537" s="9"/>
      <c r="RS537" s="9"/>
      <c r="RT537" s="9"/>
      <c r="RU537" s="9"/>
      <c r="RV537" s="9"/>
      <c r="RW537" s="9"/>
      <c r="RX537" s="9"/>
      <c r="RY537" s="9"/>
      <c r="RZ537" s="9"/>
      <c r="SA537" s="9"/>
      <c r="SB537" s="9"/>
      <c r="SC537" s="9"/>
      <c r="SD537" s="9"/>
      <c r="SE537" s="9"/>
      <c r="SF537" s="9"/>
      <c r="SG537" s="9"/>
      <c r="SH537" s="9"/>
      <c r="SI537" s="9"/>
      <c r="SJ537" s="9"/>
      <c r="SK537" s="9"/>
      <c r="SL537" s="9"/>
      <c r="SM537" s="9"/>
      <c r="SN537" s="9"/>
      <c r="SO537" s="9"/>
      <c r="SP537" s="9"/>
      <c r="SQ537" s="9"/>
      <c r="SR537" s="9"/>
      <c r="SS537" s="9"/>
      <c r="ST537" s="9"/>
      <c r="SU537" s="9"/>
      <c r="SV537" s="9"/>
      <c r="SW537" s="9"/>
      <c r="SX537" s="9"/>
      <c r="SY537" s="9"/>
      <c r="SZ537" s="9"/>
      <c r="TA537" s="9"/>
      <c r="TB537" s="9"/>
      <c r="TC537" s="9"/>
      <c r="TD537" s="9"/>
      <c r="TE537" s="9"/>
      <c r="TF537" s="9"/>
      <c r="TG537" s="9"/>
      <c r="TH537" s="9"/>
      <c r="TI537" s="9"/>
      <c r="TJ537" s="9"/>
      <c r="TK537" s="9"/>
      <c r="TL537" s="9"/>
      <c r="TM537" s="9"/>
      <c r="TN537" s="9"/>
      <c r="TO537" s="9"/>
      <c r="TP537" s="9"/>
      <c r="TQ537" s="9"/>
      <c r="TR537" s="9"/>
      <c r="TS537" s="9"/>
      <c r="TT537" s="9"/>
      <c r="TU537" s="9"/>
      <c r="TV537" s="9"/>
      <c r="TW537" s="9"/>
      <c r="TX537" s="9"/>
      <c r="TY537" s="9"/>
      <c r="TZ537" s="9"/>
      <c r="UA537" s="9"/>
      <c r="UB537" s="9"/>
      <c r="UC537" s="9"/>
      <c r="UD537" s="9"/>
      <c r="UE537" s="9"/>
      <c r="UF537" s="9"/>
      <c r="UG537" s="9"/>
      <c r="UH537" s="9"/>
      <c r="UI537" s="9"/>
      <c r="UJ537" s="9"/>
    </row>
    <row r="538">
      <c r="A538" s="8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  <c r="IN538" s="9"/>
      <c r="IO538" s="9"/>
      <c r="IP538" s="9"/>
      <c r="IQ538" s="9"/>
      <c r="IR538" s="9"/>
      <c r="IS538" s="9"/>
      <c r="IT538" s="9"/>
      <c r="IU538" s="9"/>
      <c r="IV538" s="9"/>
      <c r="IW538" s="9"/>
      <c r="IX538" s="9"/>
      <c r="IY538" s="9"/>
      <c r="IZ538" s="9"/>
      <c r="JA538" s="9"/>
      <c r="JB538" s="9"/>
      <c r="JC538" s="9"/>
      <c r="JD538" s="9"/>
      <c r="JE538" s="9"/>
      <c r="JF538" s="9"/>
      <c r="JG538" s="9"/>
      <c r="JH538" s="9"/>
      <c r="JI538" s="9"/>
      <c r="JJ538" s="9"/>
      <c r="JK538" s="9"/>
      <c r="JL538" s="9"/>
      <c r="JM538" s="9"/>
      <c r="JN538" s="9"/>
      <c r="JO538" s="9"/>
      <c r="JP538" s="9"/>
      <c r="JQ538" s="9"/>
      <c r="JR538" s="9"/>
      <c r="JS538" s="9"/>
      <c r="JT538" s="9"/>
      <c r="JU538" s="9"/>
      <c r="JV538" s="9"/>
      <c r="JW538" s="9"/>
      <c r="JX538" s="9"/>
      <c r="JY538" s="9"/>
      <c r="JZ538" s="9"/>
      <c r="KA538" s="9"/>
      <c r="KB538" s="9"/>
      <c r="KC538" s="9"/>
      <c r="KD538" s="9"/>
      <c r="KE538" s="9"/>
      <c r="KF538" s="9"/>
      <c r="KG538" s="9"/>
      <c r="KH538" s="9"/>
      <c r="KI538" s="9"/>
      <c r="KJ538" s="9"/>
      <c r="KK538" s="9"/>
      <c r="KL538" s="9"/>
      <c r="KM538" s="9"/>
      <c r="KN538" s="9"/>
      <c r="KO538" s="9"/>
      <c r="KP538" s="9"/>
      <c r="KQ538" s="9"/>
      <c r="KR538" s="9"/>
      <c r="KS538" s="9"/>
      <c r="KT538" s="9"/>
      <c r="KU538" s="9"/>
      <c r="KV538" s="9"/>
      <c r="KW538" s="9"/>
      <c r="KX538" s="9"/>
      <c r="KY538" s="9"/>
      <c r="KZ538" s="9"/>
      <c r="LA538" s="9"/>
      <c r="LB538" s="9"/>
      <c r="LC538" s="9"/>
      <c r="LD538" s="9"/>
      <c r="LE538" s="9"/>
      <c r="LF538" s="9"/>
      <c r="LG538" s="9"/>
      <c r="LH538" s="9"/>
      <c r="LI538" s="9"/>
      <c r="LJ538" s="9"/>
      <c r="LK538" s="9"/>
      <c r="LL538" s="9"/>
      <c r="LM538" s="9"/>
      <c r="LN538" s="9"/>
      <c r="LO538" s="9"/>
      <c r="LP538" s="9"/>
      <c r="LQ538" s="9"/>
      <c r="LR538" s="9"/>
      <c r="LS538" s="9"/>
      <c r="LT538" s="9"/>
      <c r="LU538" s="9"/>
      <c r="LV538" s="9"/>
      <c r="LW538" s="9"/>
      <c r="LX538" s="9"/>
      <c r="LY538" s="9"/>
      <c r="LZ538" s="9"/>
      <c r="MA538" s="9"/>
      <c r="MB538" s="9"/>
      <c r="MC538" s="9"/>
      <c r="MD538" s="9"/>
      <c r="ME538" s="9"/>
      <c r="MF538" s="9"/>
      <c r="MG538" s="9"/>
      <c r="MH538" s="9"/>
      <c r="MI538" s="9"/>
      <c r="MJ538" s="9"/>
      <c r="MK538" s="9"/>
      <c r="ML538" s="9"/>
      <c r="MM538" s="9"/>
      <c r="MN538" s="9"/>
      <c r="MO538" s="9"/>
      <c r="MP538" s="9"/>
      <c r="MQ538" s="9"/>
      <c r="MR538" s="9"/>
      <c r="MS538" s="9"/>
      <c r="MT538" s="9"/>
      <c r="MU538" s="9"/>
      <c r="MV538" s="9"/>
      <c r="MW538" s="9"/>
      <c r="MX538" s="9"/>
      <c r="MY538" s="9"/>
      <c r="MZ538" s="9"/>
      <c r="NA538" s="9"/>
      <c r="NB538" s="9"/>
      <c r="NC538" s="9"/>
      <c r="ND538" s="9"/>
      <c r="NE538" s="9"/>
      <c r="NF538" s="9"/>
      <c r="NG538" s="9"/>
      <c r="NH538" s="9"/>
      <c r="NI538" s="9"/>
      <c r="NJ538" s="9"/>
      <c r="NK538" s="9"/>
      <c r="NL538" s="9"/>
      <c r="NM538" s="9"/>
      <c r="NN538" s="9"/>
      <c r="NO538" s="9"/>
      <c r="NP538" s="9"/>
      <c r="NQ538" s="9"/>
      <c r="NR538" s="9"/>
      <c r="NS538" s="9"/>
      <c r="NT538" s="9"/>
      <c r="NU538" s="9"/>
      <c r="NV538" s="9"/>
      <c r="NW538" s="9"/>
      <c r="NX538" s="9"/>
      <c r="NY538" s="9"/>
      <c r="NZ538" s="9"/>
      <c r="OA538" s="9"/>
      <c r="OB538" s="9"/>
      <c r="OC538" s="9"/>
      <c r="OD538" s="9"/>
      <c r="OE538" s="9"/>
      <c r="OF538" s="9"/>
      <c r="OG538" s="9"/>
      <c r="OH538" s="9"/>
      <c r="OI538" s="9"/>
      <c r="OJ538" s="9"/>
      <c r="OK538" s="9"/>
      <c r="OL538" s="9"/>
      <c r="OM538" s="9"/>
      <c r="ON538" s="9"/>
      <c r="OO538" s="9"/>
      <c r="OP538" s="9"/>
      <c r="OQ538" s="9"/>
      <c r="OR538" s="9"/>
      <c r="OS538" s="9"/>
      <c r="OT538" s="9"/>
      <c r="OU538" s="9"/>
      <c r="OV538" s="9"/>
      <c r="OW538" s="9"/>
      <c r="OX538" s="9"/>
      <c r="OY538" s="9"/>
      <c r="OZ538" s="9"/>
      <c r="PA538" s="9"/>
      <c r="PB538" s="9"/>
      <c r="PC538" s="9"/>
      <c r="PD538" s="9"/>
      <c r="PE538" s="9"/>
      <c r="PF538" s="9"/>
      <c r="PG538" s="9"/>
      <c r="PH538" s="9"/>
      <c r="PI538" s="9"/>
      <c r="PJ538" s="9"/>
      <c r="PK538" s="9"/>
      <c r="PL538" s="9"/>
      <c r="PM538" s="9"/>
      <c r="PN538" s="9"/>
      <c r="PO538" s="9"/>
      <c r="PP538" s="9"/>
      <c r="PQ538" s="9"/>
      <c r="PR538" s="9"/>
      <c r="PS538" s="9"/>
      <c r="PT538" s="9"/>
      <c r="PU538" s="9"/>
      <c r="PV538" s="9"/>
      <c r="PW538" s="9"/>
      <c r="PX538" s="9"/>
      <c r="PY538" s="9"/>
      <c r="PZ538" s="9"/>
      <c r="QA538" s="9"/>
      <c r="QB538" s="9"/>
      <c r="QC538" s="9"/>
      <c r="QD538" s="9"/>
      <c r="QE538" s="9"/>
      <c r="QF538" s="9"/>
      <c r="QG538" s="9"/>
      <c r="QH538" s="9"/>
      <c r="QI538" s="9"/>
      <c r="QJ538" s="9"/>
      <c r="QK538" s="9"/>
      <c r="QL538" s="9"/>
      <c r="QM538" s="9"/>
      <c r="QN538" s="9"/>
      <c r="QO538" s="9"/>
      <c r="QP538" s="9"/>
      <c r="QQ538" s="9"/>
      <c r="QR538" s="9"/>
      <c r="QS538" s="9"/>
      <c r="QT538" s="9"/>
      <c r="QU538" s="9"/>
      <c r="QV538" s="9"/>
      <c r="QW538" s="9"/>
      <c r="QX538" s="9"/>
      <c r="QY538" s="9"/>
      <c r="QZ538" s="9"/>
      <c r="RA538" s="9"/>
      <c r="RB538" s="9"/>
      <c r="RC538" s="9"/>
      <c r="RD538" s="9"/>
      <c r="RE538" s="9"/>
      <c r="RF538" s="9"/>
      <c r="RG538" s="9"/>
      <c r="RH538" s="9"/>
      <c r="RI538" s="9"/>
      <c r="RJ538" s="9"/>
      <c r="RK538" s="9"/>
      <c r="RL538" s="9"/>
      <c r="RM538" s="9"/>
      <c r="RN538" s="9"/>
      <c r="RO538" s="9"/>
      <c r="RP538" s="9"/>
      <c r="RQ538" s="9"/>
      <c r="RR538" s="9"/>
      <c r="RS538" s="9"/>
      <c r="RT538" s="9"/>
      <c r="RU538" s="9"/>
      <c r="RV538" s="9"/>
      <c r="RW538" s="9"/>
      <c r="RX538" s="9"/>
      <c r="RY538" s="9"/>
      <c r="RZ538" s="9"/>
      <c r="SA538" s="9"/>
      <c r="SB538" s="9"/>
      <c r="SC538" s="9"/>
      <c r="SD538" s="9"/>
      <c r="SE538" s="9"/>
      <c r="SF538" s="9"/>
      <c r="SG538" s="9"/>
      <c r="SH538" s="9"/>
      <c r="SI538" s="9"/>
      <c r="SJ538" s="9"/>
      <c r="SK538" s="9"/>
      <c r="SL538" s="9"/>
      <c r="SM538" s="9"/>
      <c r="SN538" s="9"/>
      <c r="SO538" s="9"/>
      <c r="SP538" s="9"/>
      <c r="SQ538" s="9"/>
      <c r="SR538" s="9"/>
      <c r="SS538" s="9"/>
      <c r="ST538" s="9"/>
      <c r="SU538" s="9"/>
      <c r="SV538" s="9"/>
      <c r="SW538" s="9"/>
      <c r="SX538" s="9"/>
      <c r="SY538" s="9"/>
      <c r="SZ538" s="9"/>
      <c r="TA538" s="9"/>
      <c r="TB538" s="9"/>
      <c r="TC538" s="9"/>
      <c r="TD538" s="9"/>
      <c r="TE538" s="9"/>
      <c r="TF538" s="9"/>
      <c r="TG538" s="9"/>
      <c r="TH538" s="9"/>
      <c r="TI538" s="9"/>
      <c r="TJ538" s="9"/>
      <c r="TK538" s="9"/>
      <c r="TL538" s="9"/>
      <c r="TM538" s="9"/>
      <c r="TN538" s="9"/>
      <c r="TO538" s="9"/>
      <c r="TP538" s="9"/>
      <c r="TQ538" s="9"/>
      <c r="TR538" s="9"/>
      <c r="TS538" s="9"/>
      <c r="TT538" s="9"/>
      <c r="TU538" s="9"/>
      <c r="TV538" s="9"/>
      <c r="TW538" s="9"/>
      <c r="TX538" s="9"/>
      <c r="TY538" s="9"/>
      <c r="TZ538" s="9"/>
      <c r="UA538" s="9"/>
      <c r="UB538" s="9"/>
      <c r="UC538" s="9"/>
      <c r="UD538" s="9"/>
      <c r="UE538" s="9"/>
      <c r="UF538" s="9"/>
      <c r="UG538" s="9"/>
      <c r="UH538" s="9"/>
      <c r="UI538" s="9"/>
      <c r="UJ538" s="9"/>
    </row>
    <row r="539">
      <c r="A539" s="8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  <c r="HO539" s="9"/>
      <c r="HP539" s="9"/>
      <c r="HQ539" s="9"/>
      <c r="HR539" s="9"/>
      <c r="HS539" s="9"/>
      <c r="HT539" s="9"/>
      <c r="HU539" s="9"/>
      <c r="HV539" s="9"/>
      <c r="HW539" s="9"/>
      <c r="HX539" s="9"/>
      <c r="HY539" s="9"/>
      <c r="HZ539" s="9"/>
      <c r="IA539" s="9"/>
      <c r="IB539" s="9"/>
      <c r="IC539" s="9"/>
      <c r="ID539" s="9"/>
      <c r="IE539" s="9"/>
      <c r="IF539" s="9"/>
      <c r="IG539" s="9"/>
      <c r="IH539" s="9"/>
      <c r="II539" s="9"/>
      <c r="IJ539" s="9"/>
      <c r="IK539" s="9"/>
      <c r="IL539" s="9"/>
      <c r="IM539" s="9"/>
      <c r="IN539" s="9"/>
      <c r="IO539" s="9"/>
      <c r="IP539" s="9"/>
      <c r="IQ539" s="9"/>
      <c r="IR539" s="9"/>
      <c r="IS539" s="9"/>
      <c r="IT539" s="9"/>
      <c r="IU539" s="9"/>
      <c r="IV539" s="9"/>
      <c r="IW539" s="9"/>
      <c r="IX539" s="9"/>
      <c r="IY539" s="9"/>
      <c r="IZ539" s="9"/>
      <c r="JA539" s="9"/>
      <c r="JB539" s="9"/>
      <c r="JC539" s="9"/>
      <c r="JD539" s="9"/>
      <c r="JE539" s="9"/>
      <c r="JF539" s="9"/>
      <c r="JG539" s="9"/>
      <c r="JH539" s="9"/>
      <c r="JI539" s="9"/>
      <c r="JJ539" s="9"/>
      <c r="JK539" s="9"/>
      <c r="JL539" s="9"/>
      <c r="JM539" s="9"/>
      <c r="JN539" s="9"/>
      <c r="JO539" s="9"/>
      <c r="JP539" s="9"/>
      <c r="JQ539" s="9"/>
      <c r="JR539" s="9"/>
      <c r="JS539" s="9"/>
      <c r="JT539" s="9"/>
      <c r="JU539" s="9"/>
      <c r="JV539" s="9"/>
      <c r="JW539" s="9"/>
      <c r="JX539" s="9"/>
      <c r="JY539" s="9"/>
      <c r="JZ539" s="9"/>
      <c r="KA539" s="9"/>
      <c r="KB539" s="9"/>
      <c r="KC539" s="9"/>
      <c r="KD539" s="9"/>
      <c r="KE539" s="9"/>
      <c r="KF539" s="9"/>
      <c r="KG539" s="9"/>
      <c r="KH539" s="9"/>
      <c r="KI539" s="9"/>
      <c r="KJ539" s="9"/>
      <c r="KK539" s="9"/>
      <c r="KL539" s="9"/>
      <c r="KM539" s="9"/>
      <c r="KN539" s="9"/>
      <c r="KO539" s="9"/>
      <c r="KP539" s="9"/>
      <c r="KQ539" s="9"/>
      <c r="KR539" s="9"/>
      <c r="KS539" s="9"/>
      <c r="KT539" s="9"/>
      <c r="KU539" s="9"/>
      <c r="KV539" s="9"/>
      <c r="KW539" s="9"/>
      <c r="KX539" s="9"/>
      <c r="KY539" s="9"/>
      <c r="KZ539" s="9"/>
      <c r="LA539" s="9"/>
      <c r="LB539" s="9"/>
      <c r="LC539" s="9"/>
      <c r="LD539" s="9"/>
      <c r="LE539" s="9"/>
      <c r="LF539" s="9"/>
      <c r="LG539" s="9"/>
      <c r="LH539" s="9"/>
      <c r="LI539" s="9"/>
      <c r="LJ539" s="9"/>
      <c r="LK539" s="9"/>
      <c r="LL539" s="9"/>
      <c r="LM539" s="9"/>
      <c r="LN539" s="9"/>
      <c r="LO539" s="9"/>
      <c r="LP539" s="9"/>
      <c r="LQ539" s="9"/>
      <c r="LR539" s="9"/>
      <c r="LS539" s="9"/>
      <c r="LT539" s="9"/>
      <c r="LU539" s="9"/>
      <c r="LV539" s="9"/>
      <c r="LW539" s="9"/>
      <c r="LX539" s="9"/>
      <c r="LY539" s="9"/>
      <c r="LZ539" s="9"/>
      <c r="MA539" s="9"/>
      <c r="MB539" s="9"/>
      <c r="MC539" s="9"/>
      <c r="MD539" s="9"/>
      <c r="ME539" s="9"/>
      <c r="MF539" s="9"/>
      <c r="MG539" s="9"/>
      <c r="MH539" s="9"/>
      <c r="MI539" s="9"/>
      <c r="MJ539" s="9"/>
      <c r="MK539" s="9"/>
      <c r="ML539" s="9"/>
      <c r="MM539" s="9"/>
      <c r="MN539" s="9"/>
      <c r="MO539" s="9"/>
      <c r="MP539" s="9"/>
      <c r="MQ539" s="9"/>
      <c r="MR539" s="9"/>
      <c r="MS539" s="9"/>
      <c r="MT539" s="9"/>
      <c r="MU539" s="9"/>
      <c r="MV539" s="9"/>
      <c r="MW539" s="9"/>
      <c r="MX539" s="9"/>
      <c r="MY539" s="9"/>
      <c r="MZ539" s="9"/>
      <c r="NA539" s="9"/>
      <c r="NB539" s="9"/>
      <c r="NC539" s="9"/>
      <c r="ND539" s="9"/>
      <c r="NE539" s="9"/>
      <c r="NF539" s="9"/>
      <c r="NG539" s="9"/>
      <c r="NH539" s="9"/>
      <c r="NI539" s="9"/>
      <c r="NJ539" s="9"/>
      <c r="NK539" s="9"/>
      <c r="NL539" s="9"/>
      <c r="NM539" s="9"/>
      <c r="NN539" s="9"/>
      <c r="NO539" s="9"/>
      <c r="NP539" s="9"/>
      <c r="NQ539" s="9"/>
      <c r="NR539" s="9"/>
      <c r="NS539" s="9"/>
      <c r="NT539" s="9"/>
      <c r="NU539" s="9"/>
      <c r="NV539" s="9"/>
      <c r="NW539" s="9"/>
      <c r="NX539" s="9"/>
      <c r="NY539" s="9"/>
      <c r="NZ539" s="9"/>
      <c r="OA539" s="9"/>
      <c r="OB539" s="9"/>
      <c r="OC539" s="9"/>
      <c r="OD539" s="9"/>
      <c r="OE539" s="9"/>
      <c r="OF539" s="9"/>
      <c r="OG539" s="9"/>
      <c r="OH539" s="9"/>
      <c r="OI539" s="9"/>
      <c r="OJ539" s="9"/>
      <c r="OK539" s="9"/>
      <c r="OL539" s="9"/>
      <c r="OM539" s="9"/>
      <c r="ON539" s="9"/>
      <c r="OO539" s="9"/>
      <c r="OP539" s="9"/>
      <c r="OQ539" s="9"/>
      <c r="OR539" s="9"/>
      <c r="OS539" s="9"/>
      <c r="OT539" s="9"/>
      <c r="OU539" s="9"/>
      <c r="OV539" s="9"/>
      <c r="OW539" s="9"/>
      <c r="OX539" s="9"/>
      <c r="OY539" s="9"/>
      <c r="OZ539" s="9"/>
      <c r="PA539" s="9"/>
      <c r="PB539" s="9"/>
      <c r="PC539" s="9"/>
      <c r="PD539" s="9"/>
      <c r="PE539" s="9"/>
      <c r="PF539" s="9"/>
      <c r="PG539" s="9"/>
      <c r="PH539" s="9"/>
      <c r="PI539" s="9"/>
      <c r="PJ539" s="9"/>
      <c r="PK539" s="9"/>
      <c r="PL539" s="9"/>
      <c r="PM539" s="9"/>
      <c r="PN539" s="9"/>
      <c r="PO539" s="9"/>
      <c r="PP539" s="9"/>
      <c r="PQ539" s="9"/>
      <c r="PR539" s="9"/>
      <c r="PS539" s="9"/>
      <c r="PT539" s="9"/>
      <c r="PU539" s="9"/>
      <c r="PV539" s="9"/>
      <c r="PW539" s="9"/>
      <c r="PX539" s="9"/>
      <c r="PY539" s="9"/>
      <c r="PZ539" s="9"/>
      <c r="QA539" s="9"/>
      <c r="QB539" s="9"/>
      <c r="QC539" s="9"/>
      <c r="QD539" s="9"/>
      <c r="QE539" s="9"/>
      <c r="QF539" s="9"/>
      <c r="QG539" s="9"/>
      <c r="QH539" s="9"/>
      <c r="QI539" s="9"/>
      <c r="QJ539" s="9"/>
      <c r="QK539" s="9"/>
      <c r="QL539" s="9"/>
      <c r="QM539" s="9"/>
      <c r="QN539" s="9"/>
      <c r="QO539" s="9"/>
      <c r="QP539" s="9"/>
      <c r="QQ539" s="9"/>
      <c r="QR539" s="9"/>
      <c r="QS539" s="9"/>
      <c r="QT539" s="9"/>
      <c r="QU539" s="9"/>
      <c r="QV539" s="9"/>
      <c r="QW539" s="9"/>
      <c r="QX539" s="9"/>
      <c r="QY539" s="9"/>
      <c r="QZ539" s="9"/>
      <c r="RA539" s="9"/>
      <c r="RB539" s="9"/>
      <c r="RC539" s="9"/>
      <c r="RD539" s="9"/>
      <c r="RE539" s="9"/>
      <c r="RF539" s="9"/>
      <c r="RG539" s="9"/>
      <c r="RH539" s="9"/>
      <c r="RI539" s="9"/>
      <c r="RJ539" s="9"/>
      <c r="RK539" s="9"/>
      <c r="RL539" s="9"/>
      <c r="RM539" s="9"/>
      <c r="RN539" s="9"/>
      <c r="RO539" s="9"/>
      <c r="RP539" s="9"/>
      <c r="RQ539" s="9"/>
      <c r="RR539" s="9"/>
      <c r="RS539" s="9"/>
      <c r="RT539" s="9"/>
      <c r="RU539" s="9"/>
      <c r="RV539" s="9"/>
      <c r="RW539" s="9"/>
      <c r="RX539" s="9"/>
      <c r="RY539" s="9"/>
      <c r="RZ539" s="9"/>
      <c r="SA539" s="9"/>
      <c r="SB539" s="9"/>
      <c r="SC539" s="9"/>
      <c r="SD539" s="9"/>
      <c r="SE539" s="9"/>
      <c r="SF539" s="9"/>
      <c r="SG539" s="9"/>
      <c r="SH539" s="9"/>
      <c r="SI539" s="9"/>
      <c r="SJ539" s="9"/>
      <c r="SK539" s="9"/>
      <c r="SL539" s="9"/>
      <c r="SM539" s="9"/>
      <c r="SN539" s="9"/>
      <c r="SO539" s="9"/>
      <c r="SP539" s="9"/>
      <c r="SQ539" s="9"/>
      <c r="SR539" s="9"/>
      <c r="SS539" s="9"/>
      <c r="ST539" s="9"/>
      <c r="SU539" s="9"/>
      <c r="SV539" s="9"/>
      <c r="SW539" s="9"/>
      <c r="SX539" s="9"/>
      <c r="SY539" s="9"/>
      <c r="SZ539" s="9"/>
      <c r="TA539" s="9"/>
      <c r="TB539" s="9"/>
      <c r="TC539" s="9"/>
      <c r="TD539" s="9"/>
      <c r="TE539" s="9"/>
      <c r="TF539" s="9"/>
      <c r="TG539" s="9"/>
      <c r="TH539" s="9"/>
      <c r="TI539" s="9"/>
      <c r="TJ539" s="9"/>
      <c r="TK539" s="9"/>
      <c r="TL539" s="9"/>
      <c r="TM539" s="9"/>
      <c r="TN539" s="9"/>
      <c r="TO539" s="9"/>
      <c r="TP539" s="9"/>
      <c r="TQ539" s="9"/>
      <c r="TR539" s="9"/>
      <c r="TS539" s="9"/>
      <c r="TT539" s="9"/>
      <c r="TU539" s="9"/>
      <c r="TV539" s="9"/>
      <c r="TW539" s="9"/>
      <c r="TX539" s="9"/>
      <c r="TY539" s="9"/>
      <c r="TZ539" s="9"/>
      <c r="UA539" s="9"/>
      <c r="UB539" s="9"/>
      <c r="UC539" s="9"/>
      <c r="UD539" s="9"/>
      <c r="UE539" s="9"/>
      <c r="UF539" s="9"/>
      <c r="UG539" s="9"/>
      <c r="UH539" s="9"/>
      <c r="UI539" s="9"/>
      <c r="UJ539" s="9"/>
    </row>
    <row r="540">
      <c r="A540" s="8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  <c r="IC540" s="9"/>
      <c r="ID540" s="9"/>
      <c r="IE540" s="9"/>
      <c r="IF540" s="9"/>
      <c r="IG540" s="9"/>
      <c r="IH540" s="9"/>
      <c r="II540" s="9"/>
      <c r="IJ540" s="9"/>
      <c r="IK540" s="9"/>
      <c r="IL540" s="9"/>
      <c r="IM540" s="9"/>
      <c r="IN540" s="9"/>
      <c r="IO540" s="9"/>
      <c r="IP540" s="9"/>
      <c r="IQ540" s="9"/>
      <c r="IR540" s="9"/>
      <c r="IS540" s="9"/>
      <c r="IT540" s="9"/>
      <c r="IU540" s="9"/>
      <c r="IV540" s="9"/>
      <c r="IW540" s="9"/>
      <c r="IX540" s="9"/>
      <c r="IY540" s="9"/>
      <c r="IZ540" s="9"/>
      <c r="JA540" s="9"/>
      <c r="JB540" s="9"/>
      <c r="JC540" s="9"/>
      <c r="JD540" s="9"/>
      <c r="JE540" s="9"/>
      <c r="JF540" s="9"/>
      <c r="JG540" s="9"/>
      <c r="JH540" s="9"/>
      <c r="JI540" s="9"/>
      <c r="JJ540" s="9"/>
      <c r="JK540" s="9"/>
      <c r="JL540" s="9"/>
      <c r="JM540" s="9"/>
      <c r="JN540" s="9"/>
      <c r="JO540" s="9"/>
      <c r="JP540" s="9"/>
      <c r="JQ540" s="9"/>
      <c r="JR540" s="9"/>
      <c r="JS540" s="9"/>
      <c r="JT540" s="9"/>
      <c r="JU540" s="9"/>
      <c r="JV540" s="9"/>
      <c r="JW540" s="9"/>
      <c r="JX540" s="9"/>
      <c r="JY540" s="9"/>
      <c r="JZ540" s="9"/>
      <c r="KA540" s="9"/>
      <c r="KB540" s="9"/>
      <c r="KC540" s="9"/>
      <c r="KD540" s="9"/>
      <c r="KE540" s="9"/>
      <c r="KF540" s="9"/>
      <c r="KG540" s="9"/>
      <c r="KH540" s="9"/>
      <c r="KI540" s="9"/>
      <c r="KJ540" s="9"/>
      <c r="KK540" s="9"/>
      <c r="KL540" s="9"/>
      <c r="KM540" s="9"/>
      <c r="KN540" s="9"/>
      <c r="KO540" s="9"/>
      <c r="KP540" s="9"/>
      <c r="KQ540" s="9"/>
      <c r="KR540" s="9"/>
      <c r="KS540" s="9"/>
      <c r="KT540" s="9"/>
      <c r="KU540" s="9"/>
      <c r="KV540" s="9"/>
      <c r="KW540" s="9"/>
      <c r="KX540" s="9"/>
      <c r="KY540" s="9"/>
      <c r="KZ540" s="9"/>
      <c r="LA540" s="9"/>
      <c r="LB540" s="9"/>
      <c r="LC540" s="9"/>
      <c r="LD540" s="9"/>
      <c r="LE540" s="9"/>
      <c r="LF540" s="9"/>
      <c r="LG540" s="9"/>
      <c r="LH540" s="9"/>
      <c r="LI540" s="9"/>
      <c r="LJ540" s="9"/>
      <c r="LK540" s="9"/>
      <c r="LL540" s="9"/>
      <c r="LM540" s="9"/>
      <c r="LN540" s="9"/>
      <c r="LO540" s="9"/>
      <c r="LP540" s="9"/>
      <c r="LQ540" s="9"/>
      <c r="LR540" s="9"/>
      <c r="LS540" s="9"/>
      <c r="LT540" s="9"/>
      <c r="LU540" s="9"/>
      <c r="LV540" s="9"/>
      <c r="LW540" s="9"/>
      <c r="LX540" s="9"/>
      <c r="LY540" s="9"/>
      <c r="LZ540" s="9"/>
      <c r="MA540" s="9"/>
      <c r="MB540" s="9"/>
      <c r="MC540" s="9"/>
      <c r="MD540" s="9"/>
      <c r="ME540" s="9"/>
      <c r="MF540" s="9"/>
      <c r="MG540" s="9"/>
      <c r="MH540" s="9"/>
      <c r="MI540" s="9"/>
      <c r="MJ540" s="9"/>
      <c r="MK540" s="9"/>
      <c r="ML540" s="9"/>
      <c r="MM540" s="9"/>
      <c r="MN540" s="9"/>
      <c r="MO540" s="9"/>
      <c r="MP540" s="9"/>
      <c r="MQ540" s="9"/>
      <c r="MR540" s="9"/>
      <c r="MS540" s="9"/>
      <c r="MT540" s="9"/>
      <c r="MU540" s="9"/>
      <c r="MV540" s="9"/>
      <c r="MW540" s="9"/>
      <c r="MX540" s="9"/>
      <c r="MY540" s="9"/>
      <c r="MZ540" s="9"/>
      <c r="NA540" s="9"/>
      <c r="NB540" s="9"/>
      <c r="NC540" s="9"/>
      <c r="ND540" s="9"/>
      <c r="NE540" s="9"/>
      <c r="NF540" s="9"/>
      <c r="NG540" s="9"/>
      <c r="NH540" s="9"/>
      <c r="NI540" s="9"/>
      <c r="NJ540" s="9"/>
      <c r="NK540" s="9"/>
      <c r="NL540" s="9"/>
      <c r="NM540" s="9"/>
      <c r="NN540" s="9"/>
      <c r="NO540" s="9"/>
      <c r="NP540" s="9"/>
      <c r="NQ540" s="9"/>
      <c r="NR540" s="9"/>
      <c r="NS540" s="9"/>
      <c r="NT540" s="9"/>
      <c r="NU540" s="9"/>
      <c r="NV540" s="9"/>
      <c r="NW540" s="9"/>
      <c r="NX540" s="9"/>
      <c r="NY540" s="9"/>
      <c r="NZ540" s="9"/>
      <c r="OA540" s="9"/>
      <c r="OB540" s="9"/>
      <c r="OC540" s="9"/>
      <c r="OD540" s="9"/>
      <c r="OE540" s="9"/>
      <c r="OF540" s="9"/>
      <c r="OG540" s="9"/>
      <c r="OH540" s="9"/>
      <c r="OI540" s="9"/>
      <c r="OJ540" s="9"/>
      <c r="OK540" s="9"/>
      <c r="OL540" s="9"/>
      <c r="OM540" s="9"/>
      <c r="ON540" s="9"/>
      <c r="OO540" s="9"/>
      <c r="OP540" s="9"/>
      <c r="OQ540" s="9"/>
      <c r="OR540" s="9"/>
      <c r="OS540" s="9"/>
      <c r="OT540" s="9"/>
      <c r="OU540" s="9"/>
      <c r="OV540" s="9"/>
      <c r="OW540" s="9"/>
      <c r="OX540" s="9"/>
      <c r="OY540" s="9"/>
      <c r="OZ540" s="9"/>
      <c r="PA540" s="9"/>
      <c r="PB540" s="9"/>
      <c r="PC540" s="9"/>
      <c r="PD540" s="9"/>
      <c r="PE540" s="9"/>
      <c r="PF540" s="9"/>
      <c r="PG540" s="9"/>
      <c r="PH540" s="9"/>
      <c r="PI540" s="9"/>
      <c r="PJ540" s="9"/>
      <c r="PK540" s="9"/>
      <c r="PL540" s="9"/>
      <c r="PM540" s="9"/>
      <c r="PN540" s="9"/>
      <c r="PO540" s="9"/>
      <c r="PP540" s="9"/>
      <c r="PQ540" s="9"/>
      <c r="PR540" s="9"/>
      <c r="PS540" s="9"/>
      <c r="PT540" s="9"/>
      <c r="PU540" s="9"/>
      <c r="PV540" s="9"/>
      <c r="PW540" s="9"/>
      <c r="PX540" s="9"/>
      <c r="PY540" s="9"/>
      <c r="PZ540" s="9"/>
      <c r="QA540" s="9"/>
      <c r="QB540" s="9"/>
      <c r="QC540" s="9"/>
      <c r="QD540" s="9"/>
      <c r="QE540" s="9"/>
      <c r="QF540" s="9"/>
      <c r="QG540" s="9"/>
      <c r="QH540" s="9"/>
      <c r="QI540" s="9"/>
      <c r="QJ540" s="9"/>
      <c r="QK540" s="9"/>
      <c r="QL540" s="9"/>
      <c r="QM540" s="9"/>
      <c r="QN540" s="9"/>
      <c r="QO540" s="9"/>
      <c r="QP540" s="9"/>
      <c r="QQ540" s="9"/>
      <c r="QR540" s="9"/>
      <c r="QS540" s="9"/>
      <c r="QT540" s="9"/>
      <c r="QU540" s="9"/>
      <c r="QV540" s="9"/>
      <c r="QW540" s="9"/>
      <c r="QX540" s="9"/>
      <c r="QY540" s="9"/>
      <c r="QZ540" s="9"/>
      <c r="RA540" s="9"/>
      <c r="RB540" s="9"/>
      <c r="RC540" s="9"/>
      <c r="RD540" s="9"/>
      <c r="RE540" s="9"/>
      <c r="RF540" s="9"/>
      <c r="RG540" s="9"/>
      <c r="RH540" s="9"/>
      <c r="RI540" s="9"/>
      <c r="RJ540" s="9"/>
      <c r="RK540" s="9"/>
      <c r="RL540" s="9"/>
      <c r="RM540" s="9"/>
      <c r="RN540" s="9"/>
      <c r="RO540" s="9"/>
      <c r="RP540" s="9"/>
      <c r="RQ540" s="9"/>
      <c r="RR540" s="9"/>
      <c r="RS540" s="9"/>
      <c r="RT540" s="9"/>
      <c r="RU540" s="9"/>
      <c r="RV540" s="9"/>
      <c r="RW540" s="9"/>
      <c r="RX540" s="9"/>
      <c r="RY540" s="9"/>
      <c r="RZ540" s="9"/>
      <c r="SA540" s="9"/>
      <c r="SB540" s="9"/>
      <c r="SC540" s="9"/>
      <c r="SD540" s="9"/>
      <c r="SE540" s="9"/>
      <c r="SF540" s="9"/>
      <c r="SG540" s="9"/>
      <c r="SH540" s="9"/>
      <c r="SI540" s="9"/>
      <c r="SJ540" s="9"/>
      <c r="SK540" s="9"/>
      <c r="SL540" s="9"/>
      <c r="SM540" s="9"/>
      <c r="SN540" s="9"/>
      <c r="SO540" s="9"/>
      <c r="SP540" s="9"/>
      <c r="SQ540" s="9"/>
      <c r="SR540" s="9"/>
      <c r="SS540" s="9"/>
      <c r="ST540" s="9"/>
      <c r="SU540" s="9"/>
      <c r="SV540" s="9"/>
      <c r="SW540" s="9"/>
      <c r="SX540" s="9"/>
      <c r="SY540" s="9"/>
      <c r="SZ540" s="9"/>
      <c r="TA540" s="9"/>
      <c r="TB540" s="9"/>
      <c r="TC540" s="9"/>
      <c r="TD540" s="9"/>
      <c r="TE540" s="9"/>
      <c r="TF540" s="9"/>
      <c r="TG540" s="9"/>
      <c r="TH540" s="9"/>
      <c r="TI540" s="9"/>
      <c r="TJ540" s="9"/>
      <c r="TK540" s="9"/>
      <c r="TL540" s="9"/>
      <c r="TM540" s="9"/>
      <c r="TN540" s="9"/>
      <c r="TO540" s="9"/>
      <c r="TP540" s="9"/>
      <c r="TQ540" s="9"/>
      <c r="TR540" s="9"/>
      <c r="TS540" s="9"/>
      <c r="TT540" s="9"/>
      <c r="TU540" s="9"/>
      <c r="TV540" s="9"/>
      <c r="TW540" s="9"/>
      <c r="TX540" s="9"/>
      <c r="TY540" s="9"/>
      <c r="TZ540" s="9"/>
      <c r="UA540" s="9"/>
      <c r="UB540" s="9"/>
      <c r="UC540" s="9"/>
      <c r="UD540" s="9"/>
      <c r="UE540" s="9"/>
      <c r="UF540" s="9"/>
      <c r="UG540" s="9"/>
      <c r="UH540" s="9"/>
      <c r="UI540" s="9"/>
      <c r="UJ540" s="9"/>
    </row>
    <row r="541">
      <c r="A541" s="8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9"/>
      <c r="GV541" s="9"/>
      <c r="GW541" s="9"/>
      <c r="GX541" s="9"/>
      <c r="GY541" s="9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  <c r="HO541" s="9"/>
      <c r="HP541" s="9"/>
      <c r="HQ541" s="9"/>
      <c r="HR541" s="9"/>
      <c r="HS541" s="9"/>
      <c r="HT541" s="9"/>
      <c r="HU541" s="9"/>
      <c r="HV541" s="9"/>
      <c r="HW541" s="9"/>
      <c r="HX541" s="9"/>
      <c r="HY541" s="9"/>
      <c r="HZ541" s="9"/>
      <c r="IA541" s="9"/>
      <c r="IB541" s="9"/>
      <c r="IC541" s="9"/>
      <c r="ID541" s="9"/>
      <c r="IE541" s="9"/>
      <c r="IF541" s="9"/>
      <c r="IG541" s="9"/>
      <c r="IH541" s="9"/>
      <c r="II541" s="9"/>
      <c r="IJ541" s="9"/>
      <c r="IK541" s="9"/>
      <c r="IL541" s="9"/>
      <c r="IM541" s="9"/>
      <c r="IN541" s="9"/>
      <c r="IO541" s="9"/>
      <c r="IP541" s="9"/>
      <c r="IQ541" s="9"/>
      <c r="IR541" s="9"/>
      <c r="IS541" s="9"/>
      <c r="IT541" s="9"/>
      <c r="IU541" s="9"/>
      <c r="IV541" s="9"/>
      <c r="IW541" s="9"/>
      <c r="IX541" s="9"/>
      <c r="IY541" s="9"/>
      <c r="IZ541" s="9"/>
      <c r="JA541" s="9"/>
      <c r="JB541" s="9"/>
      <c r="JC541" s="9"/>
      <c r="JD541" s="9"/>
      <c r="JE541" s="9"/>
      <c r="JF541" s="9"/>
      <c r="JG541" s="9"/>
      <c r="JH541" s="9"/>
      <c r="JI541" s="9"/>
      <c r="JJ541" s="9"/>
      <c r="JK541" s="9"/>
      <c r="JL541" s="9"/>
      <c r="JM541" s="9"/>
      <c r="JN541" s="9"/>
      <c r="JO541" s="9"/>
      <c r="JP541" s="9"/>
      <c r="JQ541" s="9"/>
      <c r="JR541" s="9"/>
      <c r="JS541" s="9"/>
      <c r="JT541" s="9"/>
      <c r="JU541" s="9"/>
      <c r="JV541" s="9"/>
      <c r="JW541" s="9"/>
      <c r="JX541" s="9"/>
      <c r="JY541" s="9"/>
      <c r="JZ541" s="9"/>
      <c r="KA541" s="9"/>
      <c r="KB541" s="9"/>
      <c r="KC541" s="9"/>
      <c r="KD541" s="9"/>
      <c r="KE541" s="9"/>
      <c r="KF541" s="9"/>
      <c r="KG541" s="9"/>
      <c r="KH541" s="9"/>
      <c r="KI541" s="9"/>
      <c r="KJ541" s="9"/>
      <c r="KK541" s="9"/>
      <c r="KL541" s="9"/>
      <c r="KM541" s="9"/>
      <c r="KN541" s="9"/>
      <c r="KO541" s="9"/>
      <c r="KP541" s="9"/>
      <c r="KQ541" s="9"/>
      <c r="KR541" s="9"/>
      <c r="KS541" s="9"/>
      <c r="KT541" s="9"/>
      <c r="KU541" s="9"/>
      <c r="KV541" s="9"/>
      <c r="KW541" s="9"/>
      <c r="KX541" s="9"/>
      <c r="KY541" s="9"/>
      <c r="KZ541" s="9"/>
      <c r="LA541" s="9"/>
      <c r="LB541" s="9"/>
      <c r="LC541" s="9"/>
      <c r="LD541" s="9"/>
      <c r="LE541" s="9"/>
      <c r="LF541" s="9"/>
      <c r="LG541" s="9"/>
      <c r="LH541" s="9"/>
      <c r="LI541" s="9"/>
      <c r="LJ541" s="9"/>
      <c r="LK541" s="9"/>
      <c r="LL541" s="9"/>
      <c r="LM541" s="9"/>
      <c r="LN541" s="9"/>
      <c r="LO541" s="9"/>
      <c r="LP541" s="9"/>
      <c r="LQ541" s="9"/>
      <c r="LR541" s="9"/>
      <c r="LS541" s="9"/>
      <c r="LT541" s="9"/>
      <c r="LU541" s="9"/>
      <c r="LV541" s="9"/>
      <c r="LW541" s="9"/>
      <c r="LX541" s="9"/>
      <c r="LY541" s="9"/>
      <c r="LZ541" s="9"/>
      <c r="MA541" s="9"/>
      <c r="MB541" s="9"/>
      <c r="MC541" s="9"/>
      <c r="MD541" s="9"/>
      <c r="ME541" s="9"/>
      <c r="MF541" s="9"/>
      <c r="MG541" s="9"/>
      <c r="MH541" s="9"/>
      <c r="MI541" s="9"/>
      <c r="MJ541" s="9"/>
      <c r="MK541" s="9"/>
      <c r="ML541" s="9"/>
      <c r="MM541" s="9"/>
      <c r="MN541" s="9"/>
      <c r="MO541" s="9"/>
      <c r="MP541" s="9"/>
      <c r="MQ541" s="9"/>
      <c r="MR541" s="9"/>
      <c r="MS541" s="9"/>
      <c r="MT541" s="9"/>
      <c r="MU541" s="9"/>
      <c r="MV541" s="9"/>
      <c r="MW541" s="9"/>
      <c r="MX541" s="9"/>
      <c r="MY541" s="9"/>
      <c r="MZ541" s="9"/>
      <c r="NA541" s="9"/>
      <c r="NB541" s="9"/>
      <c r="NC541" s="9"/>
      <c r="ND541" s="9"/>
      <c r="NE541" s="9"/>
      <c r="NF541" s="9"/>
      <c r="NG541" s="9"/>
      <c r="NH541" s="9"/>
      <c r="NI541" s="9"/>
      <c r="NJ541" s="9"/>
      <c r="NK541" s="9"/>
      <c r="NL541" s="9"/>
      <c r="NM541" s="9"/>
      <c r="NN541" s="9"/>
      <c r="NO541" s="9"/>
      <c r="NP541" s="9"/>
      <c r="NQ541" s="9"/>
      <c r="NR541" s="9"/>
      <c r="NS541" s="9"/>
      <c r="NT541" s="9"/>
      <c r="NU541" s="9"/>
      <c r="NV541" s="9"/>
      <c r="NW541" s="9"/>
      <c r="NX541" s="9"/>
      <c r="NY541" s="9"/>
      <c r="NZ541" s="9"/>
      <c r="OA541" s="9"/>
      <c r="OB541" s="9"/>
      <c r="OC541" s="9"/>
      <c r="OD541" s="9"/>
      <c r="OE541" s="9"/>
      <c r="OF541" s="9"/>
      <c r="OG541" s="9"/>
      <c r="OH541" s="9"/>
      <c r="OI541" s="9"/>
      <c r="OJ541" s="9"/>
      <c r="OK541" s="9"/>
      <c r="OL541" s="9"/>
      <c r="OM541" s="9"/>
      <c r="ON541" s="9"/>
      <c r="OO541" s="9"/>
      <c r="OP541" s="9"/>
      <c r="OQ541" s="9"/>
      <c r="OR541" s="9"/>
      <c r="OS541" s="9"/>
      <c r="OT541" s="9"/>
      <c r="OU541" s="9"/>
      <c r="OV541" s="9"/>
      <c r="OW541" s="9"/>
      <c r="OX541" s="9"/>
      <c r="OY541" s="9"/>
      <c r="OZ541" s="9"/>
      <c r="PA541" s="9"/>
      <c r="PB541" s="9"/>
      <c r="PC541" s="9"/>
      <c r="PD541" s="9"/>
      <c r="PE541" s="9"/>
      <c r="PF541" s="9"/>
      <c r="PG541" s="9"/>
      <c r="PH541" s="9"/>
      <c r="PI541" s="9"/>
      <c r="PJ541" s="9"/>
      <c r="PK541" s="9"/>
      <c r="PL541" s="9"/>
      <c r="PM541" s="9"/>
      <c r="PN541" s="9"/>
      <c r="PO541" s="9"/>
      <c r="PP541" s="9"/>
      <c r="PQ541" s="9"/>
      <c r="PR541" s="9"/>
      <c r="PS541" s="9"/>
      <c r="PT541" s="9"/>
      <c r="PU541" s="9"/>
      <c r="PV541" s="9"/>
      <c r="PW541" s="9"/>
      <c r="PX541" s="9"/>
      <c r="PY541" s="9"/>
      <c r="PZ541" s="9"/>
      <c r="QA541" s="9"/>
      <c r="QB541" s="9"/>
      <c r="QC541" s="9"/>
      <c r="QD541" s="9"/>
      <c r="QE541" s="9"/>
      <c r="QF541" s="9"/>
      <c r="QG541" s="9"/>
      <c r="QH541" s="9"/>
      <c r="QI541" s="9"/>
      <c r="QJ541" s="9"/>
      <c r="QK541" s="9"/>
      <c r="QL541" s="9"/>
      <c r="QM541" s="9"/>
      <c r="QN541" s="9"/>
      <c r="QO541" s="9"/>
      <c r="QP541" s="9"/>
      <c r="QQ541" s="9"/>
      <c r="QR541" s="9"/>
      <c r="QS541" s="9"/>
      <c r="QT541" s="9"/>
      <c r="QU541" s="9"/>
      <c r="QV541" s="9"/>
      <c r="QW541" s="9"/>
      <c r="QX541" s="9"/>
      <c r="QY541" s="9"/>
      <c r="QZ541" s="9"/>
      <c r="RA541" s="9"/>
      <c r="RB541" s="9"/>
      <c r="RC541" s="9"/>
      <c r="RD541" s="9"/>
      <c r="RE541" s="9"/>
      <c r="RF541" s="9"/>
      <c r="RG541" s="9"/>
      <c r="RH541" s="9"/>
      <c r="RI541" s="9"/>
      <c r="RJ541" s="9"/>
      <c r="RK541" s="9"/>
      <c r="RL541" s="9"/>
      <c r="RM541" s="9"/>
      <c r="RN541" s="9"/>
      <c r="RO541" s="9"/>
      <c r="RP541" s="9"/>
      <c r="RQ541" s="9"/>
      <c r="RR541" s="9"/>
      <c r="RS541" s="9"/>
      <c r="RT541" s="9"/>
      <c r="RU541" s="9"/>
      <c r="RV541" s="9"/>
      <c r="RW541" s="9"/>
      <c r="RX541" s="9"/>
      <c r="RY541" s="9"/>
      <c r="RZ541" s="9"/>
      <c r="SA541" s="9"/>
      <c r="SB541" s="9"/>
      <c r="SC541" s="9"/>
      <c r="SD541" s="9"/>
      <c r="SE541" s="9"/>
      <c r="SF541" s="9"/>
      <c r="SG541" s="9"/>
      <c r="SH541" s="9"/>
      <c r="SI541" s="9"/>
      <c r="SJ541" s="9"/>
      <c r="SK541" s="9"/>
      <c r="SL541" s="9"/>
      <c r="SM541" s="9"/>
      <c r="SN541" s="9"/>
      <c r="SO541" s="9"/>
      <c r="SP541" s="9"/>
      <c r="SQ541" s="9"/>
      <c r="SR541" s="9"/>
      <c r="SS541" s="9"/>
      <c r="ST541" s="9"/>
      <c r="SU541" s="9"/>
      <c r="SV541" s="9"/>
      <c r="SW541" s="9"/>
      <c r="SX541" s="9"/>
      <c r="SY541" s="9"/>
      <c r="SZ541" s="9"/>
      <c r="TA541" s="9"/>
      <c r="TB541" s="9"/>
      <c r="TC541" s="9"/>
      <c r="TD541" s="9"/>
      <c r="TE541" s="9"/>
      <c r="TF541" s="9"/>
      <c r="TG541" s="9"/>
      <c r="TH541" s="9"/>
      <c r="TI541" s="9"/>
      <c r="TJ541" s="9"/>
      <c r="TK541" s="9"/>
      <c r="TL541" s="9"/>
      <c r="TM541" s="9"/>
      <c r="TN541" s="9"/>
      <c r="TO541" s="9"/>
      <c r="TP541" s="9"/>
      <c r="TQ541" s="9"/>
      <c r="TR541" s="9"/>
      <c r="TS541" s="9"/>
      <c r="TT541" s="9"/>
      <c r="TU541" s="9"/>
      <c r="TV541" s="9"/>
      <c r="TW541" s="9"/>
      <c r="TX541" s="9"/>
      <c r="TY541" s="9"/>
      <c r="TZ541" s="9"/>
      <c r="UA541" s="9"/>
      <c r="UB541" s="9"/>
      <c r="UC541" s="9"/>
      <c r="UD541" s="9"/>
      <c r="UE541" s="9"/>
      <c r="UF541" s="9"/>
      <c r="UG541" s="9"/>
      <c r="UH541" s="9"/>
      <c r="UI541" s="9"/>
      <c r="UJ541" s="9"/>
    </row>
    <row r="542">
      <c r="A542" s="8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  <c r="IC542" s="9"/>
      <c r="ID542" s="9"/>
      <c r="IE542" s="9"/>
      <c r="IF542" s="9"/>
      <c r="IG542" s="9"/>
      <c r="IH542" s="9"/>
      <c r="II542" s="9"/>
      <c r="IJ542" s="9"/>
      <c r="IK542" s="9"/>
      <c r="IL542" s="9"/>
      <c r="IM542" s="9"/>
      <c r="IN542" s="9"/>
      <c r="IO542" s="9"/>
      <c r="IP542" s="9"/>
      <c r="IQ542" s="9"/>
      <c r="IR542" s="9"/>
      <c r="IS542" s="9"/>
      <c r="IT542" s="9"/>
      <c r="IU542" s="9"/>
      <c r="IV542" s="9"/>
      <c r="IW542" s="9"/>
      <c r="IX542" s="9"/>
      <c r="IY542" s="9"/>
      <c r="IZ542" s="9"/>
      <c r="JA542" s="9"/>
      <c r="JB542" s="9"/>
      <c r="JC542" s="9"/>
      <c r="JD542" s="9"/>
      <c r="JE542" s="9"/>
      <c r="JF542" s="9"/>
      <c r="JG542" s="9"/>
      <c r="JH542" s="9"/>
      <c r="JI542" s="9"/>
      <c r="JJ542" s="9"/>
      <c r="JK542" s="9"/>
      <c r="JL542" s="9"/>
      <c r="JM542" s="9"/>
      <c r="JN542" s="9"/>
      <c r="JO542" s="9"/>
      <c r="JP542" s="9"/>
      <c r="JQ542" s="9"/>
      <c r="JR542" s="9"/>
      <c r="JS542" s="9"/>
      <c r="JT542" s="9"/>
      <c r="JU542" s="9"/>
      <c r="JV542" s="9"/>
      <c r="JW542" s="9"/>
      <c r="JX542" s="9"/>
      <c r="JY542" s="9"/>
      <c r="JZ542" s="9"/>
      <c r="KA542" s="9"/>
      <c r="KB542" s="9"/>
      <c r="KC542" s="9"/>
      <c r="KD542" s="9"/>
      <c r="KE542" s="9"/>
      <c r="KF542" s="9"/>
      <c r="KG542" s="9"/>
      <c r="KH542" s="9"/>
      <c r="KI542" s="9"/>
      <c r="KJ542" s="9"/>
      <c r="KK542" s="9"/>
      <c r="KL542" s="9"/>
      <c r="KM542" s="9"/>
      <c r="KN542" s="9"/>
      <c r="KO542" s="9"/>
      <c r="KP542" s="9"/>
      <c r="KQ542" s="9"/>
      <c r="KR542" s="9"/>
      <c r="KS542" s="9"/>
      <c r="KT542" s="9"/>
      <c r="KU542" s="9"/>
      <c r="KV542" s="9"/>
      <c r="KW542" s="9"/>
      <c r="KX542" s="9"/>
      <c r="KY542" s="9"/>
      <c r="KZ542" s="9"/>
      <c r="LA542" s="9"/>
      <c r="LB542" s="9"/>
      <c r="LC542" s="9"/>
      <c r="LD542" s="9"/>
      <c r="LE542" s="9"/>
      <c r="LF542" s="9"/>
      <c r="LG542" s="9"/>
      <c r="LH542" s="9"/>
      <c r="LI542" s="9"/>
      <c r="LJ542" s="9"/>
      <c r="LK542" s="9"/>
      <c r="LL542" s="9"/>
      <c r="LM542" s="9"/>
      <c r="LN542" s="9"/>
      <c r="LO542" s="9"/>
      <c r="LP542" s="9"/>
      <c r="LQ542" s="9"/>
      <c r="LR542" s="9"/>
      <c r="LS542" s="9"/>
      <c r="LT542" s="9"/>
      <c r="LU542" s="9"/>
      <c r="LV542" s="9"/>
      <c r="LW542" s="9"/>
      <c r="LX542" s="9"/>
      <c r="LY542" s="9"/>
      <c r="LZ542" s="9"/>
      <c r="MA542" s="9"/>
      <c r="MB542" s="9"/>
      <c r="MC542" s="9"/>
      <c r="MD542" s="9"/>
      <c r="ME542" s="9"/>
      <c r="MF542" s="9"/>
      <c r="MG542" s="9"/>
      <c r="MH542" s="9"/>
      <c r="MI542" s="9"/>
      <c r="MJ542" s="9"/>
      <c r="MK542" s="9"/>
      <c r="ML542" s="9"/>
      <c r="MM542" s="9"/>
      <c r="MN542" s="9"/>
      <c r="MO542" s="9"/>
      <c r="MP542" s="9"/>
      <c r="MQ542" s="9"/>
      <c r="MR542" s="9"/>
      <c r="MS542" s="9"/>
      <c r="MT542" s="9"/>
      <c r="MU542" s="9"/>
      <c r="MV542" s="9"/>
      <c r="MW542" s="9"/>
      <c r="MX542" s="9"/>
      <c r="MY542" s="9"/>
      <c r="MZ542" s="9"/>
      <c r="NA542" s="9"/>
      <c r="NB542" s="9"/>
      <c r="NC542" s="9"/>
      <c r="ND542" s="9"/>
      <c r="NE542" s="9"/>
      <c r="NF542" s="9"/>
      <c r="NG542" s="9"/>
      <c r="NH542" s="9"/>
      <c r="NI542" s="9"/>
      <c r="NJ542" s="9"/>
      <c r="NK542" s="9"/>
      <c r="NL542" s="9"/>
      <c r="NM542" s="9"/>
      <c r="NN542" s="9"/>
      <c r="NO542" s="9"/>
      <c r="NP542" s="9"/>
      <c r="NQ542" s="9"/>
      <c r="NR542" s="9"/>
      <c r="NS542" s="9"/>
      <c r="NT542" s="9"/>
      <c r="NU542" s="9"/>
      <c r="NV542" s="9"/>
      <c r="NW542" s="9"/>
      <c r="NX542" s="9"/>
      <c r="NY542" s="9"/>
      <c r="NZ542" s="9"/>
      <c r="OA542" s="9"/>
      <c r="OB542" s="9"/>
      <c r="OC542" s="9"/>
      <c r="OD542" s="9"/>
      <c r="OE542" s="9"/>
      <c r="OF542" s="9"/>
      <c r="OG542" s="9"/>
      <c r="OH542" s="9"/>
      <c r="OI542" s="9"/>
      <c r="OJ542" s="9"/>
      <c r="OK542" s="9"/>
      <c r="OL542" s="9"/>
      <c r="OM542" s="9"/>
      <c r="ON542" s="9"/>
      <c r="OO542" s="9"/>
      <c r="OP542" s="9"/>
      <c r="OQ542" s="9"/>
      <c r="OR542" s="9"/>
      <c r="OS542" s="9"/>
      <c r="OT542" s="9"/>
      <c r="OU542" s="9"/>
      <c r="OV542" s="9"/>
      <c r="OW542" s="9"/>
      <c r="OX542" s="9"/>
      <c r="OY542" s="9"/>
      <c r="OZ542" s="9"/>
      <c r="PA542" s="9"/>
      <c r="PB542" s="9"/>
      <c r="PC542" s="9"/>
      <c r="PD542" s="9"/>
      <c r="PE542" s="9"/>
      <c r="PF542" s="9"/>
      <c r="PG542" s="9"/>
      <c r="PH542" s="9"/>
      <c r="PI542" s="9"/>
      <c r="PJ542" s="9"/>
      <c r="PK542" s="9"/>
      <c r="PL542" s="9"/>
      <c r="PM542" s="9"/>
      <c r="PN542" s="9"/>
      <c r="PO542" s="9"/>
      <c r="PP542" s="9"/>
      <c r="PQ542" s="9"/>
      <c r="PR542" s="9"/>
      <c r="PS542" s="9"/>
      <c r="PT542" s="9"/>
      <c r="PU542" s="9"/>
      <c r="PV542" s="9"/>
      <c r="PW542" s="9"/>
      <c r="PX542" s="9"/>
      <c r="PY542" s="9"/>
      <c r="PZ542" s="9"/>
      <c r="QA542" s="9"/>
      <c r="QB542" s="9"/>
      <c r="QC542" s="9"/>
      <c r="QD542" s="9"/>
      <c r="QE542" s="9"/>
      <c r="QF542" s="9"/>
      <c r="QG542" s="9"/>
      <c r="QH542" s="9"/>
      <c r="QI542" s="9"/>
      <c r="QJ542" s="9"/>
      <c r="QK542" s="9"/>
      <c r="QL542" s="9"/>
      <c r="QM542" s="9"/>
      <c r="QN542" s="9"/>
      <c r="QO542" s="9"/>
      <c r="QP542" s="9"/>
      <c r="QQ542" s="9"/>
      <c r="QR542" s="9"/>
      <c r="QS542" s="9"/>
      <c r="QT542" s="9"/>
      <c r="QU542" s="9"/>
      <c r="QV542" s="9"/>
      <c r="QW542" s="9"/>
      <c r="QX542" s="9"/>
      <c r="QY542" s="9"/>
      <c r="QZ542" s="9"/>
      <c r="RA542" s="9"/>
      <c r="RB542" s="9"/>
      <c r="RC542" s="9"/>
      <c r="RD542" s="9"/>
      <c r="RE542" s="9"/>
      <c r="RF542" s="9"/>
      <c r="RG542" s="9"/>
      <c r="RH542" s="9"/>
      <c r="RI542" s="9"/>
      <c r="RJ542" s="9"/>
      <c r="RK542" s="9"/>
      <c r="RL542" s="9"/>
      <c r="RM542" s="9"/>
      <c r="RN542" s="9"/>
      <c r="RO542" s="9"/>
      <c r="RP542" s="9"/>
      <c r="RQ542" s="9"/>
      <c r="RR542" s="9"/>
      <c r="RS542" s="9"/>
      <c r="RT542" s="9"/>
      <c r="RU542" s="9"/>
      <c r="RV542" s="9"/>
      <c r="RW542" s="9"/>
      <c r="RX542" s="9"/>
      <c r="RY542" s="9"/>
      <c r="RZ542" s="9"/>
      <c r="SA542" s="9"/>
      <c r="SB542" s="9"/>
      <c r="SC542" s="9"/>
      <c r="SD542" s="9"/>
      <c r="SE542" s="9"/>
      <c r="SF542" s="9"/>
      <c r="SG542" s="9"/>
      <c r="SH542" s="9"/>
      <c r="SI542" s="9"/>
      <c r="SJ542" s="9"/>
      <c r="SK542" s="9"/>
      <c r="SL542" s="9"/>
      <c r="SM542" s="9"/>
      <c r="SN542" s="9"/>
      <c r="SO542" s="9"/>
      <c r="SP542" s="9"/>
      <c r="SQ542" s="9"/>
      <c r="SR542" s="9"/>
      <c r="SS542" s="9"/>
      <c r="ST542" s="9"/>
      <c r="SU542" s="9"/>
      <c r="SV542" s="9"/>
      <c r="SW542" s="9"/>
      <c r="SX542" s="9"/>
      <c r="SY542" s="9"/>
      <c r="SZ542" s="9"/>
      <c r="TA542" s="9"/>
      <c r="TB542" s="9"/>
      <c r="TC542" s="9"/>
      <c r="TD542" s="9"/>
      <c r="TE542" s="9"/>
      <c r="TF542" s="9"/>
      <c r="TG542" s="9"/>
      <c r="TH542" s="9"/>
      <c r="TI542" s="9"/>
      <c r="TJ542" s="9"/>
      <c r="TK542" s="9"/>
      <c r="TL542" s="9"/>
      <c r="TM542" s="9"/>
      <c r="TN542" s="9"/>
      <c r="TO542" s="9"/>
      <c r="TP542" s="9"/>
      <c r="TQ542" s="9"/>
      <c r="TR542" s="9"/>
      <c r="TS542" s="9"/>
      <c r="TT542" s="9"/>
      <c r="TU542" s="9"/>
      <c r="TV542" s="9"/>
      <c r="TW542" s="9"/>
      <c r="TX542" s="9"/>
      <c r="TY542" s="9"/>
      <c r="TZ542" s="9"/>
      <c r="UA542" s="9"/>
      <c r="UB542" s="9"/>
      <c r="UC542" s="9"/>
      <c r="UD542" s="9"/>
      <c r="UE542" s="9"/>
      <c r="UF542" s="9"/>
      <c r="UG542" s="9"/>
      <c r="UH542" s="9"/>
      <c r="UI542" s="9"/>
      <c r="UJ542" s="9"/>
    </row>
    <row r="543">
      <c r="A543" s="8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  <c r="GB543" s="9"/>
      <c r="GC543" s="9"/>
      <c r="GD543" s="9"/>
      <c r="GE543" s="9"/>
      <c r="GF543" s="9"/>
      <c r="GG543" s="9"/>
      <c r="GH543" s="9"/>
      <c r="GI543" s="9"/>
      <c r="GJ543" s="9"/>
      <c r="GK543" s="9"/>
      <c r="GL543" s="9"/>
      <c r="GM543" s="9"/>
      <c r="GN543" s="9"/>
      <c r="GO543" s="9"/>
      <c r="GP543" s="9"/>
      <c r="GQ543" s="9"/>
      <c r="GR543" s="9"/>
      <c r="GS543" s="9"/>
      <c r="GT543" s="9"/>
      <c r="GU543" s="9"/>
      <c r="GV543" s="9"/>
      <c r="GW543" s="9"/>
      <c r="GX543" s="9"/>
      <c r="GY543" s="9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  <c r="HO543" s="9"/>
      <c r="HP543" s="9"/>
      <c r="HQ543" s="9"/>
      <c r="HR543" s="9"/>
      <c r="HS543" s="9"/>
      <c r="HT543" s="9"/>
      <c r="HU543" s="9"/>
      <c r="HV543" s="9"/>
      <c r="HW543" s="9"/>
      <c r="HX543" s="9"/>
      <c r="HY543" s="9"/>
      <c r="HZ543" s="9"/>
      <c r="IA543" s="9"/>
      <c r="IB543" s="9"/>
      <c r="IC543" s="9"/>
      <c r="ID543" s="9"/>
      <c r="IE543" s="9"/>
      <c r="IF543" s="9"/>
      <c r="IG543" s="9"/>
      <c r="IH543" s="9"/>
      <c r="II543" s="9"/>
      <c r="IJ543" s="9"/>
      <c r="IK543" s="9"/>
      <c r="IL543" s="9"/>
      <c r="IM543" s="9"/>
      <c r="IN543" s="9"/>
      <c r="IO543" s="9"/>
      <c r="IP543" s="9"/>
      <c r="IQ543" s="9"/>
      <c r="IR543" s="9"/>
      <c r="IS543" s="9"/>
      <c r="IT543" s="9"/>
      <c r="IU543" s="9"/>
      <c r="IV543" s="9"/>
      <c r="IW543" s="9"/>
      <c r="IX543" s="9"/>
      <c r="IY543" s="9"/>
      <c r="IZ543" s="9"/>
      <c r="JA543" s="9"/>
      <c r="JB543" s="9"/>
      <c r="JC543" s="9"/>
      <c r="JD543" s="9"/>
      <c r="JE543" s="9"/>
      <c r="JF543" s="9"/>
      <c r="JG543" s="9"/>
      <c r="JH543" s="9"/>
      <c r="JI543" s="9"/>
      <c r="JJ543" s="9"/>
      <c r="JK543" s="9"/>
      <c r="JL543" s="9"/>
      <c r="JM543" s="9"/>
      <c r="JN543" s="9"/>
      <c r="JO543" s="9"/>
      <c r="JP543" s="9"/>
      <c r="JQ543" s="9"/>
      <c r="JR543" s="9"/>
      <c r="JS543" s="9"/>
      <c r="JT543" s="9"/>
      <c r="JU543" s="9"/>
      <c r="JV543" s="9"/>
      <c r="JW543" s="9"/>
      <c r="JX543" s="9"/>
      <c r="JY543" s="9"/>
      <c r="JZ543" s="9"/>
      <c r="KA543" s="9"/>
      <c r="KB543" s="9"/>
      <c r="KC543" s="9"/>
      <c r="KD543" s="9"/>
      <c r="KE543" s="9"/>
      <c r="KF543" s="9"/>
      <c r="KG543" s="9"/>
      <c r="KH543" s="9"/>
      <c r="KI543" s="9"/>
      <c r="KJ543" s="9"/>
      <c r="KK543" s="9"/>
      <c r="KL543" s="9"/>
      <c r="KM543" s="9"/>
      <c r="KN543" s="9"/>
      <c r="KO543" s="9"/>
      <c r="KP543" s="9"/>
      <c r="KQ543" s="9"/>
      <c r="KR543" s="9"/>
      <c r="KS543" s="9"/>
      <c r="KT543" s="9"/>
      <c r="KU543" s="9"/>
      <c r="KV543" s="9"/>
      <c r="KW543" s="9"/>
      <c r="KX543" s="9"/>
      <c r="KY543" s="9"/>
      <c r="KZ543" s="9"/>
      <c r="LA543" s="9"/>
      <c r="LB543" s="9"/>
      <c r="LC543" s="9"/>
      <c r="LD543" s="9"/>
      <c r="LE543" s="9"/>
      <c r="LF543" s="9"/>
      <c r="LG543" s="9"/>
      <c r="LH543" s="9"/>
      <c r="LI543" s="9"/>
      <c r="LJ543" s="9"/>
      <c r="LK543" s="9"/>
      <c r="LL543" s="9"/>
      <c r="LM543" s="9"/>
      <c r="LN543" s="9"/>
      <c r="LO543" s="9"/>
      <c r="LP543" s="9"/>
      <c r="LQ543" s="9"/>
      <c r="LR543" s="9"/>
      <c r="LS543" s="9"/>
      <c r="LT543" s="9"/>
      <c r="LU543" s="9"/>
      <c r="LV543" s="9"/>
      <c r="LW543" s="9"/>
      <c r="LX543" s="9"/>
      <c r="LY543" s="9"/>
      <c r="LZ543" s="9"/>
      <c r="MA543" s="9"/>
      <c r="MB543" s="9"/>
      <c r="MC543" s="9"/>
      <c r="MD543" s="9"/>
      <c r="ME543" s="9"/>
      <c r="MF543" s="9"/>
      <c r="MG543" s="9"/>
      <c r="MH543" s="9"/>
      <c r="MI543" s="9"/>
      <c r="MJ543" s="9"/>
      <c r="MK543" s="9"/>
      <c r="ML543" s="9"/>
      <c r="MM543" s="9"/>
      <c r="MN543" s="9"/>
      <c r="MO543" s="9"/>
      <c r="MP543" s="9"/>
      <c r="MQ543" s="9"/>
      <c r="MR543" s="9"/>
      <c r="MS543" s="9"/>
      <c r="MT543" s="9"/>
      <c r="MU543" s="9"/>
      <c r="MV543" s="9"/>
      <c r="MW543" s="9"/>
      <c r="MX543" s="9"/>
      <c r="MY543" s="9"/>
      <c r="MZ543" s="9"/>
      <c r="NA543" s="9"/>
      <c r="NB543" s="9"/>
      <c r="NC543" s="9"/>
      <c r="ND543" s="9"/>
      <c r="NE543" s="9"/>
      <c r="NF543" s="9"/>
      <c r="NG543" s="9"/>
      <c r="NH543" s="9"/>
      <c r="NI543" s="9"/>
      <c r="NJ543" s="9"/>
      <c r="NK543" s="9"/>
      <c r="NL543" s="9"/>
      <c r="NM543" s="9"/>
      <c r="NN543" s="9"/>
      <c r="NO543" s="9"/>
      <c r="NP543" s="9"/>
      <c r="NQ543" s="9"/>
      <c r="NR543" s="9"/>
      <c r="NS543" s="9"/>
      <c r="NT543" s="9"/>
      <c r="NU543" s="9"/>
      <c r="NV543" s="9"/>
      <c r="NW543" s="9"/>
      <c r="NX543" s="9"/>
      <c r="NY543" s="9"/>
      <c r="NZ543" s="9"/>
      <c r="OA543" s="9"/>
      <c r="OB543" s="9"/>
      <c r="OC543" s="9"/>
      <c r="OD543" s="9"/>
      <c r="OE543" s="9"/>
      <c r="OF543" s="9"/>
      <c r="OG543" s="9"/>
      <c r="OH543" s="9"/>
      <c r="OI543" s="9"/>
      <c r="OJ543" s="9"/>
      <c r="OK543" s="9"/>
      <c r="OL543" s="9"/>
      <c r="OM543" s="9"/>
      <c r="ON543" s="9"/>
      <c r="OO543" s="9"/>
      <c r="OP543" s="9"/>
      <c r="OQ543" s="9"/>
      <c r="OR543" s="9"/>
      <c r="OS543" s="9"/>
      <c r="OT543" s="9"/>
      <c r="OU543" s="9"/>
      <c r="OV543" s="9"/>
      <c r="OW543" s="9"/>
      <c r="OX543" s="9"/>
      <c r="OY543" s="9"/>
      <c r="OZ543" s="9"/>
      <c r="PA543" s="9"/>
      <c r="PB543" s="9"/>
      <c r="PC543" s="9"/>
      <c r="PD543" s="9"/>
      <c r="PE543" s="9"/>
      <c r="PF543" s="9"/>
      <c r="PG543" s="9"/>
      <c r="PH543" s="9"/>
      <c r="PI543" s="9"/>
      <c r="PJ543" s="9"/>
      <c r="PK543" s="9"/>
      <c r="PL543" s="9"/>
      <c r="PM543" s="9"/>
      <c r="PN543" s="9"/>
      <c r="PO543" s="9"/>
      <c r="PP543" s="9"/>
      <c r="PQ543" s="9"/>
      <c r="PR543" s="9"/>
      <c r="PS543" s="9"/>
      <c r="PT543" s="9"/>
      <c r="PU543" s="9"/>
      <c r="PV543" s="9"/>
      <c r="PW543" s="9"/>
      <c r="PX543" s="9"/>
      <c r="PY543" s="9"/>
      <c r="PZ543" s="9"/>
      <c r="QA543" s="9"/>
      <c r="QB543" s="9"/>
      <c r="QC543" s="9"/>
      <c r="QD543" s="9"/>
      <c r="QE543" s="9"/>
      <c r="QF543" s="9"/>
      <c r="QG543" s="9"/>
      <c r="QH543" s="9"/>
      <c r="QI543" s="9"/>
      <c r="QJ543" s="9"/>
      <c r="QK543" s="9"/>
      <c r="QL543" s="9"/>
      <c r="QM543" s="9"/>
      <c r="QN543" s="9"/>
      <c r="QO543" s="9"/>
      <c r="QP543" s="9"/>
      <c r="QQ543" s="9"/>
      <c r="QR543" s="9"/>
      <c r="QS543" s="9"/>
      <c r="QT543" s="9"/>
      <c r="QU543" s="9"/>
      <c r="QV543" s="9"/>
      <c r="QW543" s="9"/>
      <c r="QX543" s="9"/>
      <c r="QY543" s="9"/>
      <c r="QZ543" s="9"/>
      <c r="RA543" s="9"/>
      <c r="RB543" s="9"/>
      <c r="RC543" s="9"/>
      <c r="RD543" s="9"/>
      <c r="RE543" s="9"/>
      <c r="RF543" s="9"/>
      <c r="RG543" s="9"/>
      <c r="RH543" s="9"/>
      <c r="RI543" s="9"/>
      <c r="RJ543" s="9"/>
      <c r="RK543" s="9"/>
      <c r="RL543" s="9"/>
      <c r="RM543" s="9"/>
      <c r="RN543" s="9"/>
      <c r="RO543" s="9"/>
      <c r="RP543" s="9"/>
      <c r="RQ543" s="9"/>
      <c r="RR543" s="9"/>
      <c r="RS543" s="9"/>
      <c r="RT543" s="9"/>
      <c r="RU543" s="9"/>
      <c r="RV543" s="9"/>
      <c r="RW543" s="9"/>
      <c r="RX543" s="9"/>
      <c r="RY543" s="9"/>
      <c r="RZ543" s="9"/>
      <c r="SA543" s="9"/>
      <c r="SB543" s="9"/>
      <c r="SC543" s="9"/>
      <c r="SD543" s="9"/>
      <c r="SE543" s="9"/>
      <c r="SF543" s="9"/>
      <c r="SG543" s="9"/>
      <c r="SH543" s="9"/>
      <c r="SI543" s="9"/>
      <c r="SJ543" s="9"/>
      <c r="SK543" s="9"/>
      <c r="SL543" s="9"/>
      <c r="SM543" s="9"/>
      <c r="SN543" s="9"/>
      <c r="SO543" s="9"/>
      <c r="SP543" s="9"/>
      <c r="SQ543" s="9"/>
      <c r="SR543" s="9"/>
      <c r="SS543" s="9"/>
      <c r="ST543" s="9"/>
      <c r="SU543" s="9"/>
      <c r="SV543" s="9"/>
      <c r="SW543" s="9"/>
      <c r="SX543" s="9"/>
      <c r="SY543" s="9"/>
      <c r="SZ543" s="9"/>
      <c r="TA543" s="9"/>
      <c r="TB543" s="9"/>
      <c r="TC543" s="9"/>
      <c r="TD543" s="9"/>
      <c r="TE543" s="9"/>
      <c r="TF543" s="9"/>
      <c r="TG543" s="9"/>
      <c r="TH543" s="9"/>
      <c r="TI543" s="9"/>
      <c r="TJ543" s="9"/>
      <c r="TK543" s="9"/>
      <c r="TL543" s="9"/>
      <c r="TM543" s="9"/>
      <c r="TN543" s="9"/>
      <c r="TO543" s="9"/>
      <c r="TP543" s="9"/>
      <c r="TQ543" s="9"/>
      <c r="TR543" s="9"/>
      <c r="TS543" s="9"/>
      <c r="TT543" s="9"/>
      <c r="TU543" s="9"/>
      <c r="TV543" s="9"/>
      <c r="TW543" s="9"/>
      <c r="TX543" s="9"/>
      <c r="TY543" s="9"/>
      <c r="TZ543" s="9"/>
      <c r="UA543" s="9"/>
      <c r="UB543" s="9"/>
      <c r="UC543" s="9"/>
      <c r="UD543" s="9"/>
      <c r="UE543" s="9"/>
      <c r="UF543" s="9"/>
      <c r="UG543" s="9"/>
      <c r="UH543" s="9"/>
      <c r="UI543" s="9"/>
      <c r="UJ543" s="9"/>
    </row>
    <row r="544">
      <c r="A544" s="8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  <c r="IN544" s="9"/>
      <c r="IO544" s="9"/>
      <c r="IP544" s="9"/>
      <c r="IQ544" s="9"/>
      <c r="IR544" s="9"/>
      <c r="IS544" s="9"/>
      <c r="IT544" s="9"/>
      <c r="IU544" s="9"/>
      <c r="IV544" s="9"/>
      <c r="IW544" s="9"/>
      <c r="IX544" s="9"/>
      <c r="IY544" s="9"/>
      <c r="IZ544" s="9"/>
      <c r="JA544" s="9"/>
      <c r="JB544" s="9"/>
      <c r="JC544" s="9"/>
      <c r="JD544" s="9"/>
      <c r="JE544" s="9"/>
      <c r="JF544" s="9"/>
      <c r="JG544" s="9"/>
      <c r="JH544" s="9"/>
      <c r="JI544" s="9"/>
      <c r="JJ544" s="9"/>
      <c r="JK544" s="9"/>
      <c r="JL544" s="9"/>
      <c r="JM544" s="9"/>
      <c r="JN544" s="9"/>
      <c r="JO544" s="9"/>
      <c r="JP544" s="9"/>
      <c r="JQ544" s="9"/>
      <c r="JR544" s="9"/>
      <c r="JS544" s="9"/>
      <c r="JT544" s="9"/>
      <c r="JU544" s="9"/>
      <c r="JV544" s="9"/>
      <c r="JW544" s="9"/>
      <c r="JX544" s="9"/>
      <c r="JY544" s="9"/>
      <c r="JZ544" s="9"/>
      <c r="KA544" s="9"/>
      <c r="KB544" s="9"/>
      <c r="KC544" s="9"/>
      <c r="KD544" s="9"/>
      <c r="KE544" s="9"/>
      <c r="KF544" s="9"/>
      <c r="KG544" s="9"/>
      <c r="KH544" s="9"/>
      <c r="KI544" s="9"/>
      <c r="KJ544" s="9"/>
      <c r="KK544" s="9"/>
      <c r="KL544" s="9"/>
      <c r="KM544" s="9"/>
      <c r="KN544" s="9"/>
      <c r="KO544" s="9"/>
      <c r="KP544" s="9"/>
      <c r="KQ544" s="9"/>
      <c r="KR544" s="9"/>
      <c r="KS544" s="9"/>
      <c r="KT544" s="9"/>
      <c r="KU544" s="9"/>
      <c r="KV544" s="9"/>
      <c r="KW544" s="9"/>
      <c r="KX544" s="9"/>
      <c r="KY544" s="9"/>
      <c r="KZ544" s="9"/>
      <c r="LA544" s="9"/>
      <c r="LB544" s="9"/>
      <c r="LC544" s="9"/>
      <c r="LD544" s="9"/>
      <c r="LE544" s="9"/>
      <c r="LF544" s="9"/>
      <c r="LG544" s="9"/>
      <c r="LH544" s="9"/>
      <c r="LI544" s="9"/>
      <c r="LJ544" s="9"/>
      <c r="LK544" s="9"/>
      <c r="LL544" s="9"/>
      <c r="LM544" s="9"/>
      <c r="LN544" s="9"/>
      <c r="LO544" s="9"/>
      <c r="LP544" s="9"/>
      <c r="LQ544" s="9"/>
      <c r="LR544" s="9"/>
      <c r="LS544" s="9"/>
      <c r="LT544" s="9"/>
      <c r="LU544" s="9"/>
      <c r="LV544" s="9"/>
      <c r="LW544" s="9"/>
      <c r="LX544" s="9"/>
      <c r="LY544" s="9"/>
      <c r="LZ544" s="9"/>
      <c r="MA544" s="9"/>
      <c r="MB544" s="9"/>
      <c r="MC544" s="9"/>
      <c r="MD544" s="9"/>
      <c r="ME544" s="9"/>
      <c r="MF544" s="9"/>
      <c r="MG544" s="9"/>
      <c r="MH544" s="9"/>
      <c r="MI544" s="9"/>
      <c r="MJ544" s="9"/>
      <c r="MK544" s="9"/>
      <c r="ML544" s="9"/>
      <c r="MM544" s="9"/>
      <c r="MN544" s="9"/>
      <c r="MO544" s="9"/>
      <c r="MP544" s="9"/>
      <c r="MQ544" s="9"/>
      <c r="MR544" s="9"/>
      <c r="MS544" s="9"/>
      <c r="MT544" s="9"/>
      <c r="MU544" s="9"/>
      <c r="MV544" s="9"/>
      <c r="MW544" s="9"/>
      <c r="MX544" s="9"/>
      <c r="MY544" s="9"/>
      <c r="MZ544" s="9"/>
      <c r="NA544" s="9"/>
      <c r="NB544" s="9"/>
      <c r="NC544" s="9"/>
      <c r="ND544" s="9"/>
      <c r="NE544" s="9"/>
      <c r="NF544" s="9"/>
      <c r="NG544" s="9"/>
      <c r="NH544" s="9"/>
      <c r="NI544" s="9"/>
      <c r="NJ544" s="9"/>
      <c r="NK544" s="9"/>
      <c r="NL544" s="9"/>
      <c r="NM544" s="9"/>
      <c r="NN544" s="9"/>
      <c r="NO544" s="9"/>
      <c r="NP544" s="9"/>
      <c r="NQ544" s="9"/>
      <c r="NR544" s="9"/>
      <c r="NS544" s="9"/>
      <c r="NT544" s="9"/>
      <c r="NU544" s="9"/>
      <c r="NV544" s="9"/>
      <c r="NW544" s="9"/>
      <c r="NX544" s="9"/>
      <c r="NY544" s="9"/>
      <c r="NZ544" s="9"/>
      <c r="OA544" s="9"/>
      <c r="OB544" s="9"/>
      <c r="OC544" s="9"/>
      <c r="OD544" s="9"/>
      <c r="OE544" s="9"/>
      <c r="OF544" s="9"/>
      <c r="OG544" s="9"/>
      <c r="OH544" s="9"/>
      <c r="OI544" s="9"/>
      <c r="OJ544" s="9"/>
      <c r="OK544" s="9"/>
      <c r="OL544" s="9"/>
      <c r="OM544" s="9"/>
      <c r="ON544" s="9"/>
      <c r="OO544" s="9"/>
      <c r="OP544" s="9"/>
      <c r="OQ544" s="9"/>
      <c r="OR544" s="9"/>
      <c r="OS544" s="9"/>
      <c r="OT544" s="9"/>
      <c r="OU544" s="9"/>
      <c r="OV544" s="9"/>
      <c r="OW544" s="9"/>
      <c r="OX544" s="9"/>
      <c r="OY544" s="9"/>
      <c r="OZ544" s="9"/>
      <c r="PA544" s="9"/>
      <c r="PB544" s="9"/>
      <c r="PC544" s="9"/>
      <c r="PD544" s="9"/>
      <c r="PE544" s="9"/>
      <c r="PF544" s="9"/>
      <c r="PG544" s="9"/>
      <c r="PH544" s="9"/>
      <c r="PI544" s="9"/>
      <c r="PJ544" s="9"/>
      <c r="PK544" s="9"/>
      <c r="PL544" s="9"/>
      <c r="PM544" s="9"/>
      <c r="PN544" s="9"/>
      <c r="PO544" s="9"/>
      <c r="PP544" s="9"/>
      <c r="PQ544" s="9"/>
      <c r="PR544" s="9"/>
      <c r="PS544" s="9"/>
      <c r="PT544" s="9"/>
      <c r="PU544" s="9"/>
      <c r="PV544" s="9"/>
      <c r="PW544" s="9"/>
      <c r="PX544" s="9"/>
      <c r="PY544" s="9"/>
      <c r="PZ544" s="9"/>
      <c r="QA544" s="9"/>
      <c r="QB544" s="9"/>
      <c r="QC544" s="9"/>
      <c r="QD544" s="9"/>
      <c r="QE544" s="9"/>
      <c r="QF544" s="9"/>
      <c r="QG544" s="9"/>
      <c r="QH544" s="9"/>
      <c r="QI544" s="9"/>
      <c r="QJ544" s="9"/>
      <c r="QK544" s="9"/>
      <c r="QL544" s="9"/>
      <c r="QM544" s="9"/>
      <c r="QN544" s="9"/>
      <c r="QO544" s="9"/>
      <c r="QP544" s="9"/>
      <c r="QQ544" s="9"/>
      <c r="QR544" s="9"/>
      <c r="QS544" s="9"/>
      <c r="QT544" s="9"/>
      <c r="QU544" s="9"/>
      <c r="QV544" s="9"/>
      <c r="QW544" s="9"/>
      <c r="QX544" s="9"/>
      <c r="QY544" s="9"/>
      <c r="QZ544" s="9"/>
      <c r="RA544" s="9"/>
      <c r="RB544" s="9"/>
      <c r="RC544" s="9"/>
      <c r="RD544" s="9"/>
      <c r="RE544" s="9"/>
      <c r="RF544" s="9"/>
      <c r="RG544" s="9"/>
      <c r="RH544" s="9"/>
      <c r="RI544" s="9"/>
      <c r="RJ544" s="9"/>
      <c r="RK544" s="9"/>
      <c r="RL544" s="9"/>
      <c r="RM544" s="9"/>
      <c r="RN544" s="9"/>
      <c r="RO544" s="9"/>
      <c r="RP544" s="9"/>
      <c r="RQ544" s="9"/>
      <c r="RR544" s="9"/>
      <c r="RS544" s="9"/>
      <c r="RT544" s="9"/>
      <c r="RU544" s="9"/>
      <c r="RV544" s="9"/>
      <c r="RW544" s="9"/>
      <c r="RX544" s="9"/>
      <c r="RY544" s="9"/>
      <c r="RZ544" s="9"/>
      <c r="SA544" s="9"/>
      <c r="SB544" s="9"/>
      <c r="SC544" s="9"/>
      <c r="SD544" s="9"/>
      <c r="SE544" s="9"/>
      <c r="SF544" s="9"/>
      <c r="SG544" s="9"/>
      <c r="SH544" s="9"/>
      <c r="SI544" s="9"/>
      <c r="SJ544" s="9"/>
      <c r="SK544" s="9"/>
      <c r="SL544" s="9"/>
      <c r="SM544" s="9"/>
      <c r="SN544" s="9"/>
      <c r="SO544" s="9"/>
      <c r="SP544" s="9"/>
      <c r="SQ544" s="9"/>
      <c r="SR544" s="9"/>
      <c r="SS544" s="9"/>
      <c r="ST544" s="9"/>
      <c r="SU544" s="9"/>
      <c r="SV544" s="9"/>
      <c r="SW544" s="9"/>
      <c r="SX544" s="9"/>
      <c r="SY544" s="9"/>
      <c r="SZ544" s="9"/>
      <c r="TA544" s="9"/>
      <c r="TB544" s="9"/>
      <c r="TC544" s="9"/>
      <c r="TD544" s="9"/>
      <c r="TE544" s="9"/>
      <c r="TF544" s="9"/>
      <c r="TG544" s="9"/>
      <c r="TH544" s="9"/>
      <c r="TI544" s="9"/>
      <c r="TJ544" s="9"/>
      <c r="TK544" s="9"/>
      <c r="TL544" s="9"/>
      <c r="TM544" s="9"/>
      <c r="TN544" s="9"/>
      <c r="TO544" s="9"/>
      <c r="TP544" s="9"/>
      <c r="TQ544" s="9"/>
      <c r="TR544" s="9"/>
      <c r="TS544" s="9"/>
      <c r="TT544" s="9"/>
      <c r="TU544" s="9"/>
      <c r="TV544" s="9"/>
      <c r="TW544" s="9"/>
      <c r="TX544" s="9"/>
      <c r="TY544" s="9"/>
      <c r="TZ544" s="9"/>
      <c r="UA544" s="9"/>
      <c r="UB544" s="9"/>
      <c r="UC544" s="9"/>
      <c r="UD544" s="9"/>
      <c r="UE544" s="9"/>
      <c r="UF544" s="9"/>
      <c r="UG544" s="9"/>
      <c r="UH544" s="9"/>
      <c r="UI544" s="9"/>
      <c r="UJ544" s="9"/>
    </row>
    <row r="545">
      <c r="A545" s="8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  <c r="HO545" s="9"/>
      <c r="HP545" s="9"/>
      <c r="HQ545" s="9"/>
      <c r="HR545" s="9"/>
      <c r="HS545" s="9"/>
      <c r="HT545" s="9"/>
      <c r="HU545" s="9"/>
      <c r="HV545" s="9"/>
      <c r="HW545" s="9"/>
      <c r="HX545" s="9"/>
      <c r="HY545" s="9"/>
      <c r="HZ545" s="9"/>
      <c r="IA545" s="9"/>
      <c r="IB545" s="9"/>
      <c r="IC545" s="9"/>
      <c r="ID545" s="9"/>
      <c r="IE545" s="9"/>
      <c r="IF545" s="9"/>
      <c r="IG545" s="9"/>
      <c r="IH545" s="9"/>
      <c r="II545" s="9"/>
      <c r="IJ545" s="9"/>
      <c r="IK545" s="9"/>
      <c r="IL545" s="9"/>
      <c r="IM545" s="9"/>
      <c r="IN545" s="9"/>
      <c r="IO545" s="9"/>
      <c r="IP545" s="9"/>
      <c r="IQ545" s="9"/>
      <c r="IR545" s="9"/>
      <c r="IS545" s="9"/>
      <c r="IT545" s="9"/>
      <c r="IU545" s="9"/>
      <c r="IV545" s="9"/>
      <c r="IW545" s="9"/>
      <c r="IX545" s="9"/>
      <c r="IY545" s="9"/>
      <c r="IZ545" s="9"/>
      <c r="JA545" s="9"/>
      <c r="JB545" s="9"/>
      <c r="JC545" s="9"/>
      <c r="JD545" s="9"/>
      <c r="JE545" s="9"/>
      <c r="JF545" s="9"/>
      <c r="JG545" s="9"/>
      <c r="JH545" s="9"/>
      <c r="JI545" s="9"/>
      <c r="JJ545" s="9"/>
      <c r="JK545" s="9"/>
      <c r="JL545" s="9"/>
      <c r="JM545" s="9"/>
      <c r="JN545" s="9"/>
      <c r="JO545" s="9"/>
      <c r="JP545" s="9"/>
      <c r="JQ545" s="9"/>
      <c r="JR545" s="9"/>
      <c r="JS545" s="9"/>
      <c r="JT545" s="9"/>
      <c r="JU545" s="9"/>
      <c r="JV545" s="9"/>
      <c r="JW545" s="9"/>
      <c r="JX545" s="9"/>
      <c r="JY545" s="9"/>
      <c r="JZ545" s="9"/>
      <c r="KA545" s="9"/>
      <c r="KB545" s="9"/>
      <c r="KC545" s="9"/>
      <c r="KD545" s="9"/>
      <c r="KE545" s="9"/>
      <c r="KF545" s="9"/>
      <c r="KG545" s="9"/>
      <c r="KH545" s="9"/>
      <c r="KI545" s="9"/>
      <c r="KJ545" s="9"/>
      <c r="KK545" s="9"/>
      <c r="KL545" s="9"/>
      <c r="KM545" s="9"/>
      <c r="KN545" s="9"/>
      <c r="KO545" s="9"/>
      <c r="KP545" s="9"/>
      <c r="KQ545" s="9"/>
      <c r="KR545" s="9"/>
      <c r="KS545" s="9"/>
      <c r="KT545" s="9"/>
      <c r="KU545" s="9"/>
      <c r="KV545" s="9"/>
      <c r="KW545" s="9"/>
      <c r="KX545" s="9"/>
      <c r="KY545" s="9"/>
      <c r="KZ545" s="9"/>
      <c r="LA545" s="9"/>
      <c r="LB545" s="9"/>
      <c r="LC545" s="9"/>
      <c r="LD545" s="9"/>
      <c r="LE545" s="9"/>
      <c r="LF545" s="9"/>
      <c r="LG545" s="9"/>
      <c r="LH545" s="9"/>
      <c r="LI545" s="9"/>
      <c r="LJ545" s="9"/>
      <c r="LK545" s="9"/>
      <c r="LL545" s="9"/>
      <c r="LM545" s="9"/>
      <c r="LN545" s="9"/>
      <c r="LO545" s="9"/>
      <c r="LP545" s="9"/>
      <c r="LQ545" s="9"/>
      <c r="LR545" s="9"/>
      <c r="LS545" s="9"/>
      <c r="LT545" s="9"/>
      <c r="LU545" s="9"/>
      <c r="LV545" s="9"/>
      <c r="LW545" s="9"/>
      <c r="LX545" s="9"/>
      <c r="LY545" s="9"/>
      <c r="LZ545" s="9"/>
      <c r="MA545" s="9"/>
      <c r="MB545" s="9"/>
      <c r="MC545" s="9"/>
      <c r="MD545" s="9"/>
      <c r="ME545" s="9"/>
      <c r="MF545" s="9"/>
      <c r="MG545" s="9"/>
      <c r="MH545" s="9"/>
      <c r="MI545" s="9"/>
      <c r="MJ545" s="9"/>
      <c r="MK545" s="9"/>
      <c r="ML545" s="9"/>
      <c r="MM545" s="9"/>
      <c r="MN545" s="9"/>
      <c r="MO545" s="9"/>
      <c r="MP545" s="9"/>
      <c r="MQ545" s="9"/>
      <c r="MR545" s="9"/>
      <c r="MS545" s="9"/>
      <c r="MT545" s="9"/>
      <c r="MU545" s="9"/>
      <c r="MV545" s="9"/>
      <c r="MW545" s="9"/>
      <c r="MX545" s="9"/>
      <c r="MY545" s="9"/>
      <c r="MZ545" s="9"/>
      <c r="NA545" s="9"/>
      <c r="NB545" s="9"/>
      <c r="NC545" s="9"/>
      <c r="ND545" s="9"/>
      <c r="NE545" s="9"/>
      <c r="NF545" s="9"/>
      <c r="NG545" s="9"/>
      <c r="NH545" s="9"/>
      <c r="NI545" s="9"/>
      <c r="NJ545" s="9"/>
      <c r="NK545" s="9"/>
      <c r="NL545" s="9"/>
      <c r="NM545" s="9"/>
      <c r="NN545" s="9"/>
      <c r="NO545" s="9"/>
      <c r="NP545" s="9"/>
      <c r="NQ545" s="9"/>
      <c r="NR545" s="9"/>
      <c r="NS545" s="9"/>
      <c r="NT545" s="9"/>
      <c r="NU545" s="9"/>
      <c r="NV545" s="9"/>
      <c r="NW545" s="9"/>
      <c r="NX545" s="9"/>
      <c r="NY545" s="9"/>
      <c r="NZ545" s="9"/>
      <c r="OA545" s="9"/>
      <c r="OB545" s="9"/>
      <c r="OC545" s="9"/>
      <c r="OD545" s="9"/>
      <c r="OE545" s="9"/>
      <c r="OF545" s="9"/>
      <c r="OG545" s="9"/>
      <c r="OH545" s="9"/>
      <c r="OI545" s="9"/>
      <c r="OJ545" s="9"/>
      <c r="OK545" s="9"/>
      <c r="OL545" s="9"/>
      <c r="OM545" s="9"/>
      <c r="ON545" s="9"/>
      <c r="OO545" s="9"/>
      <c r="OP545" s="9"/>
      <c r="OQ545" s="9"/>
      <c r="OR545" s="9"/>
      <c r="OS545" s="9"/>
      <c r="OT545" s="9"/>
      <c r="OU545" s="9"/>
      <c r="OV545" s="9"/>
      <c r="OW545" s="9"/>
      <c r="OX545" s="9"/>
      <c r="OY545" s="9"/>
      <c r="OZ545" s="9"/>
      <c r="PA545" s="9"/>
      <c r="PB545" s="9"/>
      <c r="PC545" s="9"/>
      <c r="PD545" s="9"/>
      <c r="PE545" s="9"/>
      <c r="PF545" s="9"/>
      <c r="PG545" s="9"/>
      <c r="PH545" s="9"/>
      <c r="PI545" s="9"/>
      <c r="PJ545" s="9"/>
      <c r="PK545" s="9"/>
      <c r="PL545" s="9"/>
      <c r="PM545" s="9"/>
      <c r="PN545" s="9"/>
      <c r="PO545" s="9"/>
      <c r="PP545" s="9"/>
      <c r="PQ545" s="9"/>
      <c r="PR545" s="9"/>
      <c r="PS545" s="9"/>
      <c r="PT545" s="9"/>
      <c r="PU545" s="9"/>
      <c r="PV545" s="9"/>
      <c r="PW545" s="9"/>
      <c r="PX545" s="9"/>
      <c r="PY545" s="9"/>
      <c r="PZ545" s="9"/>
      <c r="QA545" s="9"/>
      <c r="QB545" s="9"/>
      <c r="QC545" s="9"/>
      <c r="QD545" s="9"/>
      <c r="QE545" s="9"/>
      <c r="QF545" s="9"/>
      <c r="QG545" s="9"/>
      <c r="QH545" s="9"/>
      <c r="QI545" s="9"/>
      <c r="QJ545" s="9"/>
      <c r="QK545" s="9"/>
      <c r="QL545" s="9"/>
      <c r="QM545" s="9"/>
      <c r="QN545" s="9"/>
      <c r="QO545" s="9"/>
      <c r="QP545" s="9"/>
      <c r="QQ545" s="9"/>
      <c r="QR545" s="9"/>
      <c r="QS545" s="9"/>
      <c r="QT545" s="9"/>
      <c r="QU545" s="9"/>
      <c r="QV545" s="9"/>
      <c r="QW545" s="9"/>
      <c r="QX545" s="9"/>
      <c r="QY545" s="9"/>
      <c r="QZ545" s="9"/>
      <c r="RA545" s="9"/>
      <c r="RB545" s="9"/>
      <c r="RC545" s="9"/>
      <c r="RD545" s="9"/>
      <c r="RE545" s="9"/>
      <c r="RF545" s="9"/>
      <c r="RG545" s="9"/>
      <c r="RH545" s="9"/>
      <c r="RI545" s="9"/>
      <c r="RJ545" s="9"/>
      <c r="RK545" s="9"/>
      <c r="RL545" s="9"/>
      <c r="RM545" s="9"/>
      <c r="RN545" s="9"/>
      <c r="RO545" s="9"/>
      <c r="RP545" s="9"/>
      <c r="RQ545" s="9"/>
      <c r="RR545" s="9"/>
      <c r="RS545" s="9"/>
      <c r="RT545" s="9"/>
      <c r="RU545" s="9"/>
      <c r="RV545" s="9"/>
      <c r="RW545" s="9"/>
      <c r="RX545" s="9"/>
      <c r="RY545" s="9"/>
      <c r="RZ545" s="9"/>
      <c r="SA545" s="9"/>
      <c r="SB545" s="9"/>
      <c r="SC545" s="9"/>
      <c r="SD545" s="9"/>
      <c r="SE545" s="9"/>
      <c r="SF545" s="9"/>
      <c r="SG545" s="9"/>
      <c r="SH545" s="9"/>
      <c r="SI545" s="9"/>
      <c r="SJ545" s="9"/>
      <c r="SK545" s="9"/>
      <c r="SL545" s="9"/>
      <c r="SM545" s="9"/>
      <c r="SN545" s="9"/>
      <c r="SO545" s="9"/>
      <c r="SP545" s="9"/>
      <c r="SQ545" s="9"/>
      <c r="SR545" s="9"/>
      <c r="SS545" s="9"/>
      <c r="ST545" s="9"/>
      <c r="SU545" s="9"/>
      <c r="SV545" s="9"/>
      <c r="SW545" s="9"/>
      <c r="SX545" s="9"/>
      <c r="SY545" s="9"/>
      <c r="SZ545" s="9"/>
      <c r="TA545" s="9"/>
      <c r="TB545" s="9"/>
      <c r="TC545" s="9"/>
      <c r="TD545" s="9"/>
      <c r="TE545" s="9"/>
      <c r="TF545" s="9"/>
      <c r="TG545" s="9"/>
      <c r="TH545" s="9"/>
      <c r="TI545" s="9"/>
      <c r="TJ545" s="9"/>
      <c r="TK545" s="9"/>
      <c r="TL545" s="9"/>
      <c r="TM545" s="9"/>
      <c r="TN545" s="9"/>
      <c r="TO545" s="9"/>
      <c r="TP545" s="9"/>
      <c r="TQ545" s="9"/>
      <c r="TR545" s="9"/>
      <c r="TS545" s="9"/>
      <c r="TT545" s="9"/>
      <c r="TU545" s="9"/>
      <c r="TV545" s="9"/>
      <c r="TW545" s="9"/>
      <c r="TX545" s="9"/>
      <c r="TY545" s="9"/>
      <c r="TZ545" s="9"/>
      <c r="UA545" s="9"/>
      <c r="UB545" s="9"/>
      <c r="UC545" s="9"/>
      <c r="UD545" s="9"/>
      <c r="UE545" s="9"/>
      <c r="UF545" s="9"/>
      <c r="UG545" s="9"/>
      <c r="UH545" s="9"/>
      <c r="UI545" s="9"/>
      <c r="UJ545" s="9"/>
    </row>
    <row r="546">
      <c r="A546" s="8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  <c r="HZ546" s="9"/>
      <c r="IA546" s="9"/>
      <c r="IB546" s="9"/>
      <c r="IC546" s="9"/>
      <c r="ID546" s="9"/>
      <c r="IE546" s="9"/>
      <c r="IF546" s="9"/>
      <c r="IG546" s="9"/>
      <c r="IH546" s="9"/>
      <c r="II546" s="9"/>
      <c r="IJ546" s="9"/>
      <c r="IK546" s="9"/>
      <c r="IL546" s="9"/>
      <c r="IM546" s="9"/>
      <c r="IN546" s="9"/>
      <c r="IO546" s="9"/>
      <c r="IP546" s="9"/>
      <c r="IQ546" s="9"/>
      <c r="IR546" s="9"/>
      <c r="IS546" s="9"/>
      <c r="IT546" s="9"/>
      <c r="IU546" s="9"/>
      <c r="IV546" s="9"/>
      <c r="IW546" s="9"/>
      <c r="IX546" s="9"/>
      <c r="IY546" s="9"/>
      <c r="IZ546" s="9"/>
      <c r="JA546" s="9"/>
      <c r="JB546" s="9"/>
      <c r="JC546" s="9"/>
      <c r="JD546" s="9"/>
      <c r="JE546" s="9"/>
      <c r="JF546" s="9"/>
      <c r="JG546" s="9"/>
      <c r="JH546" s="9"/>
      <c r="JI546" s="9"/>
      <c r="JJ546" s="9"/>
      <c r="JK546" s="9"/>
      <c r="JL546" s="9"/>
      <c r="JM546" s="9"/>
      <c r="JN546" s="9"/>
      <c r="JO546" s="9"/>
      <c r="JP546" s="9"/>
      <c r="JQ546" s="9"/>
      <c r="JR546" s="9"/>
      <c r="JS546" s="9"/>
      <c r="JT546" s="9"/>
      <c r="JU546" s="9"/>
      <c r="JV546" s="9"/>
      <c r="JW546" s="9"/>
      <c r="JX546" s="9"/>
      <c r="JY546" s="9"/>
      <c r="JZ546" s="9"/>
      <c r="KA546" s="9"/>
      <c r="KB546" s="9"/>
      <c r="KC546" s="9"/>
      <c r="KD546" s="9"/>
      <c r="KE546" s="9"/>
      <c r="KF546" s="9"/>
      <c r="KG546" s="9"/>
      <c r="KH546" s="9"/>
      <c r="KI546" s="9"/>
      <c r="KJ546" s="9"/>
      <c r="KK546" s="9"/>
      <c r="KL546" s="9"/>
      <c r="KM546" s="9"/>
      <c r="KN546" s="9"/>
      <c r="KO546" s="9"/>
      <c r="KP546" s="9"/>
      <c r="KQ546" s="9"/>
      <c r="KR546" s="9"/>
      <c r="KS546" s="9"/>
      <c r="KT546" s="9"/>
      <c r="KU546" s="9"/>
      <c r="KV546" s="9"/>
      <c r="KW546" s="9"/>
      <c r="KX546" s="9"/>
      <c r="KY546" s="9"/>
      <c r="KZ546" s="9"/>
      <c r="LA546" s="9"/>
      <c r="LB546" s="9"/>
      <c r="LC546" s="9"/>
      <c r="LD546" s="9"/>
      <c r="LE546" s="9"/>
      <c r="LF546" s="9"/>
      <c r="LG546" s="9"/>
      <c r="LH546" s="9"/>
      <c r="LI546" s="9"/>
      <c r="LJ546" s="9"/>
      <c r="LK546" s="9"/>
      <c r="LL546" s="9"/>
      <c r="LM546" s="9"/>
      <c r="LN546" s="9"/>
      <c r="LO546" s="9"/>
      <c r="LP546" s="9"/>
      <c r="LQ546" s="9"/>
      <c r="LR546" s="9"/>
      <c r="LS546" s="9"/>
      <c r="LT546" s="9"/>
      <c r="LU546" s="9"/>
      <c r="LV546" s="9"/>
      <c r="LW546" s="9"/>
      <c r="LX546" s="9"/>
      <c r="LY546" s="9"/>
      <c r="LZ546" s="9"/>
      <c r="MA546" s="9"/>
      <c r="MB546" s="9"/>
      <c r="MC546" s="9"/>
      <c r="MD546" s="9"/>
      <c r="ME546" s="9"/>
      <c r="MF546" s="9"/>
      <c r="MG546" s="9"/>
      <c r="MH546" s="9"/>
      <c r="MI546" s="9"/>
      <c r="MJ546" s="9"/>
      <c r="MK546" s="9"/>
      <c r="ML546" s="9"/>
      <c r="MM546" s="9"/>
      <c r="MN546" s="9"/>
      <c r="MO546" s="9"/>
      <c r="MP546" s="9"/>
      <c r="MQ546" s="9"/>
      <c r="MR546" s="9"/>
      <c r="MS546" s="9"/>
      <c r="MT546" s="9"/>
      <c r="MU546" s="9"/>
      <c r="MV546" s="9"/>
      <c r="MW546" s="9"/>
      <c r="MX546" s="9"/>
      <c r="MY546" s="9"/>
      <c r="MZ546" s="9"/>
      <c r="NA546" s="9"/>
      <c r="NB546" s="9"/>
      <c r="NC546" s="9"/>
      <c r="ND546" s="9"/>
      <c r="NE546" s="9"/>
      <c r="NF546" s="9"/>
      <c r="NG546" s="9"/>
      <c r="NH546" s="9"/>
      <c r="NI546" s="9"/>
      <c r="NJ546" s="9"/>
      <c r="NK546" s="9"/>
      <c r="NL546" s="9"/>
      <c r="NM546" s="9"/>
      <c r="NN546" s="9"/>
      <c r="NO546" s="9"/>
      <c r="NP546" s="9"/>
      <c r="NQ546" s="9"/>
      <c r="NR546" s="9"/>
      <c r="NS546" s="9"/>
      <c r="NT546" s="9"/>
      <c r="NU546" s="9"/>
      <c r="NV546" s="9"/>
      <c r="NW546" s="9"/>
      <c r="NX546" s="9"/>
      <c r="NY546" s="9"/>
      <c r="NZ546" s="9"/>
      <c r="OA546" s="9"/>
      <c r="OB546" s="9"/>
      <c r="OC546" s="9"/>
      <c r="OD546" s="9"/>
      <c r="OE546" s="9"/>
      <c r="OF546" s="9"/>
      <c r="OG546" s="9"/>
      <c r="OH546" s="9"/>
      <c r="OI546" s="9"/>
      <c r="OJ546" s="9"/>
      <c r="OK546" s="9"/>
      <c r="OL546" s="9"/>
      <c r="OM546" s="9"/>
      <c r="ON546" s="9"/>
      <c r="OO546" s="9"/>
      <c r="OP546" s="9"/>
      <c r="OQ546" s="9"/>
      <c r="OR546" s="9"/>
      <c r="OS546" s="9"/>
      <c r="OT546" s="9"/>
      <c r="OU546" s="9"/>
      <c r="OV546" s="9"/>
      <c r="OW546" s="9"/>
      <c r="OX546" s="9"/>
      <c r="OY546" s="9"/>
      <c r="OZ546" s="9"/>
      <c r="PA546" s="9"/>
      <c r="PB546" s="9"/>
      <c r="PC546" s="9"/>
      <c r="PD546" s="9"/>
      <c r="PE546" s="9"/>
      <c r="PF546" s="9"/>
      <c r="PG546" s="9"/>
      <c r="PH546" s="9"/>
      <c r="PI546" s="9"/>
      <c r="PJ546" s="9"/>
      <c r="PK546" s="9"/>
      <c r="PL546" s="9"/>
      <c r="PM546" s="9"/>
      <c r="PN546" s="9"/>
      <c r="PO546" s="9"/>
      <c r="PP546" s="9"/>
      <c r="PQ546" s="9"/>
      <c r="PR546" s="9"/>
      <c r="PS546" s="9"/>
      <c r="PT546" s="9"/>
      <c r="PU546" s="9"/>
      <c r="PV546" s="9"/>
      <c r="PW546" s="9"/>
      <c r="PX546" s="9"/>
      <c r="PY546" s="9"/>
      <c r="PZ546" s="9"/>
      <c r="QA546" s="9"/>
      <c r="QB546" s="9"/>
      <c r="QC546" s="9"/>
      <c r="QD546" s="9"/>
      <c r="QE546" s="9"/>
      <c r="QF546" s="9"/>
      <c r="QG546" s="9"/>
      <c r="QH546" s="9"/>
      <c r="QI546" s="9"/>
      <c r="QJ546" s="9"/>
      <c r="QK546" s="9"/>
      <c r="QL546" s="9"/>
      <c r="QM546" s="9"/>
      <c r="QN546" s="9"/>
      <c r="QO546" s="9"/>
      <c r="QP546" s="9"/>
      <c r="QQ546" s="9"/>
      <c r="QR546" s="9"/>
      <c r="QS546" s="9"/>
      <c r="QT546" s="9"/>
      <c r="QU546" s="9"/>
      <c r="QV546" s="9"/>
      <c r="QW546" s="9"/>
      <c r="QX546" s="9"/>
      <c r="QY546" s="9"/>
      <c r="QZ546" s="9"/>
      <c r="RA546" s="9"/>
      <c r="RB546" s="9"/>
      <c r="RC546" s="9"/>
      <c r="RD546" s="9"/>
      <c r="RE546" s="9"/>
      <c r="RF546" s="9"/>
      <c r="RG546" s="9"/>
      <c r="RH546" s="9"/>
      <c r="RI546" s="9"/>
      <c r="RJ546" s="9"/>
      <c r="RK546" s="9"/>
      <c r="RL546" s="9"/>
      <c r="RM546" s="9"/>
      <c r="RN546" s="9"/>
      <c r="RO546" s="9"/>
      <c r="RP546" s="9"/>
      <c r="RQ546" s="9"/>
      <c r="RR546" s="9"/>
      <c r="RS546" s="9"/>
      <c r="RT546" s="9"/>
      <c r="RU546" s="9"/>
      <c r="RV546" s="9"/>
      <c r="RW546" s="9"/>
      <c r="RX546" s="9"/>
      <c r="RY546" s="9"/>
      <c r="RZ546" s="9"/>
      <c r="SA546" s="9"/>
      <c r="SB546" s="9"/>
      <c r="SC546" s="9"/>
      <c r="SD546" s="9"/>
      <c r="SE546" s="9"/>
      <c r="SF546" s="9"/>
      <c r="SG546" s="9"/>
      <c r="SH546" s="9"/>
      <c r="SI546" s="9"/>
      <c r="SJ546" s="9"/>
      <c r="SK546" s="9"/>
      <c r="SL546" s="9"/>
      <c r="SM546" s="9"/>
      <c r="SN546" s="9"/>
      <c r="SO546" s="9"/>
      <c r="SP546" s="9"/>
      <c r="SQ546" s="9"/>
      <c r="SR546" s="9"/>
      <c r="SS546" s="9"/>
      <c r="ST546" s="9"/>
      <c r="SU546" s="9"/>
      <c r="SV546" s="9"/>
      <c r="SW546" s="9"/>
      <c r="SX546" s="9"/>
      <c r="SY546" s="9"/>
      <c r="SZ546" s="9"/>
      <c r="TA546" s="9"/>
      <c r="TB546" s="9"/>
      <c r="TC546" s="9"/>
      <c r="TD546" s="9"/>
      <c r="TE546" s="9"/>
      <c r="TF546" s="9"/>
      <c r="TG546" s="9"/>
      <c r="TH546" s="9"/>
      <c r="TI546" s="9"/>
      <c r="TJ546" s="9"/>
      <c r="TK546" s="9"/>
      <c r="TL546" s="9"/>
      <c r="TM546" s="9"/>
      <c r="TN546" s="9"/>
      <c r="TO546" s="9"/>
      <c r="TP546" s="9"/>
      <c r="TQ546" s="9"/>
      <c r="TR546" s="9"/>
      <c r="TS546" s="9"/>
      <c r="TT546" s="9"/>
      <c r="TU546" s="9"/>
      <c r="TV546" s="9"/>
      <c r="TW546" s="9"/>
      <c r="TX546" s="9"/>
      <c r="TY546" s="9"/>
      <c r="TZ546" s="9"/>
      <c r="UA546" s="9"/>
      <c r="UB546" s="9"/>
      <c r="UC546" s="9"/>
      <c r="UD546" s="9"/>
      <c r="UE546" s="9"/>
      <c r="UF546" s="9"/>
      <c r="UG546" s="9"/>
      <c r="UH546" s="9"/>
      <c r="UI546" s="9"/>
      <c r="UJ546" s="9"/>
    </row>
    <row r="547">
      <c r="A547" s="8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  <c r="GB547" s="9"/>
      <c r="GC547" s="9"/>
      <c r="GD547" s="9"/>
      <c r="GE547" s="9"/>
      <c r="GF547" s="9"/>
      <c r="GG547" s="9"/>
      <c r="GH547" s="9"/>
      <c r="GI547" s="9"/>
      <c r="GJ547" s="9"/>
      <c r="GK547" s="9"/>
      <c r="GL547" s="9"/>
      <c r="GM547" s="9"/>
      <c r="GN547" s="9"/>
      <c r="GO547" s="9"/>
      <c r="GP547" s="9"/>
      <c r="GQ547" s="9"/>
      <c r="GR547" s="9"/>
      <c r="GS547" s="9"/>
      <c r="GT547" s="9"/>
      <c r="GU547" s="9"/>
      <c r="GV547" s="9"/>
      <c r="GW547" s="9"/>
      <c r="GX547" s="9"/>
      <c r="GY547" s="9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  <c r="HO547" s="9"/>
      <c r="HP547" s="9"/>
      <c r="HQ547" s="9"/>
      <c r="HR547" s="9"/>
      <c r="HS547" s="9"/>
      <c r="HT547" s="9"/>
      <c r="HU547" s="9"/>
      <c r="HV547" s="9"/>
      <c r="HW547" s="9"/>
      <c r="HX547" s="9"/>
      <c r="HY547" s="9"/>
      <c r="HZ547" s="9"/>
      <c r="IA547" s="9"/>
      <c r="IB547" s="9"/>
      <c r="IC547" s="9"/>
      <c r="ID547" s="9"/>
      <c r="IE547" s="9"/>
      <c r="IF547" s="9"/>
      <c r="IG547" s="9"/>
      <c r="IH547" s="9"/>
      <c r="II547" s="9"/>
      <c r="IJ547" s="9"/>
      <c r="IK547" s="9"/>
      <c r="IL547" s="9"/>
      <c r="IM547" s="9"/>
      <c r="IN547" s="9"/>
      <c r="IO547" s="9"/>
      <c r="IP547" s="9"/>
      <c r="IQ547" s="9"/>
      <c r="IR547" s="9"/>
      <c r="IS547" s="9"/>
      <c r="IT547" s="9"/>
      <c r="IU547" s="9"/>
      <c r="IV547" s="9"/>
      <c r="IW547" s="9"/>
      <c r="IX547" s="9"/>
      <c r="IY547" s="9"/>
      <c r="IZ547" s="9"/>
      <c r="JA547" s="9"/>
      <c r="JB547" s="9"/>
      <c r="JC547" s="9"/>
      <c r="JD547" s="9"/>
      <c r="JE547" s="9"/>
      <c r="JF547" s="9"/>
      <c r="JG547" s="9"/>
      <c r="JH547" s="9"/>
      <c r="JI547" s="9"/>
      <c r="JJ547" s="9"/>
      <c r="JK547" s="9"/>
      <c r="JL547" s="9"/>
      <c r="JM547" s="9"/>
      <c r="JN547" s="9"/>
      <c r="JO547" s="9"/>
      <c r="JP547" s="9"/>
      <c r="JQ547" s="9"/>
      <c r="JR547" s="9"/>
      <c r="JS547" s="9"/>
      <c r="JT547" s="9"/>
      <c r="JU547" s="9"/>
      <c r="JV547" s="9"/>
      <c r="JW547" s="9"/>
      <c r="JX547" s="9"/>
      <c r="JY547" s="9"/>
      <c r="JZ547" s="9"/>
      <c r="KA547" s="9"/>
      <c r="KB547" s="9"/>
      <c r="KC547" s="9"/>
      <c r="KD547" s="9"/>
      <c r="KE547" s="9"/>
      <c r="KF547" s="9"/>
      <c r="KG547" s="9"/>
      <c r="KH547" s="9"/>
      <c r="KI547" s="9"/>
      <c r="KJ547" s="9"/>
      <c r="KK547" s="9"/>
      <c r="KL547" s="9"/>
      <c r="KM547" s="9"/>
      <c r="KN547" s="9"/>
      <c r="KO547" s="9"/>
      <c r="KP547" s="9"/>
      <c r="KQ547" s="9"/>
      <c r="KR547" s="9"/>
      <c r="KS547" s="9"/>
      <c r="KT547" s="9"/>
      <c r="KU547" s="9"/>
      <c r="KV547" s="9"/>
      <c r="KW547" s="9"/>
      <c r="KX547" s="9"/>
      <c r="KY547" s="9"/>
      <c r="KZ547" s="9"/>
      <c r="LA547" s="9"/>
      <c r="LB547" s="9"/>
      <c r="LC547" s="9"/>
      <c r="LD547" s="9"/>
      <c r="LE547" s="9"/>
      <c r="LF547" s="9"/>
      <c r="LG547" s="9"/>
      <c r="LH547" s="9"/>
      <c r="LI547" s="9"/>
      <c r="LJ547" s="9"/>
      <c r="LK547" s="9"/>
      <c r="LL547" s="9"/>
      <c r="LM547" s="9"/>
      <c r="LN547" s="9"/>
      <c r="LO547" s="9"/>
      <c r="LP547" s="9"/>
      <c r="LQ547" s="9"/>
      <c r="LR547" s="9"/>
      <c r="LS547" s="9"/>
      <c r="LT547" s="9"/>
      <c r="LU547" s="9"/>
      <c r="LV547" s="9"/>
      <c r="LW547" s="9"/>
      <c r="LX547" s="9"/>
      <c r="LY547" s="9"/>
      <c r="LZ547" s="9"/>
      <c r="MA547" s="9"/>
      <c r="MB547" s="9"/>
      <c r="MC547" s="9"/>
      <c r="MD547" s="9"/>
      <c r="ME547" s="9"/>
      <c r="MF547" s="9"/>
      <c r="MG547" s="9"/>
      <c r="MH547" s="9"/>
      <c r="MI547" s="9"/>
      <c r="MJ547" s="9"/>
      <c r="MK547" s="9"/>
      <c r="ML547" s="9"/>
      <c r="MM547" s="9"/>
      <c r="MN547" s="9"/>
      <c r="MO547" s="9"/>
      <c r="MP547" s="9"/>
      <c r="MQ547" s="9"/>
      <c r="MR547" s="9"/>
      <c r="MS547" s="9"/>
      <c r="MT547" s="9"/>
      <c r="MU547" s="9"/>
      <c r="MV547" s="9"/>
      <c r="MW547" s="9"/>
      <c r="MX547" s="9"/>
      <c r="MY547" s="9"/>
      <c r="MZ547" s="9"/>
      <c r="NA547" s="9"/>
      <c r="NB547" s="9"/>
      <c r="NC547" s="9"/>
      <c r="ND547" s="9"/>
      <c r="NE547" s="9"/>
      <c r="NF547" s="9"/>
      <c r="NG547" s="9"/>
      <c r="NH547" s="9"/>
      <c r="NI547" s="9"/>
      <c r="NJ547" s="9"/>
      <c r="NK547" s="9"/>
      <c r="NL547" s="9"/>
      <c r="NM547" s="9"/>
      <c r="NN547" s="9"/>
      <c r="NO547" s="9"/>
      <c r="NP547" s="9"/>
      <c r="NQ547" s="9"/>
      <c r="NR547" s="9"/>
      <c r="NS547" s="9"/>
      <c r="NT547" s="9"/>
      <c r="NU547" s="9"/>
      <c r="NV547" s="9"/>
      <c r="NW547" s="9"/>
      <c r="NX547" s="9"/>
      <c r="NY547" s="9"/>
      <c r="NZ547" s="9"/>
      <c r="OA547" s="9"/>
      <c r="OB547" s="9"/>
      <c r="OC547" s="9"/>
      <c r="OD547" s="9"/>
      <c r="OE547" s="9"/>
      <c r="OF547" s="9"/>
      <c r="OG547" s="9"/>
      <c r="OH547" s="9"/>
      <c r="OI547" s="9"/>
      <c r="OJ547" s="9"/>
      <c r="OK547" s="9"/>
      <c r="OL547" s="9"/>
      <c r="OM547" s="9"/>
      <c r="ON547" s="9"/>
      <c r="OO547" s="9"/>
      <c r="OP547" s="9"/>
      <c r="OQ547" s="9"/>
      <c r="OR547" s="9"/>
      <c r="OS547" s="9"/>
      <c r="OT547" s="9"/>
      <c r="OU547" s="9"/>
      <c r="OV547" s="9"/>
      <c r="OW547" s="9"/>
      <c r="OX547" s="9"/>
      <c r="OY547" s="9"/>
      <c r="OZ547" s="9"/>
      <c r="PA547" s="9"/>
      <c r="PB547" s="9"/>
      <c r="PC547" s="9"/>
      <c r="PD547" s="9"/>
      <c r="PE547" s="9"/>
      <c r="PF547" s="9"/>
      <c r="PG547" s="9"/>
      <c r="PH547" s="9"/>
      <c r="PI547" s="9"/>
      <c r="PJ547" s="9"/>
      <c r="PK547" s="9"/>
      <c r="PL547" s="9"/>
      <c r="PM547" s="9"/>
      <c r="PN547" s="9"/>
      <c r="PO547" s="9"/>
      <c r="PP547" s="9"/>
      <c r="PQ547" s="9"/>
      <c r="PR547" s="9"/>
      <c r="PS547" s="9"/>
      <c r="PT547" s="9"/>
      <c r="PU547" s="9"/>
      <c r="PV547" s="9"/>
      <c r="PW547" s="9"/>
      <c r="PX547" s="9"/>
      <c r="PY547" s="9"/>
      <c r="PZ547" s="9"/>
      <c r="QA547" s="9"/>
      <c r="QB547" s="9"/>
      <c r="QC547" s="9"/>
      <c r="QD547" s="9"/>
      <c r="QE547" s="9"/>
      <c r="QF547" s="9"/>
      <c r="QG547" s="9"/>
      <c r="QH547" s="9"/>
      <c r="QI547" s="9"/>
      <c r="QJ547" s="9"/>
      <c r="QK547" s="9"/>
      <c r="QL547" s="9"/>
      <c r="QM547" s="9"/>
      <c r="QN547" s="9"/>
      <c r="QO547" s="9"/>
      <c r="QP547" s="9"/>
      <c r="QQ547" s="9"/>
      <c r="QR547" s="9"/>
      <c r="QS547" s="9"/>
      <c r="QT547" s="9"/>
      <c r="QU547" s="9"/>
      <c r="QV547" s="9"/>
      <c r="QW547" s="9"/>
      <c r="QX547" s="9"/>
      <c r="QY547" s="9"/>
      <c r="QZ547" s="9"/>
      <c r="RA547" s="9"/>
      <c r="RB547" s="9"/>
      <c r="RC547" s="9"/>
      <c r="RD547" s="9"/>
      <c r="RE547" s="9"/>
      <c r="RF547" s="9"/>
      <c r="RG547" s="9"/>
      <c r="RH547" s="9"/>
      <c r="RI547" s="9"/>
      <c r="RJ547" s="9"/>
      <c r="RK547" s="9"/>
      <c r="RL547" s="9"/>
      <c r="RM547" s="9"/>
      <c r="RN547" s="9"/>
      <c r="RO547" s="9"/>
      <c r="RP547" s="9"/>
      <c r="RQ547" s="9"/>
      <c r="RR547" s="9"/>
      <c r="RS547" s="9"/>
      <c r="RT547" s="9"/>
      <c r="RU547" s="9"/>
      <c r="RV547" s="9"/>
      <c r="RW547" s="9"/>
      <c r="RX547" s="9"/>
      <c r="RY547" s="9"/>
      <c r="RZ547" s="9"/>
      <c r="SA547" s="9"/>
      <c r="SB547" s="9"/>
      <c r="SC547" s="9"/>
      <c r="SD547" s="9"/>
      <c r="SE547" s="9"/>
      <c r="SF547" s="9"/>
      <c r="SG547" s="9"/>
      <c r="SH547" s="9"/>
      <c r="SI547" s="9"/>
      <c r="SJ547" s="9"/>
      <c r="SK547" s="9"/>
      <c r="SL547" s="9"/>
      <c r="SM547" s="9"/>
      <c r="SN547" s="9"/>
      <c r="SO547" s="9"/>
      <c r="SP547" s="9"/>
      <c r="SQ547" s="9"/>
      <c r="SR547" s="9"/>
      <c r="SS547" s="9"/>
      <c r="ST547" s="9"/>
      <c r="SU547" s="9"/>
      <c r="SV547" s="9"/>
      <c r="SW547" s="9"/>
      <c r="SX547" s="9"/>
      <c r="SY547" s="9"/>
      <c r="SZ547" s="9"/>
      <c r="TA547" s="9"/>
      <c r="TB547" s="9"/>
      <c r="TC547" s="9"/>
      <c r="TD547" s="9"/>
      <c r="TE547" s="9"/>
      <c r="TF547" s="9"/>
      <c r="TG547" s="9"/>
      <c r="TH547" s="9"/>
      <c r="TI547" s="9"/>
      <c r="TJ547" s="9"/>
      <c r="TK547" s="9"/>
      <c r="TL547" s="9"/>
      <c r="TM547" s="9"/>
      <c r="TN547" s="9"/>
      <c r="TO547" s="9"/>
      <c r="TP547" s="9"/>
      <c r="TQ547" s="9"/>
      <c r="TR547" s="9"/>
      <c r="TS547" s="9"/>
      <c r="TT547" s="9"/>
      <c r="TU547" s="9"/>
      <c r="TV547" s="9"/>
      <c r="TW547" s="9"/>
      <c r="TX547" s="9"/>
      <c r="TY547" s="9"/>
      <c r="TZ547" s="9"/>
      <c r="UA547" s="9"/>
      <c r="UB547" s="9"/>
      <c r="UC547" s="9"/>
      <c r="UD547" s="9"/>
      <c r="UE547" s="9"/>
      <c r="UF547" s="9"/>
      <c r="UG547" s="9"/>
      <c r="UH547" s="9"/>
      <c r="UI547" s="9"/>
      <c r="UJ547" s="9"/>
    </row>
    <row r="548">
      <c r="A548" s="8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  <c r="IN548" s="9"/>
      <c r="IO548" s="9"/>
      <c r="IP548" s="9"/>
      <c r="IQ548" s="9"/>
      <c r="IR548" s="9"/>
      <c r="IS548" s="9"/>
      <c r="IT548" s="9"/>
      <c r="IU548" s="9"/>
      <c r="IV548" s="9"/>
      <c r="IW548" s="9"/>
      <c r="IX548" s="9"/>
      <c r="IY548" s="9"/>
      <c r="IZ548" s="9"/>
      <c r="JA548" s="9"/>
      <c r="JB548" s="9"/>
      <c r="JC548" s="9"/>
      <c r="JD548" s="9"/>
      <c r="JE548" s="9"/>
      <c r="JF548" s="9"/>
      <c r="JG548" s="9"/>
      <c r="JH548" s="9"/>
      <c r="JI548" s="9"/>
      <c r="JJ548" s="9"/>
      <c r="JK548" s="9"/>
      <c r="JL548" s="9"/>
      <c r="JM548" s="9"/>
      <c r="JN548" s="9"/>
      <c r="JO548" s="9"/>
      <c r="JP548" s="9"/>
      <c r="JQ548" s="9"/>
      <c r="JR548" s="9"/>
      <c r="JS548" s="9"/>
      <c r="JT548" s="9"/>
      <c r="JU548" s="9"/>
      <c r="JV548" s="9"/>
      <c r="JW548" s="9"/>
      <c r="JX548" s="9"/>
      <c r="JY548" s="9"/>
      <c r="JZ548" s="9"/>
      <c r="KA548" s="9"/>
      <c r="KB548" s="9"/>
      <c r="KC548" s="9"/>
      <c r="KD548" s="9"/>
      <c r="KE548" s="9"/>
      <c r="KF548" s="9"/>
      <c r="KG548" s="9"/>
      <c r="KH548" s="9"/>
      <c r="KI548" s="9"/>
      <c r="KJ548" s="9"/>
      <c r="KK548" s="9"/>
      <c r="KL548" s="9"/>
      <c r="KM548" s="9"/>
      <c r="KN548" s="9"/>
      <c r="KO548" s="9"/>
      <c r="KP548" s="9"/>
      <c r="KQ548" s="9"/>
      <c r="KR548" s="9"/>
      <c r="KS548" s="9"/>
      <c r="KT548" s="9"/>
      <c r="KU548" s="9"/>
      <c r="KV548" s="9"/>
      <c r="KW548" s="9"/>
      <c r="KX548" s="9"/>
      <c r="KY548" s="9"/>
      <c r="KZ548" s="9"/>
      <c r="LA548" s="9"/>
      <c r="LB548" s="9"/>
      <c r="LC548" s="9"/>
      <c r="LD548" s="9"/>
      <c r="LE548" s="9"/>
      <c r="LF548" s="9"/>
      <c r="LG548" s="9"/>
      <c r="LH548" s="9"/>
      <c r="LI548" s="9"/>
      <c r="LJ548" s="9"/>
      <c r="LK548" s="9"/>
      <c r="LL548" s="9"/>
      <c r="LM548" s="9"/>
      <c r="LN548" s="9"/>
      <c r="LO548" s="9"/>
      <c r="LP548" s="9"/>
      <c r="LQ548" s="9"/>
      <c r="LR548" s="9"/>
      <c r="LS548" s="9"/>
      <c r="LT548" s="9"/>
      <c r="LU548" s="9"/>
      <c r="LV548" s="9"/>
      <c r="LW548" s="9"/>
      <c r="LX548" s="9"/>
      <c r="LY548" s="9"/>
      <c r="LZ548" s="9"/>
      <c r="MA548" s="9"/>
      <c r="MB548" s="9"/>
      <c r="MC548" s="9"/>
      <c r="MD548" s="9"/>
      <c r="ME548" s="9"/>
      <c r="MF548" s="9"/>
      <c r="MG548" s="9"/>
      <c r="MH548" s="9"/>
      <c r="MI548" s="9"/>
      <c r="MJ548" s="9"/>
      <c r="MK548" s="9"/>
      <c r="ML548" s="9"/>
      <c r="MM548" s="9"/>
      <c r="MN548" s="9"/>
      <c r="MO548" s="9"/>
      <c r="MP548" s="9"/>
      <c r="MQ548" s="9"/>
      <c r="MR548" s="9"/>
      <c r="MS548" s="9"/>
      <c r="MT548" s="9"/>
      <c r="MU548" s="9"/>
      <c r="MV548" s="9"/>
      <c r="MW548" s="9"/>
      <c r="MX548" s="9"/>
      <c r="MY548" s="9"/>
      <c r="MZ548" s="9"/>
      <c r="NA548" s="9"/>
      <c r="NB548" s="9"/>
      <c r="NC548" s="9"/>
      <c r="ND548" s="9"/>
      <c r="NE548" s="9"/>
      <c r="NF548" s="9"/>
      <c r="NG548" s="9"/>
      <c r="NH548" s="9"/>
      <c r="NI548" s="9"/>
      <c r="NJ548" s="9"/>
      <c r="NK548" s="9"/>
      <c r="NL548" s="9"/>
      <c r="NM548" s="9"/>
      <c r="NN548" s="9"/>
      <c r="NO548" s="9"/>
      <c r="NP548" s="9"/>
      <c r="NQ548" s="9"/>
      <c r="NR548" s="9"/>
      <c r="NS548" s="9"/>
      <c r="NT548" s="9"/>
      <c r="NU548" s="9"/>
      <c r="NV548" s="9"/>
      <c r="NW548" s="9"/>
      <c r="NX548" s="9"/>
      <c r="NY548" s="9"/>
      <c r="NZ548" s="9"/>
      <c r="OA548" s="9"/>
      <c r="OB548" s="9"/>
      <c r="OC548" s="9"/>
      <c r="OD548" s="9"/>
      <c r="OE548" s="9"/>
      <c r="OF548" s="9"/>
      <c r="OG548" s="9"/>
      <c r="OH548" s="9"/>
      <c r="OI548" s="9"/>
      <c r="OJ548" s="9"/>
      <c r="OK548" s="9"/>
      <c r="OL548" s="9"/>
      <c r="OM548" s="9"/>
      <c r="ON548" s="9"/>
      <c r="OO548" s="9"/>
      <c r="OP548" s="9"/>
      <c r="OQ548" s="9"/>
      <c r="OR548" s="9"/>
      <c r="OS548" s="9"/>
      <c r="OT548" s="9"/>
      <c r="OU548" s="9"/>
      <c r="OV548" s="9"/>
      <c r="OW548" s="9"/>
      <c r="OX548" s="9"/>
      <c r="OY548" s="9"/>
      <c r="OZ548" s="9"/>
      <c r="PA548" s="9"/>
      <c r="PB548" s="9"/>
      <c r="PC548" s="9"/>
      <c r="PD548" s="9"/>
      <c r="PE548" s="9"/>
      <c r="PF548" s="9"/>
      <c r="PG548" s="9"/>
      <c r="PH548" s="9"/>
      <c r="PI548" s="9"/>
      <c r="PJ548" s="9"/>
      <c r="PK548" s="9"/>
      <c r="PL548" s="9"/>
      <c r="PM548" s="9"/>
      <c r="PN548" s="9"/>
      <c r="PO548" s="9"/>
      <c r="PP548" s="9"/>
      <c r="PQ548" s="9"/>
      <c r="PR548" s="9"/>
      <c r="PS548" s="9"/>
      <c r="PT548" s="9"/>
      <c r="PU548" s="9"/>
      <c r="PV548" s="9"/>
      <c r="PW548" s="9"/>
      <c r="PX548" s="9"/>
      <c r="PY548" s="9"/>
      <c r="PZ548" s="9"/>
      <c r="QA548" s="9"/>
      <c r="QB548" s="9"/>
      <c r="QC548" s="9"/>
      <c r="QD548" s="9"/>
      <c r="QE548" s="9"/>
      <c r="QF548" s="9"/>
      <c r="QG548" s="9"/>
      <c r="QH548" s="9"/>
      <c r="QI548" s="9"/>
      <c r="QJ548" s="9"/>
      <c r="QK548" s="9"/>
      <c r="QL548" s="9"/>
      <c r="QM548" s="9"/>
      <c r="QN548" s="9"/>
      <c r="QO548" s="9"/>
      <c r="QP548" s="9"/>
      <c r="QQ548" s="9"/>
      <c r="QR548" s="9"/>
      <c r="QS548" s="9"/>
      <c r="QT548" s="9"/>
      <c r="QU548" s="9"/>
      <c r="QV548" s="9"/>
      <c r="QW548" s="9"/>
      <c r="QX548" s="9"/>
      <c r="QY548" s="9"/>
      <c r="QZ548" s="9"/>
      <c r="RA548" s="9"/>
      <c r="RB548" s="9"/>
      <c r="RC548" s="9"/>
      <c r="RD548" s="9"/>
      <c r="RE548" s="9"/>
      <c r="RF548" s="9"/>
      <c r="RG548" s="9"/>
      <c r="RH548" s="9"/>
      <c r="RI548" s="9"/>
      <c r="RJ548" s="9"/>
      <c r="RK548" s="9"/>
      <c r="RL548" s="9"/>
      <c r="RM548" s="9"/>
      <c r="RN548" s="9"/>
      <c r="RO548" s="9"/>
      <c r="RP548" s="9"/>
      <c r="RQ548" s="9"/>
      <c r="RR548" s="9"/>
      <c r="RS548" s="9"/>
      <c r="RT548" s="9"/>
      <c r="RU548" s="9"/>
      <c r="RV548" s="9"/>
      <c r="RW548" s="9"/>
      <c r="RX548" s="9"/>
      <c r="RY548" s="9"/>
      <c r="RZ548" s="9"/>
      <c r="SA548" s="9"/>
      <c r="SB548" s="9"/>
      <c r="SC548" s="9"/>
      <c r="SD548" s="9"/>
      <c r="SE548" s="9"/>
      <c r="SF548" s="9"/>
      <c r="SG548" s="9"/>
      <c r="SH548" s="9"/>
      <c r="SI548" s="9"/>
      <c r="SJ548" s="9"/>
      <c r="SK548" s="9"/>
      <c r="SL548" s="9"/>
      <c r="SM548" s="9"/>
      <c r="SN548" s="9"/>
      <c r="SO548" s="9"/>
      <c r="SP548" s="9"/>
      <c r="SQ548" s="9"/>
      <c r="SR548" s="9"/>
      <c r="SS548" s="9"/>
      <c r="ST548" s="9"/>
      <c r="SU548" s="9"/>
      <c r="SV548" s="9"/>
      <c r="SW548" s="9"/>
      <c r="SX548" s="9"/>
      <c r="SY548" s="9"/>
      <c r="SZ548" s="9"/>
      <c r="TA548" s="9"/>
      <c r="TB548" s="9"/>
      <c r="TC548" s="9"/>
      <c r="TD548" s="9"/>
      <c r="TE548" s="9"/>
      <c r="TF548" s="9"/>
      <c r="TG548" s="9"/>
      <c r="TH548" s="9"/>
      <c r="TI548" s="9"/>
      <c r="TJ548" s="9"/>
      <c r="TK548" s="9"/>
      <c r="TL548" s="9"/>
      <c r="TM548" s="9"/>
      <c r="TN548" s="9"/>
      <c r="TO548" s="9"/>
      <c r="TP548" s="9"/>
      <c r="TQ548" s="9"/>
      <c r="TR548" s="9"/>
      <c r="TS548" s="9"/>
      <c r="TT548" s="9"/>
      <c r="TU548" s="9"/>
      <c r="TV548" s="9"/>
      <c r="TW548" s="9"/>
      <c r="TX548" s="9"/>
      <c r="TY548" s="9"/>
      <c r="TZ548" s="9"/>
      <c r="UA548" s="9"/>
      <c r="UB548" s="9"/>
      <c r="UC548" s="9"/>
      <c r="UD548" s="9"/>
      <c r="UE548" s="9"/>
      <c r="UF548" s="9"/>
      <c r="UG548" s="9"/>
      <c r="UH548" s="9"/>
      <c r="UI548" s="9"/>
      <c r="UJ548" s="9"/>
    </row>
    <row r="549">
      <c r="A549" s="8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  <c r="IC549" s="9"/>
      <c r="ID549" s="9"/>
      <c r="IE549" s="9"/>
      <c r="IF549" s="9"/>
      <c r="IG549" s="9"/>
      <c r="IH549" s="9"/>
      <c r="II549" s="9"/>
      <c r="IJ549" s="9"/>
      <c r="IK549" s="9"/>
      <c r="IL549" s="9"/>
      <c r="IM549" s="9"/>
      <c r="IN549" s="9"/>
      <c r="IO549" s="9"/>
      <c r="IP549" s="9"/>
      <c r="IQ549" s="9"/>
      <c r="IR549" s="9"/>
      <c r="IS549" s="9"/>
      <c r="IT549" s="9"/>
      <c r="IU549" s="9"/>
      <c r="IV549" s="9"/>
      <c r="IW549" s="9"/>
      <c r="IX549" s="9"/>
      <c r="IY549" s="9"/>
      <c r="IZ549" s="9"/>
      <c r="JA549" s="9"/>
      <c r="JB549" s="9"/>
      <c r="JC549" s="9"/>
      <c r="JD549" s="9"/>
      <c r="JE549" s="9"/>
      <c r="JF549" s="9"/>
      <c r="JG549" s="9"/>
      <c r="JH549" s="9"/>
      <c r="JI549" s="9"/>
      <c r="JJ549" s="9"/>
      <c r="JK549" s="9"/>
      <c r="JL549" s="9"/>
      <c r="JM549" s="9"/>
      <c r="JN549" s="9"/>
      <c r="JO549" s="9"/>
      <c r="JP549" s="9"/>
      <c r="JQ549" s="9"/>
      <c r="JR549" s="9"/>
      <c r="JS549" s="9"/>
      <c r="JT549" s="9"/>
      <c r="JU549" s="9"/>
      <c r="JV549" s="9"/>
      <c r="JW549" s="9"/>
      <c r="JX549" s="9"/>
      <c r="JY549" s="9"/>
      <c r="JZ549" s="9"/>
      <c r="KA549" s="9"/>
      <c r="KB549" s="9"/>
      <c r="KC549" s="9"/>
      <c r="KD549" s="9"/>
      <c r="KE549" s="9"/>
      <c r="KF549" s="9"/>
      <c r="KG549" s="9"/>
      <c r="KH549" s="9"/>
      <c r="KI549" s="9"/>
      <c r="KJ549" s="9"/>
      <c r="KK549" s="9"/>
      <c r="KL549" s="9"/>
      <c r="KM549" s="9"/>
      <c r="KN549" s="9"/>
      <c r="KO549" s="9"/>
      <c r="KP549" s="9"/>
      <c r="KQ549" s="9"/>
      <c r="KR549" s="9"/>
      <c r="KS549" s="9"/>
      <c r="KT549" s="9"/>
      <c r="KU549" s="9"/>
      <c r="KV549" s="9"/>
      <c r="KW549" s="9"/>
      <c r="KX549" s="9"/>
      <c r="KY549" s="9"/>
      <c r="KZ549" s="9"/>
      <c r="LA549" s="9"/>
      <c r="LB549" s="9"/>
      <c r="LC549" s="9"/>
      <c r="LD549" s="9"/>
      <c r="LE549" s="9"/>
      <c r="LF549" s="9"/>
      <c r="LG549" s="9"/>
      <c r="LH549" s="9"/>
      <c r="LI549" s="9"/>
      <c r="LJ549" s="9"/>
      <c r="LK549" s="9"/>
      <c r="LL549" s="9"/>
      <c r="LM549" s="9"/>
      <c r="LN549" s="9"/>
      <c r="LO549" s="9"/>
      <c r="LP549" s="9"/>
      <c r="LQ549" s="9"/>
      <c r="LR549" s="9"/>
      <c r="LS549" s="9"/>
      <c r="LT549" s="9"/>
      <c r="LU549" s="9"/>
      <c r="LV549" s="9"/>
      <c r="LW549" s="9"/>
      <c r="LX549" s="9"/>
      <c r="LY549" s="9"/>
      <c r="LZ549" s="9"/>
      <c r="MA549" s="9"/>
      <c r="MB549" s="9"/>
      <c r="MC549" s="9"/>
      <c r="MD549" s="9"/>
      <c r="ME549" s="9"/>
      <c r="MF549" s="9"/>
      <c r="MG549" s="9"/>
      <c r="MH549" s="9"/>
      <c r="MI549" s="9"/>
      <c r="MJ549" s="9"/>
      <c r="MK549" s="9"/>
      <c r="ML549" s="9"/>
      <c r="MM549" s="9"/>
      <c r="MN549" s="9"/>
      <c r="MO549" s="9"/>
      <c r="MP549" s="9"/>
      <c r="MQ549" s="9"/>
      <c r="MR549" s="9"/>
      <c r="MS549" s="9"/>
      <c r="MT549" s="9"/>
      <c r="MU549" s="9"/>
      <c r="MV549" s="9"/>
      <c r="MW549" s="9"/>
      <c r="MX549" s="9"/>
      <c r="MY549" s="9"/>
      <c r="MZ549" s="9"/>
      <c r="NA549" s="9"/>
      <c r="NB549" s="9"/>
      <c r="NC549" s="9"/>
      <c r="ND549" s="9"/>
      <c r="NE549" s="9"/>
      <c r="NF549" s="9"/>
      <c r="NG549" s="9"/>
      <c r="NH549" s="9"/>
      <c r="NI549" s="9"/>
      <c r="NJ549" s="9"/>
      <c r="NK549" s="9"/>
      <c r="NL549" s="9"/>
      <c r="NM549" s="9"/>
      <c r="NN549" s="9"/>
      <c r="NO549" s="9"/>
      <c r="NP549" s="9"/>
      <c r="NQ549" s="9"/>
      <c r="NR549" s="9"/>
      <c r="NS549" s="9"/>
      <c r="NT549" s="9"/>
      <c r="NU549" s="9"/>
      <c r="NV549" s="9"/>
      <c r="NW549" s="9"/>
      <c r="NX549" s="9"/>
      <c r="NY549" s="9"/>
      <c r="NZ549" s="9"/>
      <c r="OA549" s="9"/>
      <c r="OB549" s="9"/>
      <c r="OC549" s="9"/>
      <c r="OD549" s="9"/>
      <c r="OE549" s="9"/>
      <c r="OF549" s="9"/>
      <c r="OG549" s="9"/>
      <c r="OH549" s="9"/>
      <c r="OI549" s="9"/>
      <c r="OJ549" s="9"/>
      <c r="OK549" s="9"/>
      <c r="OL549" s="9"/>
      <c r="OM549" s="9"/>
      <c r="ON549" s="9"/>
      <c r="OO549" s="9"/>
      <c r="OP549" s="9"/>
      <c r="OQ549" s="9"/>
      <c r="OR549" s="9"/>
      <c r="OS549" s="9"/>
      <c r="OT549" s="9"/>
      <c r="OU549" s="9"/>
      <c r="OV549" s="9"/>
      <c r="OW549" s="9"/>
      <c r="OX549" s="9"/>
      <c r="OY549" s="9"/>
      <c r="OZ549" s="9"/>
      <c r="PA549" s="9"/>
      <c r="PB549" s="9"/>
      <c r="PC549" s="9"/>
      <c r="PD549" s="9"/>
      <c r="PE549" s="9"/>
      <c r="PF549" s="9"/>
      <c r="PG549" s="9"/>
      <c r="PH549" s="9"/>
      <c r="PI549" s="9"/>
      <c r="PJ549" s="9"/>
      <c r="PK549" s="9"/>
      <c r="PL549" s="9"/>
      <c r="PM549" s="9"/>
      <c r="PN549" s="9"/>
      <c r="PO549" s="9"/>
      <c r="PP549" s="9"/>
      <c r="PQ549" s="9"/>
      <c r="PR549" s="9"/>
      <c r="PS549" s="9"/>
      <c r="PT549" s="9"/>
      <c r="PU549" s="9"/>
      <c r="PV549" s="9"/>
      <c r="PW549" s="9"/>
      <c r="PX549" s="9"/>
      <c r="PY549" s="9"/>
      <c r="PZ549" s="9"/>
      <c r="QA549" s="9"/>
      <c r="QB549" s="9"/>
      <c r="QC549" s="9"/>
      <c r="QD549" s="9"/>
      <c r="QE549" s="9"/>
      <c r="QF549" s="9"/>
      <c r="QG549" s="9"/>
      <c r="QH549" s="9"/>
      <c r="QI549" s="9"/>
      <c r="QJ549" s="9"/>
      <c r="QK549" s="9"/>
      <c r="QL549" s="9"/>
      <c r="QM549" s="9"/>
      <c r="QN549" s="9"/>
      <c r="QO549" s="9"/>
      <c r="QP549" s="9"/>
      <c r="QQ549" s="9"/>
      <c r="QR549" s="9"/>
      <c r="QS549" s="9"/>
      <c r="QT549" s="9"/>
      <c r="QU549" s="9"/>
      <c r="QV549" s="9"/>
      <c r="QW549" s="9"/>
      <c r="QX549" s="9"/>
      <c r="QY549" s="9"/>
      <c r="QZ549" s="9"/>
      <c r="RA549" s="9"/>
      <c r="RB549" s="9"/>
      <c r="RC549" s="9"/>
      <c r="RD549" s="9"/>
      <c r="RE549" s="9"/>
      <c r="RF549" s="9"/>
      <c r="RG549" s="9"/>
      <c r="RH549" s="9"/>
      <c r="RI549" s="9"/>
      <c r="RJ549" s="9"/>
      <c r="RK549" s="9"/>
      <c r="RL549" s="9"/>
      <c r="RM549" s="9"/>
      <c r="RN549" s="9"/>
      <c r="RO549" s="9"/>
      <c r="RP549" s="9"/>
      <c r="RQ549" s="9"/>
      <c r="RR549" s="9"/>
      <c r="RS549" s="9"/>
      <c r="RT549" s="9"/>
      <c r="RU549" s="9"/>
      <c r="RV549" s="9"/>
      <c r="RW549" s="9"/>
      <c r="RX549" s="9"/>
      <c r="RY549" s="9"/>
      <c r="RZ549" s="9"/>
      <c r="SA549" s="9"/>
      <c r="SB549" s="9"/>
      <c r="SC549" s="9"/>
      <c r="SD549" s="9"/>
      <c r="SE549" s="9"/>
      <c r="SF549" s="9"/>
      <c r="SG549" s="9"/>
      <c r="SH549" s="9"/>
      <c r="SI549" s="9"/>
      <c r="SJ549" s="9"/>
      <c r="SK549" s="9"/>
      <c r="SL549" s="9"/>
      <c r="SM549" s="9"/>
      <c r="SN549" s="9"/>
      <c r="SO549" s="9"/>
      <c r="SP549" s="9"/>
      <c r="SQ549" s="9"/>
      <c r="SR549" s="9"/>
      <c r="SS549" s="9"/>
      <c r="ST549" s="9"/>
      <c r="SU549" s="9"/>
      <c r="SV549" s="9"/>
      <c r="SW549" s="9"/>
      <c r="SX549" s="9"/>
      <c r="SY549" s="9"/>
      <c r="SZ549" s="9"/>
      <c r="TA549" s="9"/>
      <c r="TB549" s="9"/>
      <c r="TC549" s="9"/>
      <c r="TD549" s="9"/>
      <c r="TE549" s="9"/>
      <c r="TF549" s="9"/>
      <c r="TG549" s="9"/>
      <c r="TH549" s="9"/>
      <c r="TI549" s="9"/>
      <c r="TJ549" s="9"/>
      <c r="TK549" s="9"/>
      <c r="TL549" s="9"/>
      <c r="TM549" s="9"/>
      <c r="TN549" s="9"/>
      <c r="TO549" s="9"/>
      <c r="TP549" s="9"/>
      <c r="TQ549" s="9"/>
      <c r="TR549" s="9"/>
      <c r="TS549" s="9"/>
      <c r="TT549" s="9"/>
      <c r="TU549" s="9"/>
      <c r="TV549" s="9"/>
      <c r="TW549" s="9"/>
      <c r="TX549" s="9"/>
      <c r="TY549" s="9"/>
      <c r="TZ549" s="9"/>
      <c r="UA549" s="9"/>
      <c r="UB549" s="9"/>
      <c r="UC549" s="9"/>
      <c r="UD549" s="9"/>
      <c r="UE549" s="9"/>
      <c r="UF549" s="9"/>
      <c r="UG549" s="9"/>
      <c r="UH549" s="9"/>
      <c r="UI549" s="9"/>
      <c r="UJ549" s="9"/>
    </row>
    <row r="550">
      <c r="A550" s="8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  <c r="IN550" s="9"/>
      <c r="IO550" s="9"/>
      <c r="IP550" s="9"/>
      <c r="IQ550" s="9"/>
      <c r="IR550" s="9"/>
      <c r="IS550" s="9"/>
      <c r="IT550" s="9"/>
      <c r="IU550" s="9"/>
      <c r="IV550" s="9"/>
      <c r="IW550" s="9"/>
      <c r="IX550" s="9"/>
      <c r="IY550" s="9"/>
      <c r="IZ550" s="9"/>
      <c r="JA550" s="9"/>
      <c r="JB550" s="9"/>
      <c r="JC550" s="9"/>
      <c r="JD550" s="9"/>
      <c r="JE550" s="9"/>
      <c r="JF550" s="9"/>
      <c r="JG550" s="9"/>
      <c r="JH550" s="9"/>
      <c r="JI550" s="9"/>
      <c r="JJ550" s="9"/>
      <c r="JK550" s="9"/>
      <c r="JL550" s="9"/>
      <c r="JM550" s="9"/>
      <c r="JN550" s="9"/>
      <c r="JO550" s="9"/>
      <c r="JP550" s="9"/>
      <c r="JQ550" s="9"/>
      <c r="JR550" s="9"/>
      <c r="JS550" s="9"/>
      <c r="JT550" s="9"/>
      <c r="JU550" s="9"/>
      <c r="JV550" s="9"/>
      <c r="JW550" s="9"/>
      <c r="JX550" s="9"/>
      <c r="JY550" s="9"/>
      <c r="JZ550" s="9"/>
      <c r="KA550" s="9"/>
      <c r="KB550" s="9"/>
      <c r="KC550" s="9"/>
      <c r="KD550" s="9"/>
      <c r="KE550" s="9"/>
      <c r="KF550" s="9"/>
      <c r="KG550" s="9"/>
      <c r="KH550" s="9"/>
      <c r="KI550" s="9"/>
      <c r="KJ550" s="9"/>
      <c r="KK550" s="9"/>
      <c r="KL550" s="9"/>
      <c r="KM550" s="9"/>
      <c r="KN550" s="9"/>
      <c r="KO550" s="9"/>
      <c r="KP550" s="9"/>
      <c r="KQ550" s="9"/>
      <c r="KR550" s="9"/>
      <c r="KS550" s="9"/>
      <c r="KT550" s="9"/>
      <c r="KU550" s="9"/>
      <c r="KV550" s="9"/>
      <c r="KW550" s="9"/>
      <c r="KX550" s="9"/>
      <c r="KY550" s="9"/>
      <c r="KZ550" s="9"/>
      <c r="LA550" s="9"/>
      <c r="LB550" s="9"/>
      <c r="LC550" s="9"/>
      <c r="LD550" s="9"/>
      <c r="LE550" s="9"/>
      <c r="LF550" s="9"/>
      <c r="LG550" s="9"/>
      <c r="LH550" s="9"/>
      <c r="LI550" s="9"/>
      <c r="LJ550" s="9"/>
      <c r="LK550" s="9"/>
      <c r="LL550" s="9"/>
      <c r="LM550" s="9"/>
      <c r="LN550" s="9"/>
      <c r="LO550" s="9"/>
      <c r="LP550" s="9"/>
      <c r="LQ550" s="9"/>
      <c r="LR550" s="9"/>
      <c r="LS550" s="9"/>
      <c r="LT550" s="9"/>
      <c r="LU550" s="9"/>
      <c r="LV550" s="9"/>
      <c r="LW550" s="9"/>
      <c r="LX550" s="9"/>
      <c r="LY550" s="9"/>
      <c r="LZ550" s="9"/>
      <c r="MA550" s="9"/>
      <c r="MB550" s="9"/>
      <c r="MC550" s="9"/>
      <c r="MD550" s="9"/>
      <c r="ME550" s="9"/>
      <c r="MF550" s="9"/>
      <c r="MG550" s="9"/>
      <c r="MH550" s="9"/>
      <c r="MI550" s="9"/>
      <c r="MJ550" s="9"/>
      <c r="MK550" s="9"/>
      <c r="ML550" s="9"/>
      <c r="MM550" s="9"/>
      <c r="MN550" s="9"/>
      <c r="MO550" s="9"/>
      <c r="MP550" s="9"/>
      <c r="MQ550" s="9"/>
      <c r="MR550" s="9"/>
      <c r="MS550" s="9"/>
      <c r="MT550" s="9"/>
      <c r="MU550" s="9"/>
      <c r="MV550" s="9"/>
      <c r="MW550" s="9"/>
      <c r="MX550" s="9"/>
      <c r="MY550" s="9"/>
      <c r="MZ550" s="9"/>
      <c r="NA550" s="9"/>
      <c r="NB550" s="9"/>
      <c r="NC550" s="9"/>
      <c r="ND550" s="9"/>
      <c r="NE550" s="9"/>
      <c r="NF550" s="9"/>
      <c r="NG550" s="9"/>
      <c r="NH550" s="9"/>
      <c r="NI550" s="9"/>
      <c r="NJ550" s="9"/>
      <c r="NK550" s="9"/>
      <c r="NL550" s="9"/>
      <c r="NM550" s="9"/>
      <c r="NN550" s="9"/>
      <c r="NO550" s="9"/>
      <c r="NP550" s="9"/>
      <c r="NQ550" s="9"/>
      <c r="NR550" s="9"/>
      <c r="NS550" s="9"/>
      <c r="NT550" s="9"/>
      <c r="NU550" s="9"/>
      <c r="NV550" s="9"/>
      <c r="NW550" s="9"/>
      <c r="NX550" s="9"/>
      <c r="NY550" s="9"/>
      <c r="NZ550" s="9"/>
      <c r="OA550" s="9"/>
      <c r="OB550" s="9"/>
      <c r="OC550" s="9"/>
      <c r="OD550" s="9"/>
      <c r="OE550" s="9"/>
      <c r="OF550" s="9"/>
      <c r="OG550" s="9"/>
      <c r="OH550" s="9"/>
      <c r="OI550" s="9"/>
      <c r="OJ550" s="9"/>
      <c r="OK550" s="9"/>
      <c r="OL550" s="9"/>
      <c r="OM550" s="9"/>
      <c r="ON550" s="9"/>
      <c r="OO550" s="9"/>
      <c r="OP550" s="9"/>
      <c r="OQ550" s="9"/>
      <c r="OR550" s="9"/>
      <c r="OS550" s="9"/>
      <c r="OT550" s="9"/>
      <c r="OU550" s="9"/>
      <c r="OV550" s="9"/>
      <c r="OW550" s="9"/>
      <c r="OX550" s="9"/>
      <c r="OY550" s="9"/>
      <c r="OZ550" s="9"/>
      <c r="PA550" s="9"/>
      <c r="PB550" s="9"/>
      <c r="PC550" s="9"/>
      <c r="PD550" s="9"/>
      <c r="PE550" s="9"/>
      <c r="PF550" s="9"/>
      <c r="PG550" s="9"/>
      <c r="PH550" s="9"/>
      <c r="PI550" s="9"/>
      <c r="PJ550" s="9"/>
      <c r="PK550" s="9"/>
      <c r="PL550" s="9"/>
      <c r="PM550" s="9"/>
      <c r="PN550" s="9"/>
      <c r="PO550" s="9"/>
      <c r="PP550" s="9"/>
      <c r="PQ550" s="9"/>
      <c r="PR550" s="9"/>
      <c r="PS550" s="9"/>
      <c r="PT550" s="9"/>
      <c r="PU550" s="9"/>
      <c r="PV550" s="9"/>
      <c r="PW550" s="9"/>
      <c r="PX550" s="9"/>
      <c r="PY550" s="9"/>
      <c r="PZ550" s="9"/>
      <c r="QA550" s="9"/>
      <c r="QB550" s="9"/>
      <c r="QC550" s="9"/>
      <c r="QD550" s="9"/>
      <c r="QE550" s="9"/>
      <c r="QF550" s="9"/>
      <c r="QG550" s="9"/>
      <c r="QH550" s="9"/>
      <c r="QI550" s="9"/>
      <c r="QJ550" s="9"/>
      <c r="QK550" s="9"/>
      <c r="QL550" s="9"/>
      <c r="QM550" s="9"/>
      <c r="QN550" s="9"/>
      <c r="QO550" s="9"/>
      <c r="QP550" s="9"/>
      <c r="QQ550" s="9"/>
      <c r="QR550" s="9"/>
      <c r="QS550" s="9"/>
      <c r="QT550" s="9"/>
      <c r="QU550" s="9"/>
      <c r="QV550" s="9"/>
      <c r="QW550" s="9"/>
      <c r="QX550" s="9"/>
      <c r="QY550" s="9"/>
      <c r="QZ550" s="9"/>
      <c r="RA550" s="9"/>
      <c r="RB550" s="9"/>
      <c r="RC550" s="9"/>
      <c r="RD550" s="9"/>
      <c r="RE550" s="9"/>
      <c r="RF550" s="9"/>
      <c r="RG550" s="9"/>
      <c r="RH550" s="9"/>
      <c r="RI550" s="9"/>
      <c r="RJ550" s="9"/>
      <c r="RK550" s="9"/>
      <c r="RL550" s="9"/>
      <c r="RM550" s="9"/>
      <c r="RN550" s="9"/>
      <c r="RO550" s="9"/>
      <c r="RP550" s="9"/>
      <c r="RQ550" s="9"/>
      <c r="RR550" s="9"/>
      <c r="RS550" s="9"/>
      <c r="RT550" s="9"/>
      <c r="RU550" s="9"/>
      <c r="RV550" s="9"/>
      <c r="RW550" s="9"/>
      <c r="RX550" s="9"/>
      <c r="RY550" s="9"/>
      <c r="RZ550" s="9"/>
      <c r="SA550" s="9"/>
      <c r="SB550" s="9"/>
      <c r="SC550" s="9"/>
      <c r="SD550" s="9"/>
      <c r="SE550" s="9"/>
      <c r="SF550" s="9"/>
      <c r="SG550" s="9"/>
      <c r="SH550" s="9"/>
      <c r="SI550" s="9"/>
      <c r="SJ550" s="9"/>
      <c r="SK550" s="9"/>
      <c r="SL550" s="9"/>
      <c r="SM550" s="9"/>
      <c r="SN550" s="9"/>
      <c r="SO550" s="9"/>
      <c r="SP550" s="9"/>
      <c r="SQ550" s="9"/>
      <c r="SR550" s="9"/>
      <c r="SS550" s="9"/>
      <c r="ST550" s="9"/>
      <c r="SU550" s="9"/>
      <c r="SV550" s="9"/>
      <c r="SW550" s="9"/>
      <c r="SX550" s="9"/>
      <c r="SY550" s="9"/>
      <c r="SZ550" s="9"/>
      <c r="TA550" s="9"/>
      <c r="TB550" s="9"/>
      <c r="TC550" s="9"/>
      <c r="TD550" s="9"/>
      <c r="TE550" s="9"/>
      <c r="TF550" s="9"/>
      <c r="TG550" s="9"/>
      <c r="TH550" s="9"/>
      <c r="TI550" s="9"/>
      <c r="TJ550" s="9"/>
      <c r="TK550" s="9"/>
      <c r="TL550" s="9"/>
      <c r="TM550" s="9"/>
      <c r="TN550" s="9"/>
      <c r="TO550" s="9"/>
      <c r="TP550" s="9"/>
      <c r="TQ550" s="9"/>
      <c r="TR550" s="9"/>
      <c r="TS550" s="9"/>
      <c r="TT550" s="9"/>
      <c r="TU550" s="9"/>
      <c r="TV550" s="9"/>
      <c r="TW550" s="9"/>
      <c r="TX550" s="9"/>
      <c r="TY550" s="9"/>
      <c r="TZ550" s="9"/>
      <c r="UA550" s="9"/>
      <c r="UB550" s="9"/>
      <c r="UC550" s="9"/>
      <c r="UD550" s="9"/>
      <c r="UE550" s="9"/>
      <c r="UF550" s="9"/>
      <c r="UG550" s="9"/>
      <c r="UH550" s="9"/>
      <c r="UI550" s="9"/>
      <c r="UJ550" s="9"/>
    </row>
    <row r="551">
      <c r="A551" s="8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</row>
    <row r="552">
      <c r="A552" s="8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9"/>
      <c r="JE552" s="9"/>
      <c r="JF552" s="9"/>
      <c r="JG552" s="9"/>
      <c r="JH552" s="9"/>
      <c r="JI552" s="9"/>
      <c r="JJ552" s="9"/>
      <c r="JK552" s="9"/>
      <c r="JL552" s="9"/>
      <c r="JM552" s="9"/>
      <c r="JN552" s="9"/>
      <c r="JO552" s="9"/>
      <c r="JP552" s="9"/>
      <c r="JQ552" s="9"/>
      <c r="JR552" s="9"/>
      <c r="JS552" s="9"/>
      <c r="JT552" s="9"/>
      <c r="JU552" s="9"/>
      <c r="JV552" s="9"/>
      <c r="JW552" s="9"/>
      <c r="JX552" s="9"/>
      <c r="JY552" s="9"/>
      <c r="JZ552" s="9"/>
      <c r="KA552" s="9"/>
      <c r="KB552" s="9"/>
      <c r="KC552" s="9"/>
      <c r="KD552" s="9"/>
      <c r="KE552" s="9"/>
      <c r="KF552" s="9"/>
      <c r="KG552" s="9"/>
      <c r="KH552" s="9"/>
      <c r="KI552" s="9"/>
      <c r="KJ552" s="9"/>
      <c r="KK552" s="9"/>
      <c r="KL552" s="9"/>
      <c r="KM552" s="9"/>
      <c r="KN552" s="9"/>
      <c r="KO552" s="9"/>
      <c r="KP552" s="9"/>
      <c r="KQ552" s="9"/>
      <c r="KR552" s="9"/>
      <c r="KS552" s="9"/>
      <c r="KT552" s="9"/>
      <c r="KU552" s="9"/>
      <c r="KV552" s="9"/>
      <c r="KW552" s="9"/>
      <c r="KX552" s="9"/>
      <c r="KY552" s="9"/>
      <c r="KZ552" s="9"/>
      <c r="LA552" s="9"/>
      <c r="LB552" s="9"/>
      <c r="LC552" s="9"/>
      <c r="LD552" s="9"/>
      <c r="LE552" s="9"/>
      <c r="LF552" s="9"/>
      <c r="LG552" s="9"/>
      <c r="LH552" s="9"/>
      <c r="LI552" s="9"/>
      <c r="LJ552" s="9"/>
      <c r="LK552" s="9"/>
      <c r="LL552" s="9"/>
      <c r="LM552" s="9"/>
      <c r="LN552" s="9"/>
      <c r="LO552" s="9"/>
      <c r="LP552" s="9"/>
      <c r="LQ552" s="9"/>
      <c r="LR552" s="9"/>
      <c r="LS552" s="9"/>
      <c r="LT552" s="9"/>
      <c r="LU552" s="9"/>
      <c r="LV552" s="9"/>
      <c r="LW552" s="9"/>
      <c r="LX552" s="9"/>
      <c r="LY552" s="9"/>
      <c r="LZ552" s="9"/>
      <c r="MA552" s="9"/>
      <c r="MB552" s="9"/>
      <c r="MC552" s="9"/>
      <c r="MD552" s="9"/>
      <c r="ME552" s="9"/>
      <c r="MF552" s="9"/>
      <c r="MG552" s="9"/>
      <c r="MH552" s="9"/>
      <c r="MI552" s="9"/>
      <c r="MJ552" s="9"/>
      <c r="MK552" s="9"/>
      <c r="ML552" s="9"/>
      <c r="MM552" s="9"/>
      <c r="MN552" s="9"/>
      <c r="MO552" s="9"/>
      <c r="MP552" s="9"/>
      <c r="MQ552" s="9"/>
      <c r="MR552" s="9"/>
      <c r="MS552" s="9"/>
      <c r="MT552" s="9"/>
      <c r="MU552" s="9"/>
      <c r="MV552" s="9"/>
      <c r="MW552" s="9"/>
      <c r="MX552" s="9"/>
      <c r="MY552" s="9"/>
      <c r="MZ552" s="9"/>
      <c r="NA552" s="9"/>
      <c r="NB552" s="9"/>
      <c r="NC552" s="9"/>
      <c r="ND552" s="9"/>
      <c r="NE552" s="9"/>
      <c r="NF552" s="9"/>
      <c r="NG552" s="9"/>
      <c r="NH552" s="9"/>
      <c r="NI552" s="9"/>
      <c r="NJ552" s="9"/>
      <c r="NK552" s="9"/>
      <c r="NL552" s="9"/>
      <c r="NM552" s="9"/>
      <c r="NN552" s="9"/>
      <c r="NO552" s="9"/>
      <c r="NP552" s="9"/>
      <c r="NQ552" s="9"/>
      <c r="NR552" s="9"/>
      <c r="NS552" s="9"/>
      <c r="NT552" s="9"/>
      <c r="NU552" s="9"/>
      <c r="NV552" s="9"/>
      <c r="NW552" s="9"/>
      <c r="NX552" s="9"/>
      <c r="NY552" s="9"/>
      <c r="NZ552" s="9"/>
      <c r="OA552" s="9"/>
      <c r="OB552" s="9"/>
      <c r="OC552" s="9"/>
      <c r="OD552" s="9"/>
      <c r="OE552" s="9"/>
      <c r="OF552" s="9"/>
      <c r="OG552" s="9"/>
      <c r="OH552" s="9"/>
      <c r="OI552" s="9"/>
      <c r="OJ552" s="9"/>
      <c r="OK552" s="9"/>
      <c r="OL552" s="9"/>
      <c r="OM552" s="9"/>
      <c r="ON552" s="9"/>
      <c r="OO552" s="9"/>
      <c r="OP552" s="9"/>
      <c r="OQ552" s="9"/>
      <c r="OR552" s="9"/>
      <c r="OS552" s="9"/>
      <c r="OT552" s="9"/>
      <c r="OU552" s="9"/>
      <c r="OV552" s="9"/>
      <c r="OW552" s="9"/>
      <c r="OX552" s="9"/>
      <c r="OY552" s="9"/>
      <c r="OZ552" s="9"/>
      <c r="PA552" s="9"/>
      <c r="PB552" s="9"/>
      <c r="PC552" s="9"/>
      <c r="PD552" s="9"/>
      <c r="PE552" s="9"/>
      <c r="PF552" s="9"/>
      <c r="PG552" s="9"/>
      <c r="PH552" s="9"/>
      <c r="PI552" s="9"/>
      <c r="PJ552" s="9"/>
      <c r="PK552" s="9"/>
      <c r="PL552" s="9"/>
      <c r="PM552" s="9"/>
      <c r="PN552" s="9"/>
      <c r="PO552" s="9"/>
      <c r="PP552" s="9"/>
      <c r="PQ552" s="9"/>
      <c r="PR552" s="9"/>
      <c r="PS552" s="9"/>
      <c r="PT552" s="9"/>
      <c r="PU552" s="9"/>
      <c r="PV552" s="9"/>
      <c r="PW552" s="9"/>
      <c r="PX552" s="9"/>
      <c r="PY552" s="9"/>
      <c r="PZ552" s="9"/>
      <c r="QA552" s="9"/>
      <c r="QB552" s="9"/>
      <c r="QC552" s="9"/>
      <c r="QD552" s="9"/>
      <c r="QE552" s="9"/>
      <c r="QF552" s="9"/>
      <c r="QG552" s="9"/>
      <c r="QH552" s="9"/>
      <c r="QI552" s="9"/>
      <c r="QJ552" s="9"/>
      <c r="QK552" s="9"/>
      <c r="QL552" s="9"/>
      <c r="QM552" s="9"/>
      <c r="QN552" s="9"/>
      <c r="QO552" s="9"/>
      <c r="QP552" s="9"/>
      <c r="QQ552" s="9"/>
      <c r="QR552" s="9"/>
      <c r="QS552" s="9"/>
      <c r="QT552" s="9"/>
      <c r="QU552" s="9"/>
      <c r="QV552" s="9"/>
      <c r="QW552" s="9"/>
      <c r="QX552" s="9"/>
      <c r="QY552" s="9"/>
      <c r="QZ552" s="9"/>
      <c r="RA552" s="9"/>
      <c r="RB552" s="9"/>
      <c r="RC552" s="9"/>
      <c r="RD552" s="9"/>
      <c r="RE552" s="9"/>
      <c r="RF552" s="9"/>
      <c r="RG552" s="9"/>
      <c r="RH552" s="9"/>
      <c r="RI552" s="9"/>
      <c r="RJ552" s="9"/>
      <c r="RK552" s="9"/>
      <c r="RL552" s="9"/>
      <c r="RM552" s="9"/>
      <c r="RN552" s="9"/>
      <c r="RO552" s="9"/>
      <c r="RP552" s="9"/>
      <c r="RQ552" s="9"/>
      <c r="RR552" s="9"/>
      <c r="RS552" s="9"/>
      <c r="RT552" s="9"/>
      <c r="RU552" s="9"/>
      <c r="RV552" s="9"/>
      <c r="RW552" s="9"/>
      <c r="RX552" s="9"/>
      <c r="RY552" s="9"/>
      <c r="RZ552" s="9"/>
      <c r="SA552" s="9"/>
      <c r="SB552" s="9"/>
      <c r="SC552" s="9"/>
      <c r="SD552" s="9"/>
      <c r="SE552" s="9"/>
      <c r="SF552" s="9"/>
      <c r="SG552" s="9"/>
      <c r="SH552" s="9"/>
      <c r="SI552" s="9"/>
      <c r="SJ552" s="9"/>
      <c r="SK552" s="9"/>
      <c r="SL552" s="9"/>
      <c r="SM552" s="9"/>
      <c r="SN552" s="9"/>
      <c r="SO552" s="9"/>
      <c r="SP552" s="9"/>
      <c r="SQ552" s="9"/>
      <c r="SR552" s="9"/>
      <c r="SS552" s="9"/>
      <c r="ST552" s="9"/>
      <c r="SU552" s="9"/>
      <c r="SV552" s="9"/>
      <c r="SW552" s="9"/>
      <c r="SX552" s="9"/>
      <c r="SY552" s="9"/>
      <c r="SZ552" s="9"/>
      <c r="TA552" s="9"/>
      <c r="TB552" s="9"/>
      <c r="TC552" s="9"/>
      <c r="TD552" s="9"/>
      <c r="TE552" s="9"/>
      <c r="TF552" s="9"/>
      <c r="TG552" s="9"/>
      <c r="TH552" s="9"/>
      <c r="TI552" s="9"/>
      <c r="TJ552" s="9"/>
      <c r="TK552" s="9"/>
      <c r="TL552" s="9"/>
      <c r="TM552" s="9"/>
      <c r="TN552" s="9"/>
      <c r="TO552" s="9"/>
      <c r="TP552" s="9"/>
      <c r="TQ552" s="9"/>
      <c r="TR552" s="9"/>
      <c r="TS552" s="9"/>
      <c r="TT552" s="9"/>
      <c r="TU552" s="9"/>
      <c r="TV552" s="9"/>
      <c r="TW552" s="9"/>
      <c r="TX552" s="9"/>
      <c r="TY552" s="9"/>
      <c r="TZ552" s="9"/>
      <c r="UA552" s="9"/>
      <c r="UB552" s="9"/>
      <c r="UC552" s="9"/>
      <c r="UD552" s="9"/>
      <c r="UE552" s="9"/>
      <c r="UF552" s="9"/>
      <c r="UG552" s="9"/>
      <c r="UH552" s="9"/>
      <c r="UI552" s="9"/>
      <c r="UJ552" s="9"/>
    </row>
    <row r="553">
      <c r="A553" s="8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  <c r="IN553" s="9"/>
      <c r="IO553" s="9"/>
      <c r="IP553" s="9"/>
      <c r="IQ553" s="9"/>
      <c r="IR553" s="9"/>
      <c r="IS553" s="9"/>
      <c r="IT553" s="9"/>
      <c r="IU553" s="9"/>
      <c r="IV553" s="9"/>
      <c r="IW553" s="9"/>
      <c r="IX553" s="9"/>
      <c r="IY553" s="9"/>
      <c r="IZ553" s="9"/>
      <c r="JA553" s="9"/>
      <c r="JB553" s="9"/>
      <c r="JC553" s="9"/>
      <c r="JD553" s="9"/>
      <c r="JE553" s="9"/>
      <c r="JF553" s="9"/>
      <c r="JG553" s="9"/>
      <c r="JH553" s="9"/>
      <c r="JI553" s="9"/>
      <c r="JJ553" s="9"/>
      <c r="JK553" s="9"/>
      <c r="JL553" s="9"/>
      <c r="JM553" s="9"/>
      <c r="JN553" s="9"/>
      <c r="JO553" s="9"/>
      <c r="JP553" s="9"/>
      <c r="JQ553" s="9"/>
      <c r="JR553" s="9"/>
      <c r="JS553" s="9"/>
      <c r="JT553" s="9"/>
      <c r="JU553" s="9"/>
      <c r="JV553" s="9"/>
      <c r="JW553" s="9"/>
      <c r="JX553" s="9"/>
      <c r="JY553" s="9"/>
      <c r="JZ553" s="9"/>
      <c r="KA553" s="9"/>
      <c r="KB553" s="9"/>
      <c r="KC553" s="9"/>
      <c r="KD553" s="9"/>
      <c r="KE553" s="9"/>
      <c r="KF553" s="9"/>
      <c r="KG553" s="9"/>
      <c r="KH553" s="9"/>
      <c r="KI553" s="9"/>
      <c r="KJ553" s="9"/>
      <c r="KK553" s="9"/>
      <c r="KL553" s="9"/>
      <c r="KM553" s="9"/>
      <c r="KN553" s="9"/>
      <c r="KO553" s="9"/>
      <c r="KP553" s="9"/>
      <c r="KQ553" s="9"/>
      <c r="KR553" s="9"/>
      <c r="KS553" s="9"/>
      <c r="KT553" s="9"/>
      <c r="KU553" s="9"/>
      <c r="KV553" s="9"/>
      <c r="KW553" s="9"/>
      <c r="KX553" s="9"/>
      <c r="KY553" s="9"/>
      <c r="KZ553" s="9"/>
      <c r="LA553" s="9"/>
      <c r="LB553" s="9"/>
      <c r="LC553" s="9"/>
      <c r="LD553" s="9"/>
      <c r="LE553" s="9"/>
      <c r="LF553" s="9"/>
      <c r="LG553" s="9"/>
      <c r="LH553" s="9"/>
      <c r="LI553" s="9"/>
      <c r="LJ553" s="9"/>
      <c r="LK553" s="9"/>
      <c r="LL553" s="9"/>
      <c r="LM553" s="9"/>
      <c r="LN553" s="9"/>
      <c r="LO553" s="9"/>
      <c r="LP553" s="9"/>
      <c r="LQ553" s="9"/>
      <c r="LR553" s="9"/>
      <c r="LS553" s="9"/>
      <c r="LT553" s="9"/>
      <c r="LU553" s="9"/>
      <c r="LV553" s="9"/>
      <c r="LW553" s="9"/>
      <c r="LX553" s="9"/>
      <c r="LY553" s="9"/>
      <c r="LZ553" s="9"/>
      <c r="MA553" s="9"/>
      <c r="MB553" s="9"/>
      <c r="MC553" s="9"/>
      <c r="MD553" s="9"/>
      <c r="ME553" s="9"/>
      <c r="MF553" s="9"/>
      <c r="MG553" s="9"/>
      <c r="MH553" s="9"/>
      <c r="MI553" s="9"/>
      <c r="MJ553" s="9"/>
      <c r="MK553" s="9"/>
      <c r="ML553" s="9"/>
      <c r="MM553" s="9"/>
      <c r="MN553" s="9"/>
      <c r="MO553" s="9"/>
      <c r="MP553" s="9"/>
      <c r="MQ553" s="9"/>
      <c r="MR553" s="9"/>
      <c r="MS553" s="9"/>
      <c r="MT553" s="9"/>
      <c r="MU553" s="9"/>
      <c r="MV553" s="9"/>
      <c r="MW553" s="9"/>
      <c r="MX553" s="9"/>
      <c r="MY553" s="9"/>
      <c r="MZ553" s="9"/>
      <c r="NA553" s="9"/>
      <c r="NB553" s="9"/>
      <c r="NC553" s="9"/>
      <c r="ND553" s="9"/>
      <c r="NE553" s="9"/>
      <c r="NF553" s="9"/>
      <c r="NG553" s="9"/>
      <c r="NH553" s="9"/>
      <c r="NI553" s="9"/>
      <c r="NJ553" s="9"/>
      <c r="NK553" s="9"/>
      <c r="NL553" s="9"/>
      <c r="NM553" s="9"/>
      <c r="NN553" s="9"/>
      <c r="NO553" s="9"/>
      <c r="NP553" s="9"/>
      <c r="NQ553" s="9"/>
      <c r="NR553" s="9"/>
      <c r="NS553" s="9"/>
      <c r="NT553" s="9"/>
      <c r="NU553" s="9"/>
      <c r="NV553" s="9"/>
      <c r="NW553" s="9"/>
      <c r="NX553" s="9"/>
      <c r="NY553" s="9"/>
      <c r="NZ553" s="9"/>
      <c r="OA553" s="9"/>
      <c r="OB553" s="9"/>
      <c r="OC553" s="9"/>
      <c r="OD553" s="9"/>
      <c r="OE553" s="9"/>
      <c r="OF553" s="9"/>
      <c r="OG553" s="9"/>
      <c r="OH553" s="9"/>
      <c r="OI553" s="9"/>
      <c r="OJ553" s="9"/>
      <c r="OK553" s="9"/>
      <c r="OL553" s="9"/>
      <c r="OM553" s="9"/>
      <c r="ON553" s="9"/>
      <c r="OO553" s="9"/>
      <c r="OP553" s="9"/>
      <c r="OQ553" s="9"/>
      <c r="OR553" s="9"/>
      <c r="OS553" s="9"/>
      <c r="OT553" s="9"/>
      <c r="OU553" s="9"/>
      <c r="OV553" s="9"/>
      <c r="OW553" s="9"/>
      <c r="OX553" s="9"/>
      <c r="OY553" s="9"/>
      <c r="OZ553" s="9"/>
      <c r="PA553" s="9"/>
      <c r="PB553" s="9"/>
      <c r="PC553" s="9"/>
      <c r="PD553" s="9"/>
      <c r="PE553" s="9"/>
      <c r="PF553" s="9"/>
      <c r="PG553" s="9"/>
      <c r="PH553" s="9"/>
      <c r="PI553" s="9"/>
      <c r="PJ553" s="9"/>
      <c r="PK553" s="9"/>
      <c r="PL553" s="9"/>
      <c r="PM553" s="9"/>
      <c r="PN553" s="9"/>
      <c r="PO553" s="9"/>
      <c r="PP553" s="9"/>
      <c r="PQ553" s="9"/>
      <c r="PR553" s="9"/>
      <c r="PS553" s="9"/>
      <c r="PT553" s="9"/>
      <c r="PU553" s="9"/>
      <c r="PV553" s="9"/>
      <c r="PW553" s="9"/>
      <c r="PX553" s="9"/>
      <c r="PY553" s="9"/>
      <c r="PZ553" s="9"/>
      <c r="QA553" s="9"/>
      <c r="QB553" s="9"/>
      <c r="QC553" s="9"/>
      <c r="QD553" s="9"/>
      <c r="QE553" s="9"/>
      <c r="QF553" s="9"/>
      <c r="QG553" s="9"/>
      <c r="QH553" s="9"/>
      <c r="QI553" s="9"/>
      <c r="QJ553" s="9"/>
      <c r="QK553" s="9"/>
      <c r="QL553" s="9"/>
      <c r="QM553" s="9"/>
      <c r="QN553" s="9"/>
      <c r="QO553" s="9"/>
      <c r="QP553" s="9"/>
      <c r="QQ553" s="9"/>
      <c r="QR553" s="9"/>
      <c r="QS553" s="9"/>
      <c r="QT553" s="9"/>
      <c r="QU553" s="9"/>
      <c r="QV553" s="9"/>
      <c r="QW553" s="9"/>
      <c r="QX553" s="9"/>
      <c r="QY553" s="9"/>
      <c r="QZ553" s="9"/>
      <c r="RA553" s="9"/>
      <c r="RB553" s="9"/>
      <c r="RC553" s="9"/>
      <c r="RD553" s="9"/>
      <c r="RE553" s="9"/>
      <c r="RF553" s="9"/>
      <c r="RG553" s="9"/>
      <c r="RH553" s="9"/>
      <c r="RI553" s="9"/>
      <c r="RJ553" s="9"/>
      <c r="RK553" s="9"/>
      <c r="RL553" s="9"/>
      <c r="RM553" s="9"/>
      <c r="RN553" s="9"/>
      <c r="RO553" s="9"/>
      <c r="RP553" s="9"/>
      <c r="RQ553" s="9"/>
      <c r="RR553" s="9"/>
      <c r="RS553" s="9"/>
      <c r="RT553" s="9"/>
      <c r="RU553" s="9"/>
      <c r="RV553" s="9"/>
      <c r="RW553" s="9"/>
      <c r="RX553" s="9"/>
      <c r="RY553" s="9"/>
      <c r="RZ553" s="9"/>
      <c r="SA553" s="9"/>
      <c r="SB553" s="9"/>
      <c r="SC553" s="9"/>
      <c r="SD553" s="9"/>
      <c r="SE553" s="9"/>
      <c r="SF553" s="9"/>
      <c r="SG553" s="9"/>
      <c r="SH553" s="9"/>
      <c r="SI553" s="9"/>
      <c r="SJ553" s="9"/>
      <c r="SK553" s="9"/>
      <c r="SL553" s="9"/>
      <c r="SM553" s="9"/>
      <c r="SN553" s="9"/>
      <c r="SO553" s="9"/>
      <c r="SP553" s="9"/>
      <c r="SQ553" s="9"/>
      <c r="SR553" s="9"/>
      <c r="SS553" s="9"/>
      <c r="ST553" s="9"/>
      <c r="SU553" s="9"/>
      <c r="SV553" s="9"/>
      <c r="SW553" s="9"/>
      <c r="SX553" s="9"/>
      <c r="SY553" s="9"/>
      <c r="SZ553" s="9"/>
      <c r="TA553" s="9"/>
      <c r="TB553" s="9"/>
      <c r="TC553" s="9"/>
      <c r="TD553" s="9"/>
      <c r="TE553" s="9"/>
      <c r="TF553" s="9"/>
      <c r="TG553" s="9"/>
      <c r="TH553" s="9"/>
      <c r="TI553" s="9"/>
      <c r="TJ553" s="9"/>
      <c r="TK553" s="9"/>
      <c r="TL553" s="9"/>
      <c r="TM553" s="9"/>
      <c r="TN553" s="9"/>
      <c r="TO553" s="9"/>
      <c r="TP553" s="9"/>
      <c r="TQ553" s="9"/>
      <c r="TR553" s="9"/>
      <c r="TS553" s="9"/>
      <c r="TT553" s="9"/>
      <c r="TU553" s="9"/>
      <c r="TV553" s="9"/>
      <c r="TW553" s="9"/>
      <c r="TX553" s="9"/>
      <c r="TY553" s="9"/>
      <c r="TZ553" s="9"/>
      <c r="UA553" s="9"/>
      <c r="UB553" s="9"/>
      <c r="UC553" s="9"/>
      <c r="UD553" s="9"/>
      <c r="UE553" s="9"/>
      <c r="UF553" s="9"/>
      <c r="UG553" s="9"/>
      <c r="UH553" s="9"/>
      <c r="UI553" s="9"/>
      <c r="UJ553" s="9"/>
    </row>
    <row r="554">
      <c r="A554" s="8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9"/>
      <c r="JE554" s="9"/>
      <c r="JF554" s="9"/>
      <c r="JG554" s="9"/>
      <c r="JH554" s="9"/>
      <c r="JI554" s="9"/>
      <c r="JJ554" s="9"/>
      <c r="JK554" s="9"/>
      <c r="JL554" s="9"/>
      <c r="JM554" s="9"/>
      <c r="JN554" s="9"/>
      <c r="JO554" s="9"/>
      <c r="JP554" s="9"/>
      <c r="JQ554" s="9"/>
      <c r="JR554" s="9"/>
      <c r="JS554" s="9"/>
      <c r="JT554" s="9"/>
      <c r="JU554" s="9"/>
      <c r="JV554" s="9"/>
      <c r="JW554" s="9"/>
      <c r="JX554" s="9"/>
      <c r="JY554" s="9"/>
      <c r="JZ554" s="9"/>
      <c r="KA554" s="9"/>
      <c r="KB554" s="9"/>
      <c r="KC554" s="9"/>
      <c r="KD554" s="9"/>
      <c r="KE554" s="9"/>
      <c r="KF554" s="9"/>
      <c r="KG554" s="9"/>
      <c r="KH554" s="9"/>
      <c r="KI554" s="9"/>
      <c r="KJ554" s="9"/>
      <c r="KK554" s="9"/>
      <c r="KL554" s="9"/>
      <c r="KM554" s="9"/>
      <c r="KN554" s="9"/>
      <c r="KO554" s="9"/>
      <c r="KP554" s="9"/>
      <c r="KQ554" s="9"/>
      <c r="KR554" s="9"/>
      <c r="KS554" s="9"/>
      <c r="KT554" s="9"/>
      <c r="KU554" s="9"/>
      <c r="KV554" s="9"/>
      <c r="KW554" s="9"/>
      <c r="KX554" s="9"/>
      <c r="KY554" s="9"/>
      <c r="KZ554" s="9"/>
      <c r="LA554" s="9"/>
      <c r="LB554" s="9"/>
      <c r="LC554" s="9"/>
      <c r="LD554" s="9"/>
      <c r="LE554" s="9"/>
      <c r="LF554" s="9"/>
      <c r="LG554" s="9"/>
      <c r="LH554" s="9"/>
      <c r="LI554" s="9"/>
      <c r="LJ554" s="9"/>
      <c r="LK554" s="9"/>
      <c r="LL554" s="9"/>
      <c r="LM554" s="9"/>
      <c r="LN554" s="9"/>
      <c r="LO554" s="9"/>
      <c r="LP554" s="9"/>
      <c r="LQ554" s="9"/>
      <c r="LR554" s="9"/>
      <c r="LS554" s="9"/>
      <c r="LT554" s="9"/>
      <c r="LU554" s="9"/>
      <c r="LV554" s="9"/>
      <c r="LW554" s="9"/>
      <c r="LX554" s="9"/>
      <c r="LY554" s="9"/>
      <c r="LZ554" s="9"/>
      <c r="MA554" s="9"/>
      <c r="MB554" s="9"/>
      <c r="MC554" s="9"/>
      <c r="MD554" s="9"/>
      <c r="ME554" s="9"/>
      <c r="MF554" s="9"/>
      <c r="MG554" s="9"/>
      <c r="MH554" s="9"/>
      <c r="MI554" s="9"/>
      <c r="MJ554" s="9"/>
      <c r="MK554" s="9"/>
      <c r="ML554" s="9"/>
      <c r="MM554" s="9"/>
      <c r="MN554" s="9"/>
      <c r="MO554" s="9"/>
      <c r="MP554" s="9"/>
      <c r="MQ554" s="9"/>
      <c r="MR554" s="9"/>
      <c r="MS554" s="9"/>
      <c r="MT554" s="9"/>
      <c r="MU554" s="9"/>
      <c r="MV554" s="9"/>
      <c r="MW554" s="9"/>
      <c r="MX554" s="9"/>
      <c r="MY554" s="9"/>
      <c r="MZ554" s="9"/>
      <c r="NA554" s="9"/>
      <c r="NB554" s="9"/>
      <c r="NC554" s="9"/>
      <c r="ND554" s="9"/>
      <c r="NE554" s="9"/>
      <c r="NF554" s="9"/>
      <c r="NG554" s="9"/>
      <c r="NH554" s="9"/>
      <c r="NI554" s="9"/>
      <c r="NJ554" s="9"/>
      <c r="NK554" s="9"/>
      <c r="NL554" s="9"/>
      <c r="NM554" s="9"/>
      <c r="NN554" s="9"/>
      <c r="NO554" s="9"/>
      <c r="NP554" s="9"/>
      <c r="NQ554" s="9"/>
      <c r="NR554" s="9"/>
      <c r="NS554" s="9"/>
      <c r="NT554" s="9"/>
      <c r="NU554" s="9"/>
      <c r="NV554" s="9"/>
      <c r="NW554" s="9"/>
      <c r="NX554" s="9"/>
      <c r="NY554" s="9"/>
      <c r="NZ554" s="9"/>
      <c r="OA554" s="9"/>
      <c r="OB554" s="9"/>
      <c r="OC554" s="9"/>
      <c r="OD554" s="9"/>
      <c r="OE554" s="9"/>
      <c r="OF554" s="9"/>
      <c r="OG554" s="9"/>
      <c r="OH554" s="9"/>
      <c r="OI554" s="9"/>
      <c r="OJ554" s="9"/>
      <c r="OK554" s="9"/>
      <c r="OL554" s="9"/>
      <c r="OM554" s="9"/>
      <c r="ON554" s="9"/>
      <c r="OO554" s="9"/>
      <c r="OP554" s="9"/>
      <c r="OQ554" s="9"/>
      <c r="OR554" s="9"/>
      <c r="OS554" s="9"/>
      <c r="OT554" s="9"/>
      <c r="OU554" s="9"/>
      <c r="OV554" s="9"/>
      <c r="OW554" s="9"/>
      <c r="OX554" s="9"/>
      <c r="OY554" s="9"/>
      <c r="OZ554" s="9"/>
      <c r="PA554" s="9"/>
      <c r="PB554" s="9"/>
      <c r="PC554" s="9"/>
      <c r="PD554" s="9"/>
      <c r="PE554" s="9"/>
      <c r="PF554" s="9"/>
      <c r="PG554" s="9"/>
      <c r="PH554" s="9"/>
      <c r="PI554" s="9"/>
      <c r="PJ554" s="9"/>
      <c r="PK554" s="9"/>
      <c r="PL554" s="9"/>
      <c r="PM554" s="9"/>
      <c r="PN554" s="9"/>
      <c r="PO554" s="9"/>
      <c r="PP554" s="9"/>
      <c r="PQ554" s="9"/>
      <c r="PR554" s="9"/>
      <c r="PS554" s="9"/>
      <c r="PT554" s="9"/>
      <c r="PU554" s="9"/>
      <c r="PV554" s="9"/>
      <c r="PW554" s="9"/>
      <c r="PX554" s="9"/>
      <c r="PY554" s="9"/>
      <c r="PZ554" s="9"/>
      <c r="QA554" s="9"/>
      <c r="QB554" s="9"/>
      <c r="QC554" s="9"/>
      <c r="QD554" s="9"/>
      <c r="QE554" s="9"/>
      <c r="QF554" s="9"/>
      <c r="QG554" s="9"/>
      <c r="QH554" s="9"/>
      <c r="QI554" s="9"/>
      <c r="QJ554" s="9"/>
      <c r="QK554" s="9"/>
      <c r="QL554" s="9"/>
      <c r="QM554" s="9"/>
      <c r="QN554" s="9"/>
      <c r="QO554" s="9"/>
      <c r="QP554" s="9"/>
      <c r="QQ554" s="9"/>
      <c r="QR554" s="9"/>
      <c r="QS554" s="9"/>
      <c r="QT554" s="9"/>
      <c r="QU554" s="9"/>
      <c r="QV554" s="9"/>
      <c r="QW554" s="9"/>
      <c r="QX554" s="9"/>
      <c r="QY554" s="9"/>
      <c r="QZ554" s="9"/>
      <c r="RA554" s="9"/>
      <c r="RB554" s="9"/>
      <c r="RC554" s="9"/>
      <c r="RD554" s="9"/>
      <c r="RE554" s="9"/>
      <c r="RF554" s="9"/>
      <c r="RG554" s="9"/>
      <c r="RH554" s="9"/>
      <c r="RI554" s="9"/>
      <c r="RJ554" s="9"/>
      <c r="RK554" s="9"/>
      <c r="RL554" s="9"/>
      <c r="RM554" s="9"/>
      <c r="RN554" s="9"/>
      <c r="RO554" s="9"/>
      <c r="RP554" s="9"/>
      <c r="RQ554" s="9"/>
      <c r="RR554" s="9"/>
      <c r="RS554" s="9"/>
      <c r="RT554" s="9"/>
      <c r="RU554" s="9"/>
      <c r="RV554" s="9"/>
      <c r="RW554" s="9"/>
      <c r="RX554" s="9"/>
      <c r="RY554" s="9"/>
      <c r="RZ554" s="9"/>
      <c r="SA554" s="9"/>
      <c r="SB554" s="9"/>
      <c r="SC554" s="9"/>
      <c r="SD554" s="9"/>
      <c r="SE554" s="9"/>
      <c r="SF554" s="9"/>
      <c r="SG554" s="9"/>
      <c r="SH554" s="9"/>
      <c r="SI554" s="9"/>
      <c r="SJ554" s="9"/>
      <c r="SK554" s="9"/>
      <c r="SL554" s="9"/>
      <c r="SM554" s="9"/>
      <c r="SN554" s="9"/>
      <c r="SO554" s="9"/>
      <c r="SP554" s="9"/>
      <c r="SQ554" s="9"/>
      <c r="SR554" s="9"/>
      <c r="SS554" s="9"/>
      <c r="ST554" s="9"/>
      <c r="SU554" s="9"/>
      <c r="SV554" s="9"/>
      <c r="SW554" s="9"/>
      <c r="SX554" s="9"/>
      <c r="SY554" s="9"/>
      <c r="SZ554" s="9"/>
      <c r="TA554" s="9"/>
      <c r="TB554" s="9"/>
      <c r="TC554" s="9"/>
      <c r="TD554" s="9"/>
      <c r="TE554" s="9"/>
      <c r="TF554" s="9"/>
      <c r="TG554" s="9"/>
      <c r="TH554" s="9"/>
      <c r="TI554" s="9"/>
      <c r="TJ554" s="9"/>
      <c r="TK554" s="9"/>
      <c r="TL554" s="9"/>
      <c r="TM554" s="9"/>
      <c r="TN554" s="9"/>
      <c r="TO554" s="9"/>
      <c r="TP554" s="9"/>
      <c r="TQ554" s="9"/>
      <c r="TR554" s="9"/>
      <c r="TS554" s="9"/>
      <c r="TT554" s="9"/>
      <c r="TU554" s="9"/>
      <c r="TV554" s="9"/>
      <c r="TW554" s="9"/>
      <c r="TX554" s="9"/>
      <c r="TY554" s="9"/>
      <c r="TZ554" s="9"/>
      <c r="UA554" s="9"/>
      <c r="UB554" s="9"/>
      <c r="UC554" s="9"/>
      <c r="UD554" s="9"/>
      <c r="UE554" s="9"/>
      <c r="UF554" s="9"/>
      <c r="UG554" s="9"/>
      <c r="UH554" s="9"/>
      <c r="UI554" s="9"/>
      <c r="UJ554" s="9"/>
    </row>
    <row r="555">
      <c r="A555" s="8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9"/>
      <c r="IA555" s="9"/>
      <c r="IB555" s="9"/>
      <c r="IC555" s="9"/>
      <c r="ID555" s="9"/>
      <c r="IE555" s="9"/>
      <c r="IF555" s="9"/>
      <c r="IG555" s="9"/>
      <c r="IH555" s="9"/>
      <c r="II555" s="9"/>
      <c r="IJ555" s="9"/>
      <c r="IK555" s="9"/>
      <c r="IL555" s="9"/>
      <c r="IM555" s="9"/>
      <c r="IN555" s="9"/>
      <c r="IO555" s="9"/>
      <c r="IP555" s="9"/>
      <c r="IQ555" s="9"/>
      <c r="IR555" s="9"/>
      <c r="IS555" s="9"/>
      <c r="IT555" s="9"/>
      <c r="IU555" s="9"/>
      <c r="IV555" s="9"/>
      <c r="IW555" s="9"/>
      <c r="IX555" s="9"/>
      <c r="IY555" s="9"/>
      <c r="IZ555" s="9"/>
      <c r="JA555" s="9"/>
      <c r="JB555" s="9"/>
      <c r="JC555" s="9"/>
      <c r="JD555" s="9"/>
      <c r="JE555" s="9"/>
      <c r="JF555" s="9"/>
      <c r="JG555" s="9"/>
      <c r="JH555" s="9"/>
      <c r="JI555" s="9"/>
      <c r="JJ555" s="9"/>
      <c r="JK555" s="9"/>
      <c r="JL555" s="9"/>
      <c r="JM555" s="9"/>
      <c r="JN555" s="9"/>
      <c r="JO555" s="9"/>
      <c r="JP555" s="9"/>
      <c r="JQ555" s="9"/>
      <c r="JR555" s="9"/>
      <c r="JS555" s="9"/>
      <c r="JT555" s="9"/>
      <c r="JU555" s="9"/>
      <c r="JV555" s="9"/>
      <c r="JW555" s="9"/>
      <c r="JX555" s="9"/>
      <c r="JY555" s="9"/>
      <c r="JZ555" s="9"/>
      <c r="KA555" s="9"/>
      <c r="KB555" s="9"/>
      <c r="KC555" s="9"/>
      <c r="KD555" s="9"/>
      <c r="KE555" s="9"/>
      <c r="KF555" s="9"/>
      <c r="KG555" s="9"/>
      <c r="KH555" s="9"/>
      <c r="KI555" s="9"/>
      <c r="KJ555" s="9"/>
      <c r="KK555" s="9"/>
      <c r="KL555" s="9"/>
      <c r="KM555" s="9"/>
      <c r="KN555" s="9"/>
      <c r="KO555" s="9"/>
      <c r="KP555" s="9"/>
      <c r="KQ555" s="9"/>
      <c r="KR555" s="9"/>
      <c r="KS555" s="9"/>
      <c r="KT555" s="9"/>
      <c r="KU555" s="9"/>
      <c r="KV555" s="9"/>
      <c r="KW555" s="9"/>
      <c r="KX555" s="9"/>
      <c r="KY555" s="9"/>
      <c r="KZ555" s="9"/>
      <c r="LA555" s="9"/>
      <c r="LB555" s="9"/>
      <c r="LC555" s="9"/>
      <c r="LD555" s="9"/>
      <c r="LE555" s="9"/>
      <c r="LF555" s="9"/>
      <c r="LG555" s="9"/>
      <c r="LH555" s="9"/>
      <c r="LI555" s="9"/>
      <c r="LJ555" s="9"/>
      <c r="LK555" s="9"/>
      <c r="LL555" s="9"/>
      <c r="LM555" s="9"/>
      <c r="LN555" s="9"/>
      <c r="LO555" s="9"/>
      <c r="LP555" s="9"/>
      <c r="LQ555" s="9"/>
      <c r="LR555" s="9"/>
      <c r="LS555" s="9"/>
      <c r="LT555" s="9"/>
      <c r="LU555" s="9"/>
      <c r="LV555" s="9"/>
      <c r="LW555" s="9"/>
      <c r="LX555" s="9"/>
      <c r="LY555" s="9"/>
      <c r="LZ555" s="9"/>
      <c r="MA555" s="9"/>
      <c r="MB555" s="9"/>
      <c r="MC555" s="9"/>
      <c r="MD555" s="9"/>
      <c r="ME555" s="9"/>
      <c r="MF555" s="9"/>
      <c r="MG555" s="9"/>
      <c r="MH555" s="9"/>
      <c r="MI555" s="9"/>
      <c r="MJ555" s="9"/>
      <c r="MK555" s="9"/>
      <c r="ML555" s="9"/>
      <c r="MM555" s="9"/>
      <c r="MN555" s="9"/>
      <c r="MO555" s="9"/>
      <c r="MP555" s="9"/>
      <c r="MQ555" s="9"/>
      <c r="MR555" s="9"/>
      <c r="MS555" s="9"/>
      <c r="MT555" s="9"/>
      <c r="MU555" s="9"/>
      <c r="MV555" s="9"/>
      <c r="MW555" s="9"/>
      <c r="MX555" s="9"/>
      <c r="MY555" s="9"/>
      <c r="MZ555" s="9"/>
      <c r="NA555" s="9"/>
      <c r="NB555" s="9"/>
      <c r="NC555" s="9"/>
      <c r="ND555" s="9"/>
      <c r="NE555" s="9"/>
      <c r="NF555" s="9"/>
      <c r="NG555" s="9"/>
      <c r="NH555" s="9"/>
      <c r="NI555" s="9"/>
      <c r="NJ555" s="9"/>
      <c r="NK555" s="9"/>
      <c r="NL555" s="9"/>
      <c r="NM555" s="9"/>
      <c r="NN555" s="9"/>
      <c r="NO555" s="9"/>
      <c r="NP555" s="9"/>
      <c r="NQ555" s="9"/>
      <c r="NR555" s="9"/>
      <c r="NS555" s="9"/>
      <c r="NT555" s="9"/>
      <c r="NU555" s="9"/>
      <c r="NV555" s="9"/>
      <c r="NW555" s="9"/>
      <c r="NX555" s="9"/>
      <c r="NY555" s="9"/>
      <c r="NZ555" s="9"/>
      <c r="OA555" s="9"/>
      <c r="OB555" s="9"/>
      <c r="OC555" s="9"/>
      <c r="OD555" s="9"/>
      <c r="OE555" s="9"/>
      <c r="OF555" s="9"/>
      <c r="OG555" s="9"/>
      <c r="OH555" s="9"/>
      <c r="OI555" s="9"/>
      <c r="OJ555" s="9"/>
      <c r="OK555" s="9"/>
      <c r="OL555" s="9"/>
      <c r="OM555" s="9"/>
      <c r="ON555" s="9"/>
      <c r="OO555" s="9"/>
      <c r="OP555" s="9"/>
      <c r="OQ555" s="9"/>
      <c r="OR555" s="9"/>
      <c r="OS555" s="9"/>
      <c r="OT555" s="9"/>
      <c r="OU555" s="9"/>
      <c r="OV555" s="9"/>
      <c r="OW555" s="9"/>
      <c r="OX555" s="9"/>
      <c r="OY555" s="9"/>
      <c r="OZ555" s="9"/>
      <c r="PA555" s="9"/>
      <c r="PB555" s="9"/>
      <c r="PC555" s="9"/>
      <c r="PD555" s="9"/>
      <c r="PE555" s="9"/>
      <c r="PF555" s="9"/>
      <c r="PG555" s="9"/>
      <c r="PH555" s="9"/>
      <c r="PI555" s="9"/>
      <c r="PJ555" s="9"/>
      <c r="PK555" s="9"/>
      <c r="PL555" s="9"/>
      <c r="PM555" s="9"/>
      <c r="PN555" s="9"/>
      <c r="PO555" s="9"/>
      <c r="PP555" s="9"/>
      <c r="PQ555" s="9"/>
      <c r="PR555" s="9"/>
      <c r="PS555" s="9"/>
      <c r="PT555" s="9"/>
      <c r="PU555" s="9"/>
      <c r="PV555" s="9"/>
      <c r="PW555" s="9"/>
      <c r="PX555" s="9"/>
      <c r="PY555" s="9"/>
      <c r="PZ555" s="9"/>
      <c r="QA555" s="9"/>
      <c r="QB555" s="9"/>
      <c r="QC555" s="9"/>
      <c r="QD555" s="9"/>
      <c r="QE555" s="9"/>
      <c r="QF555" s="9"/>
      <c r="QG555" s="9"/>
      <c r="QH555" s="9"/>
      <c r="QI555" s="9"/>
      <c r="QJ555" s="9"/>
      <c r="QK555" s="9"/>
      <c r="QL555" s="9"/>
      <c r="QM555" s="9"/>
      <c r="QN555" s="9"/>
      <c r="QO555" s="9"/>
      <c r="QP555" s="9"/>
      <c r="QQ555" s="9"/>
      <c r="QR555" s="9"/>
      <c r="QS555" s="9"/>
      <c r="QT555" s="9"/>
      <c r="QU555" s="9"/>
      <c r="QV555" s="9"/>
      <c r="QW555" s="9"/>
      <c r="QX555" s="9"/>
      <c r="QY555" s="9"/>
      <c r="QZ555" s="9"/>
      <c r="RA555" s="9"/>
      <c r="RB555" s="9"/>
      <c r="RC555" s="9"/>
      <c r="RD555" s="9"/>
      <c r="RE555" s="9"/>
      <c r="RF555" s="9"/>
      <c r="RG555" s="9"/>
      <c r="RH555" s="9"/>
      <c r="RI555" s="9"/>
      <c r="RJ555" s="9"/>
      <c r="RK555" s="9"/>
      <c r="RL555" s="9"/>
      <c r="RM555" s="9"/>
      <c r="RN555" s="9"/>
      <c r="RO555" s="9"/>
      <c r="RP555" s="9"/>
      <c r="RQ555" s="9"/>
      <c r="RR555" s="9"/>
      <c r="RS555" s="9"/>
      <c r="RT555" s="9"/>
      <c r="RU555" s="9"/>
      <c r="RV555" s="9"/>
      <c r="RW555" s="9"/>
      <c r="RX555" s="9"/>
      <c r="RY555" s="9"/>
      <c r="RZ555" s="9"/>
      <c r="SA555" s="9"/>
      <c r="SB555" s="9"/>
      <c r="SC555" s="9"/>
      <c r="SD555" s="9"/>
      <c r="SE555" s="9"/>
      <c r="SF555" s="9"/>
      <c r="SG555" s="9"/>
      <c r="SH555" s="9"/>
      <c r="SI555" s="9"/>
      <c r="SJ555" s="9"/>
      <c r="SK555" s="9"/>
      <c r="SL555" s="9"/>
      <c r="SM555" s="9"/>
      <c r="SN555" s="9"/>
      <c r="SO555" s="9"/>
      <c r="SP555" s="9"/>
      <c r="SQ555" s="9"/>
      <c r="SR555" s="9"/>
      <c r="SS555" s="9"/>
      <c r="ST555" s="9"/>
      <c r="SU555" s="9"/>
      <c r="SV555" s="9"/>
      <c r="SW555" s="9"/>
      <c r="SX555" s="9"/>
      <c r="SY555" s="9"/>
      <c r="SZ555" s="9"/>
      <c r="TA555" s="9"/>
      <c r="TB555" s="9"/>
      <c r="TC555" s="9"/>
      <c r="TD555" s="9"/>
      <c r="TE555" s="9"/>
      <c r="TF555" s="9"/>
      <c r="TG555" s="9"/>
      <c r="TH555" s="9"/>
      <c r="TI555" s="9"/>
      <c r="TJ555" s="9"/>
      <c r="TK555" s="9"/>
      <c r="TL555" s="9"/>
      <c r="TM555" s="9"/>
      <c r="TN555" s="9"/>
      <c r="TO555" s="9"/>
      <c r="TP555" s="9"/>
      <c r="TQ555" s="9"/>
      <c r="TR555" s="9"/>
      <c r="TS555" s="9"/>
      <c r="TT555" s="9"/>
      <c r="TU555" s="9"/>
      <c r="TV555" s="9"/>
      <c r="TW555" s="9"/>
      <c r="TX555" s="9"/>
      <c r="TY555" s="9"/>
      <c r="TZ555" s="9"/>
      <c r="UA555" s="9"/>
      <c r="UB555" s="9"/>
      <c r="UC555" s="9"/>
      <c r="UD555" s="9"/>
      <c r="UE555" s="9"/>
      <c r="UF555" s="9"/>
      <c r="UG555" s="9"/>
      <c r="UH555" s="9"/>
      <c r="UI555" s="9"/>
      <c r="UJ555" s="9"/>
    </row>
    <row r="556">
      <c r="A556" s="8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  <c r="HZ556" s="9"/>
      <c r="IA556" s="9"/>
      <c r="IB556" s="9"/>
      <c r="IC556" s="9"/>
      <c r="ID556" s="9"/>
      <c r="IE556" s="9"/>
      <c r="IF556" s="9"/>
      <c r="IG556" s="9"/>
      <c r="IH556" s="9"/>
      <c r="II556" s="9"/>
      <c r="IJ556" s="9"/>
      <c r="IK556" s="9"/>
      <c r="IL556" s="9"/>
      <c r="IM556" s="9"/>
      <c r="IN556" s="9"/>
      <c r="IO556" s="9"/>
      <c r="IP556" s="9"/>
      <c r="IQ556" s="9"/>
      <c r="IR556" s="9"/>
      <c r="IS556" s="9"/>
      <c r="IT556" s="9"/>
      <c r="IU556" s="9"/>
      <c r="IV556" s="9"/>
      <c r="IW556" s="9"/>
      <c r="IX556" s="9"/>
      <c r="IY556" s="9"/>
      <c r="IZ556" s="9"/>
      <c r="JA556" s="9"/>
      <c r="JB556" s="9"/>
      <c r="JC556" s="9"/>
      <c r="JD556" s="9"/>
      <c r="JE556" s="9"/>
      <c r="JF556" s="9"/>
      <c r="JG556" s="9"/>
      <c r="JH556" s="9"/>
      <c r="JI556" s="9"/>
      <c r="JJ556" s="9"/>
      <c r="JK556" s="9"/>
      <c r="JL556" s="9"/>
      <c r="JM556" s="9"/>
      <c r="JN556" s="9"/>
      <c r="JO556" s="9"/>
      <c r="JP556" s="9"/>
      <c r="JQ556" s="9"/>
      <c r="JR556" s="9"/>
      <c r="JS556" s="9"/>
      <c r="JT556" s="9"/>
      <c r="JU556" s="9"/>
      <c r="JV556" s="9"/>
      <c r="JW556" s="9"/>
      <c r="JX556" s="9"/>
      <c r="JY556" s="9"/>
      <c r="JZ556" s="9"/>
      <c r="KA556" s="9"/>
      <c r="KB556" s="9"/>
      <c r="KC556" s="9"/>
      <c r="KD556" s="9"/>
      <c r="KE556" s="9"/>
      <c r="KF556" s="9"/>
      <c r="KG556" s="9"/>
      <c r="KH556" s="9"/>
      <c r="KI556" s="9"/>
      <c r="KJ556" s="9"/>
      <c r="KK556" s="9"/>
      <c r="KL556" s="9"/>
      <c r="KM556" s="9"/>
      <c r="KN556" s="9"/>
      <c r="KO556" s="9"/>
      <c r="KP556" s="9"/>
      <c r="KQ556" s="9"/>
      <c r="KR556" s="9"/>
      <c r="KS556" s="9"/>
      <c r="KT556" s="9"/>
      <c r="KU556" s="9"/>
      <c r="KV556" s="9"/>
      <c r="KW556" s="9"/>
      <c r="KX556" s="9"/>
      <c r="KY556" s="9"/>
      <c r="KZ556" s="9"/>
      <c r="LA556" s="9"/>
      <c r="LB556" s="9"/>
      <c r="LC556" s="9"/>
      <c r="LD556" s="9"/>
      <c r="LE556" s="9"/>
      <c r="LF556" s="9"/>
      <c r="LG556" s="9"/>
      <c r="LH556" s="9"/>
      <c r="LI556" s="9"/>
      <c r="LJ556" s="9"/>
      <c r="LK556" s="9"/>
      <c r="LL556" s="9"/>
      <c r="LM556" s="9"/>
      <c r="LN556" s="9"/>
      <c r="LO556" s="9"/>
      <c r="LP556" s="9"/>
      <c r="LQ556" s="9"/>
      <c r="LR556" s="9"/>
      <c r="LS556" s="9"/>
      <c r="LT556" s="9"/>
      <c r="LU556" s="9"/>
      <c r="LV556" s="9"/>
      <c r="LW556" s="9"/>
      <c r="LX556" s="9"/>
      <c r="LY556" s="9"/>
      <c r="LZ556" s="9"/>
      <c r="MA556" s="9"/>
      <c r="MB556" s="9"/>
      <c r="MC556" s="9"/>
      <c r="MD556" s="9"/>
      <c r="ME556" s="9"/>
      <c r="MF556" s="9"/>
      <c r="MG556" s="9"/>
      <c r="MH556" s="9"/>
      <c r="MI556" s="9"/>
      <c r="MJ556" s="9"/>
      <c r="MK556" s="9"/>
      <c r="ML556" s="9"/>
      <c r="MM556" s="9"/>
      <c r="MN556" s="9"/>
      <c r="MO556" s="9"/>
      <c r="MP556" s="9"/>
      <c r="MQ556" s="9"/>
      <c r="MR556" s="9"/>
      <c r="MS556" s="9"/>
      <c r="MT556" s="9"/>
      <c r="MU556" s="9"/>
      <c r="MV556" s="9"/>
      <c r="MW556" s="9"/>
      <c r="MX556" s="9"/>
      <c r="MY556" s="9"/>
      <c r="MZ556" s="9"/>
      <c r="NA556" s="9"/>
      <c r="NB556" s="9"/>
      <c r="NC556" s="9"/>
      <c r="ND556" s="9"/>
      <c r="NE556" s="9"/>
      <c r="NF556" s="9"/>
      <c r="NG556" s="9"/>
      <c r="NH556" s="9"/>
      <c r="NI556" s="9"/>
      <c r="NJ556" s="9"/>
      <c r="NK556" s="9"/>
      <c r="NL556" s="9"/>
      <c r="NM556" s="9"/>
      <c r="NN556" s="9"/>
      <c r="NO556" s="9"/>
      <c r="NP556" s="9"/>
      <c r="NQ556" s="9"/>
      <c r="NR556" s="9"/>
      <c r="NS556" s="9"/>
      <c r="NT556" s="9"/>
      <c r="NU556" s="9"/>
      <c r="NV556" s="9"/>
      <c r="NW556" s="9"/>
      <c r="NX556" s="9"/>
      <c r="NY556" s="9"/>
      <c r="NZ556" s="9"/>
      <c r="OA556" s="9"/>
      <c r="OB556" s="9"/>
      <c r="OC556" s="9"/>
      <c r="OD556" s="9"/>
      <c r="OE556" s="9"/>
      <c r="OF556" s="9"/>
      <c r="OG556" s="9"/>
      <c r="OH556" s="9"/>
      <c r="OI556" s="9"/>
      <c r="OJ556" s="9"/>
      <c r="OK556" s="9"/>
      <c r="OL556" s="9"/>
      <c r="OM556" s="9"/>
      <c r="ON556" s="9"/>
      <c r="OO556" s="9"/>
      <c r="OP556" s="9"/>
      <c r="OQ556" s="9"/>
      <c r="OR556" s="9"/>
      <c r="OS556" s="9"/>
      <c r="OT556" s="9"/>
      <c r="OU556" s="9"/>
      <c r="OV556" s="9"/>
      <c r="OW556" s="9"/>
      <c r="OX556" s="9"/>
      <c r="OY556" s="9"/>
      <c r="OZ556" s="9"/>
      <c r="PA556" s="9"/>
      <c r="PB556" s="9"/>
      <c r="PC556" s="9"/>
      <c r="PD556" s="9"/>
      <c r="PE556" s="9"/>
      <c r="PF556" s="9"/>
      <c r="PG556" s="9"/>
      <c r="PH556" s="9"/>
      <c r="PI556" s="9"/>
      <c r="PJ556" s="9"/>
      <c r="PK556" s="9"/>
      <c r="PL556" s="9"/>
      <c r="PM556" s="9"/>
      <c r="PN556" s="9"/>
      <c r="PO556" s="9"/>
      <c r="PP556" s="9"/>
      <c r="PQ556" s="9"/>
      <c r="PR556" s="9"/>
      <c r="PS556" s="9"/>
      <c r="PT556" s="9"/>
      <c r="PU556" s="9"/>
      <c r="PV556" s="9"/>
      <c r="PW556" s="9"/>
      <c r="PX556" s="9"/>
      <c r="PY556" s="9"/>
      <c r="PZ556" s="9"/>
      <c r="QA556" s="9"/>
      <c r="QB556" s="9"/>
      <c r="QC556" s="9"/>
      <c r="QD556" s="9"/>
      <c r="QE556" s="9"/>
      <c r="QF556" s="9"/>
      <c r="QG556" s="9"/>
      <c r="QH556" s="9"/>
      <c r="QI556" s="9"/>
      <c r="QJ556" s="9"/>
      <c r="QK556" s="9"/>
      <c r="QL556" s="9"/>
      <c r="QM556" s="9"/>
      <c r="QN556" s="9"/>
      <c r="QO556" s="9"/>
      <c r="QP556" s="9"/>
      <c r="QQ556" s="9"/>
      <c r="QR556" s="9"/>
      <c r="QS556" s="9"/>
      <c r="QT556" s="9"/>
      <c r="QU556" s="9"/>
      <c r="QV556" s="9"/>
      <c r="QW556" s="9"/>
      <c r="QX556" s="9"/>
      <c r="QY556" s="9"/>
      <c r="QZ556" s="9"/>
      <c r="RA556" s="9"/>
      <c r="RB556" s="9"/>
      <c r="RC556" s="9"/>
      <c r="RD556" s="9"/>
      <c r="RE556" s="9"/>
      <c r="RF556" s="9"/>
      <c r="RG556" s="9"/>
      <c r="RH556" s="9"/>
      <c r="RI556" s="9"/>
      <c r="RJ556" s="9"/>
      <c r="RK556" s="9"/>
      <c r="RL556" s="9"/>
      <c r="RM556" s="9"/>
      <c r="RN556" s="9"/>
      <c r="RO556" s="9"/>
      <c r="RP556" s="9"/>
      <c r="RQ556" s="9"/>
      <c r="RR556" s="9"/>
      <c r="RS556" s="9"/>
      <c r="RT556" s="9"/>
      <c r="RU556" s="9"/>
      <c r="RV556" s="9"/>
      <c r="RW556" s="9"/>
      <c r="RX556" s="9"/>
      <c r="RY556" s="9"/>
      <c r="RZ556" s="9"/>
      <c r="SA556" s="9"/>
      <c r="SB556" s="9"/>
      <c r="SC556" s="9"/>
      <c r="SD556" s="9"/>
      <c r="SE556" s="9"/>
      <c r="SF556" s="9"/>
      <c r="SG556" s="9"/>
      <c r="SH556" s="9"/>
      <c r="SI556" s="9"/>
      <c r="SJ556" s="9"/>
      <c r="SK556" s="9"/>
      <c r="SL556" s="9"/>
      <c r="SM556" s="9"/>
      <c r="SN556" s="9"/>
      <c r="SO556" s="9"/>
      <c r="SP556" s="9"/>
      <c r="SQ556" s="9"/>
      <c r="SR556" s="9"/>
      <c r="SS556" s="9"/>
      <c r="ST556" s="9"/>
      <c r="SU556" s="9"/>
      <c r="SV556" s="9"/>
      <c r="SW556" s="9"/>
      <c r="SX556" s="9"/>
      <c r="SY556" s="9"/>
      <c r="SZ556" s="9"/>
      <c r="TA556" s="9"/>
      <c r="TB556" s="9"/>
      <c r="TC556" s="9"/>
      <c r="TD556" s="9"/>
      <c r="TE556" s="9"/>
      <c r="TF556" s="9"/>
      <c r="TG556" s="9"/>
      <c r="TH556" s="9"/>
      <c r="TI556" s="9"/>
      <c r="TJ556" s="9"/>
      <c r="TK556" s="9"/>
      <c r="TL556" s="9"/>
      <c r="TM556" s="9"/>
      <c r="TN556" s="9"/>
      <c r="TO556" s="9"/>
      <c r="TP556" s="9"/>
      <c r="TQ556" s="9"/>
      <c r="TR556" s="9"/>
      <c r="TS556" s="9"/>
      <c r="TT556" s="9"/>
      <c r="TU556" s="9"/>
      <c r="TV556" s="9"/>
      <c r="TW556" s="9"/>
      <c r="TX556" s="9"/>
      <c r="TY556" s="9"/>
      <c r="TZ556" s="9"/>
      <c r="UA556" s="9"/>
      <c r="UB556" s="9"/>
      <c r="UC556" s="9"/>
      <c r="UD556" s="9"/>
      <c r="UE556" s="9"/>
      <c r="UF556" s="9"/>
      <c r="UG556" s="9"/>
      <c r="UH556" s="9"/>
      <c r="UI556" s="9"/>
      <c r="UJ556" s="9"/>
    </row>
    <row r="557">
      <c r="A557" s="8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9"/>
      <c r="IA557" s="9"/>
      <c r="IB557" s="9"/>
      <c r="IC557" s="9"/>
      <c r="ID557" s="9"/>
      <c r="IE557" s="9"/>
      <c r="IF557" s="9"/>
      <c r="IG557" s="9"/>
      <c r="IH557" s="9"/>
      <c r="II557" s="9"/>
      <c r="IJ557" s="9"/>
      <c r="IK557" s="9"/>
      <c r="IL557" s="9"/>
      <c r="IM557" s="9"/>
      <c r="IN557" s="9"/>
      <c r="IO557" s="9"/>
      <c r="IP557" s="9"/>
      <c r="IQ557" s="9"/>
      <c r="IR557" s="9"/>
      <c r="IS557" s="9"/>
      <c r="IT557" s="9"/>
      <c r="IU557" s="9"/>
      <c r="IV557" s="9"/>
      <c r="IW557" s="9"/>
      <c r="IX557" s="9"/>
      <c r="IY557" s="9"/>
      <c r="IZ557" s="9"/>
      <c r="JA557" s="9"/>
      <c r="JB557" s="9"/>
      <c r="JC557" s="9"/>
      <c r="JD557" s="9"/>
      <c r="JE557" s="9"/>
      <c r="JF557" s="9"/>
      <c r="JG557" s="9"/>
      <c r="JH557" s="9"/>
      <c r="JI557" s="9"/>
      <c r="JJ557" s="9"/>
      <c r="JK557" s="9"/>
      <c r="JL557" s="9"/>
      <c r="JM557" s="9"/>
      <c r="JN557" s="9"/>
      <c r="JO557" s="9"/>
      <c r="JP557" s="9"/>
      <c r="JQ557" s="9"/>
      <c r="JR557" s="9"/>
      <c r="JS557" s="9"/>
      <c r="JT557" s="9"/>
      <c r="JU557" s="9"/>
      <c r="JV557" s="9"/>
      <c r="JW557" s="9"/>
      <c r="JX557" s="9"/>
      <c r="JY557" s="9"/>
      <c r="JZ557" s="9"/>
      <c r="KA557" s="9"/>
      <c r="KB557" s="9"/>
      <c r="KC557" s="9"/>
      <c r="KD557" s="9"/>
      <c r="KE557" s="9"/>
      <c r="KF557" s="9"/>
      <c r="KG557" s="9"/>
      <c r="KH557" s="9"/>
      <c r="KI557" s="9"/>
      <c r="KJ557" s="9"/>
      <c r="KK557" s="9"/>
      <c r="KL557" s="9"/>
      <c r="KM557" s="9"/>
      <c r="KN557" s="9"/>
      <c r="KO557" s="9"/>
      <c r="KP557" s="9"/>
      <c r="KQ557" s="9"/>
      <c r="KR557" s="9"/>
      <c r="KS557" s="9"/>
      <c r="KT557" s="9"/>
      <c r="KU557" s="9"/>
      <c r="KV557" s="9"/>
      <c r="KW557" s="9"/>
      <c r="KX557" s="9"/>
      <c r="KY557" s="9"/>
      <c r="KZ557" s="9"/>
      <c r="LA557" s="9"/>
      <c r="LB557" s="9"/>
      <c r="LC557" s="9"/>
      <c r="LD557" s="9"/>
      <c r="LE557" s="9"/>
      <c r="LF557" s="9"/>
      <c r="LG557" s="9"/>
      <c r="LH557" s="9"/>
      <c r="LI557" s="9"/>
      <c r="LJ557" s="9"/>
      <c r="LK557" s="9"/>
      <c r="LL557" s="9"/>
      <c r="LM557" s="9"/>
      <c r="LN557" s="9"/>
      <c r="LO557" s="9"/>
      <c r="LP557" s="9"/>
      <c r="LQ557" s="9"/>
      <c r="LR557" s="9"/>
      <c r="LS557" s="9"/>
      <c r="LT557" s="9"/>
      <c r="LU557" s="9"/>
      <c r="LV557" s="9"/>
      <c r="LW557" s="9"/>
      <c r="LX557" s="9"/>
      <c r="LY557" s="9"/>
      <c r="LZ557" s="9"/>
      <c r="MA557" s="9"/>
      <c r="MB557" s="9"/>
      <c r="MC557" s="9"/>
      <c r="MD557" s="9"/>
      <c r="ME557" s="9"/>
      <c r="MF557" s="9"/>
      <c r="MG557" s="9"/>
      <c r="MH557" s="9"/>
      <c r="MI557" s="9"/>
      <c r="MJ557" s="9"/>
      <c r="MK557" s="9"/>
      <c r="ML557" s="9"/>
      <c r="MM557" s="9"/>
      <c r="MN557" s="9"/>
      <c r="MO557" s="9"/>
      <c r="MP557" s="9"/>
      <c r="MQ557" s="9"/>
      <c r="MR557" s="9"/>
      <c r="MS557" s="9"/>
      <c r="MT557" s="9"/>
      <c r="MU557" s="9"/>
      <c r="MV557" s="9"/>
      <c r="MW557" s="9"/>
      <c r="MX557" s="9"/>
      <c r="MY557" s="9"/>
      <c r="MZ557" s="9"/>
      <c r="NA557" s="9"/>
      <c r="NB557" s="9"/>
      <c r="NC557" s="9"/>
      <c r="ND557" s="9"/>
      <c r="NE557" s="9"/>
      <c r="NF557" s="9"/>
      <c r="NG557" s="9"/>
      <c r="NH557" s="9"/>
      <c r="NI557" s="9"/>
      <c r="NJ557" s="9"/>
      <c r="NK557" s="9"/>
      <c r="NL557" s="9"/>
      <c r="NM557" s="9"/>
      <c r="NN557" s="9"/>
      <c r="NO557" s="9"/>
      <c r="NP557" s="9"/>
      <c r="NQ557" s="9"/>
      <c r="NR557" s="9"/>
      <c r="NS557" s="9"/>
      <c r="NT557" s="9"/>
      <c r="NU557" s="9"/>
      <c r="NV557" s="9"/>
      <c r="NW557" s="9"/>
      <c r="NX557" s="9"/>
      <c r="NY557" s="9"/>
      <c r="NZ557" s="9"/>
      <c r="OA557" s="9"/>
      <c r="OB557" s="9"/>
      <c r="OC557" s="9"/>
      <c r="OD557" s="9"/>
      <c r="OE557" s="9"/>
      <c r="OF557" s="9"/>
      <c r="OG557" s="9"/>
      <c r="OH557" s="9"/>
      <c r="OI557" s="9"/>
      <c r="OJ557" s="9"/>
      <c r="OK557" s="9"/>
      <c r="OL557" s="9"/>
      <c r="OM557" s="9"/>
      <c r="ON557" s="9"/>
      <c r="OO557" s="9"/>
      <c r="OP557" s="9"/>
      <c r="OQ557" s="9"/>
      <c r="OR557" s="9"/>
      <c r="OS557" s="9"/>
      <c r="OT557" s="9"/>
      <c r="OU557" s="9"/>
      <c r="OV557" s="9"/>
      <c r="OW557" s="9"/>
      <c r="OX557" s="9"/>
      <c r="OY557" s="9"/>
      <c r="OZ557" s="9"/>
      <c r="PA557" s="9"/>
      <c r="PB557" s="9"/>
      <c r="PC557" s="9"/>
      <c r="PD557" s="9"/>
      <c r="PE557" s="9"/>
      <c r="PF557" s="9"/>
      <c r="PG557" s="9"/>
      <c r="PH557" s="9"/>
      <c r="PI557" s="9"/>
      <c r="PJ557" s="9"/>
      <c r="PK557" s="9"/>
      <c r="PL557" s="9"/>
      <c r="PM557" s="9"/>
      <c r="PN557" s="9"/>
      <c r="PO557" s="9"/>
      <c r="PP557" s="9"/>
      <c r="PQ557" s="9"/>
      <c r="PR557" s="9"/>
      <c r="PS557" s="9"/>
      <c r="PT557" s="9"/>
      <c r="PU557" s="9"/>
      <c r="PV557" s="9"/>
      <c r="PW557" s="9"/>
      <c r="PX557" s="9"/>
      <c r="PY557" s="9"/>
      <c r="PZ557" s="9"/>
      <c r="QA557" s="9"/>
      <c r="QB557" s="9"/>
      <c r="QC557" s="9"/>
      <c r="QD557" s="9"/>
      <c r="QE557" s="9"/>
      <c r="QF557" s="9"/>
      <c r="QG557" s="9"/>
      <c r="QH557" s="9"/>
      <c r="QI557" s="9"/>
      <c r="QJ557" s="9"/>
      <c r="QK557" s="9"/>
      <c r="QL557" s="9"/>
      <c r="QM557" s="9"/>
      <c r="QN557" s="9"/>
      <c r="QO557" s="9"/>
      <c r="QP557" s="9"/>
      <c r="QQ557" s="9"/>
      <c r="QR557" s="9"/>
      <c r="QS557" s="9"/>
      <c r="QT557" s="9"/>
      <c r="QU557" s="9"/>
      <c r="QV557" s="9"/>
      <c r="QW557" s="9"/>
      <c r="QX557" s="9"/>
      <c r="QY557" s="9"/>
      <c r="QZ557" s="9"/>
      <c r="RA557" s="9"/>
      <c r="RB557" s="9"/>
      <c r="RC557" s="9"/>
      <c r="RD557" s="9"/>
      <c r="RE557" s="9"/>
      <c r="RF557" s="9"/>
      <c r="RG557" s="9"/>
      <c r="RH557" s="9"/>
      <c r="RI557" s="9"/>
      <c r="RJ557" s="9"/>
      <c r="RK557" s="9"/>
      <c r="RL557" s="9"/>
      <c r="RM557" s="9"/>
      <c r="RN557" s="9"/>
      <c r="RO557" s="9"/>
      <c r="RP557" s="9"/>
      <c r="RQ557" s="9"/>
      <c r="RR557" s="9"/>
      <c r="RS557" s="9"/>
      <c r="RT557" s="9"/>
      <c r="RU557" s="9"/>
      <c r="RV557" s="9"/>
      <c r="RW557" s="9"/>
      <c r="RX557" s="9"/>
      <c r="RY557" s="9"/>
      <c r="RZ557" s="9"/>
      <c r="SA557" s="9"/>
      <c r="SB557" s="9"/>
      <c r="SC557" s="9"/>
      <c r="SD557" s="9"/>
      <c r="SE557" s="9"/>
      <c r="SF557" s="9"/>
      <c r="SG557" s="9"/>
      <c r="SH557" s="9"/>
      <c r="SI557" s="9"/>
      <c r="SJ557" s="9"/>
      <c r="SK557" s="9"/>
      <c r="SL557" s="9"/>
      <c r="SM557" s="9"/>
      <c r="SN557" s="9"/>
      <c r="SO557" s="9"/>
      <c r="SP557" s="9"/>
      <c r="SQ557" s="9"/>
      <c r="SR557" s="9"/>
      <c r="SS557" s="9"/>
      <c r="ST557" s="9"/>
      <c r="SU557" s="9"/>
      <c r="SV557" s="9"/>
      <c r="SW557" s="9"/>
      <c r="SX557" s="9"/>
      <c r="SY557" s="9"/>
      <c r="SZ557" s="9"/>
      <c r="TA557" s="9"/>
      <c r="TB557" s="9"/>
      <c r="TC557" s="9"/>
      <c r="TD557" s="9"/>
      <c r="TE557" s="9"/>
      <c r="TF557" s="9"/>
      <c r="TG557" s="9"/>
      <c r="TH557" s="9"/>
      <c r="TI557" s="9"/>
      <c r="TJ557" s="9"/>
      <c r="TK557" s="9"/>
      <c r="TL557" s="9"/>
      <c r="TM557" s="9"/>
      <c r="TN557" s="9"/>
      <c r="TO557" s="9"/>
      <c r="TP557" s="9"/>
      <c r="TQ557" s="9"/>
      <c r="TR557" s="9"/>
      <c r="TS557" s="9"/>
      <c r="TT557" s="9"/>
      <c r="TU557" s="9"/>
      <c r="TV557" s="9"/>
      <c r="TW557" s="9"/>
      <c r="TX557" s="9"/>
      <c r="TY557" s="9"/>
      <c r="TZ557" s="9"/>
      <c r="UA557" s="9"/>
      <c r="UB557" s="9"/>
      <c r="UC557" s="9"/>
      <c r="UD557" s="9"/>
      <c r="UE557" s="9"/>
      <c r="UF557" s="9"/>
      <c r="UG557" s="9"/>
      <c r="UH557" s="9"/>
      <c r="UI557" s="9"/>
      <c r="UJ557" s="9"/>
    </row>
    <row r="558">
      <c r="A558" s="8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  <c r="IC558" s="9"/>
      <c r="ID558" s="9"/>
      <c r="IE558" s="9"/>
      <c r="IF558" s="9"/>
      <c r="IG558" s="9"/>
      <c r="IH558" s="9"/>
      <c r="II558" s="9"/>
      <c r="IJ558" s="9"/>
      <c r="IK558" s="9"/>
      <c r="IL558" s="9"/>
      <c r="IM558" s="9"/>
      <c r="IN558" s="9"/>
      <c r="IO558" s="9"/>
      <c r="IP558" s="9"/>
      <c r="IQ558" s="9"/>
      <c r="IR558" s="9"/>
      <c r="IS558" s="9"/>
      <c r="IT558" s="9"/>
      <c r="IU558" s="9"/>
      <c r="IV558" s="9"/>
      <c r="IW558" s="9"/>
      <c r="IX558" s="9"/>
      <c r="IY558" s="9"/>
      <c r="IZ558" s="9"/>
      <c r="JA558" s="9"/>
      <c r="JB558" s="9"/>
      <c r="JC558" s="9"/>
      <c r="JD558" s="9"/>
      <c r="JE558" s="9"/>
      <c r="JF558" s="9"/>
      <c r="JG558" s="9"/>
      <c r="JH558" s="9"/>
      <c r="JI558" s="9"/>
      <c r="JJ558" s="9"/>
      <c r="JK558" s="9"/>
      <c r="JL558" s="9"/>
      <c r="JM558" s="9"/>
      <c r="JN558" s="9"/>
      <c r="JO558" s="9"/>
      <c r="JP558" s="9"/>
      <c r="JQ558" s="9"/>
      <c r="JR558" s="9"/>
      <c r="JS558" s="9"/>
      <c r="JT558" s="9"/>
      <c r="JU558" s="9"/>
      <c r="JV558" s="9"/>
      <c r="JW558" s="9"/>
      <c r="JX558" s="9"/>
      <c r="JY558" s="9"/>
      <c r="JZ558" s="9"/>
      <c r="KA558" s="9"/>
      <c r="KB558" s="9"/>
      <c r="KC558" s="9"/>
      <c r="KD558" s="9"/>
      <c r="KE558" s="9"/>
      <c r="KF558" s="9"/>
      <c r="KG558" s="9"/>
      <c r="KH558" s="9"/>
      <c r="KI558" s="9"/>
      <c r="KJ558" s="9"/>
      <c r="KK558" s="9"/>
      <c r="KL558" s="9"/>
      <c r="KM558" s="9"/>
      <c r="KN558" s="9"/>
      <c r="KO558" s="9"/>
      <c r="KP558" s="9"/>
      <c r="KQ558" s="9"/>
      <c r="KR558" s="9"/>
      <c r="KS558" s="9"/>
      <c r="KT558" s="9"/>
      <c r="KU558" s="9"/>
      <c r="KV558" s="9"/>
      <c r="KW558" s="9"/>
      <c r="KX558" s="9"/>
      <c r="KY558" s="9"/>
      <c r="KZ558" s="9"/>
      <c r="LA558" s="9"/>
      <c r="LB558" s="9"/>
      <c r="LC558" s="9"/>
      <c r="LD558" s="9"/>
      <c r="LE558" s="9"/>
      <c r="LF558" s="9"/>
      <c r="LG558" s="9"/>
      <c r="LH558" s="9"/>
      <c r="LI558" s="9"/>
      <c r="LJ558" s="9"/>
      <c r="LK558" s="9"/>
      <c r="LL558" s="9"/>
      <c r="LM558" s="9"/>
      <c r="LN558" s="9"/>
      <c r="LO558" s="9"/>
      <c r="LP558" s="9"/>
      <c r="LQ558" s="9"/>
      <c r="LR558" s="9"/>
      <c r="LS558" s="9"/>
      <c r="LT558" s="9"/>
      <c r="LU558" s="9"/>
      <c r="LV558" s="9"/>
      <c r="LW558" s="9"/>
      <c r="LX558" s="9"/>
      <c r="LY558" s="9"/>
      <c r="LZ558" s="9"/>
      <c r="MA558" s="9"/>
      <c r="MB558" s="9"/>
      <c r="MC558" s="9"/>
      <c r="MD558" s="9"/>
      <c r="ME558" s="9"/>
      <c r="MF558" s="9"/>
      <c r="MG558" s="9"/>
      <c r="MH558" s="9"/>
      <c r="MI558" s="9"/>
      <c r="MJ558" s="9"/>
      <c r="MK558" s="9"/>
      <c r="ML558" s="9"/>
      <c r="MM558" s="9"/>
      <c r="MN558" s="9"/>
      <c r="MO558" s="9"/>
      <c r="MP558" s="9"/>
      <c r="MQ558" s="9"/>
      <c r="MR558" s="9"/>
      <c r="MS558" s="9"/>
      <c r="MT558" s="9"/>
      <c r="MU558" s="9"/>
      <c r="MV558" s="9"/>
      <c r="MW558" s="9"/>
      <c r="MX558" s="9"/>
      <c r="MY558" s="9"/>
      <c r="MZ558" s="9"/>
      <c r="NA558" s="9"/>
      <c r="NB558" s="9"/>
      <c r="NC558" s="9"/>
      <c r="ND558" s="9"/>
      <c r="NE558" s="9"/>
      <c r="NF558" s="9"/>
      <c r="NG558" s="9"/>
      <c r="NH558" s="9"/>
      <c r="NI558" s="9"/>
      <c r="NJ558" s="9"/>
      <c r="NK558" s="9"/>
      <c r="NL558" s="9"/>
      <c r="NM558" s="9"/>
      <c r="NN558" s="9"/>
      <c r="NO558" s="9"/>
      <c r="NP558" s="9"/>
      <c r="NQ558" s="9"/>
      <c r="NR558" s="9"/>
      <c r="NS558" s="9"/>
      <c r="NT558" s="9"/>
      <c r="NU558" s="9"/>
      <c r="NV558" s="9"/>
      <c r="NW558" s="9"/>
      <c r="NX558" s="9"/>
      <c r="NY558" s="9"/>
      <c r="NZ558" s="9"/>
      <c r="OA558" s="9"/>
      <c r="OB558" s="9"/>
      <c r="OC558" s="9"/>
      <c r="OD558" s="9"/>
      <c r="OE558" s="9"/>
      <c r="OF558" s="9"/>
      <c r="OG558" s="9"/>
      <c r="OH558" s="9"/>
      <c r="OI558" s="9"/>
      <c r="OJ558" s="9"/>
      <c r="OK558" s="9"/>
      <c r="OL558" s="9"/>
      <c r="OM558" s="9"/>
      <c r="ON558" s="9"/>
      <c r="OO558" s="9"/>
      <c r="OP558" s="9"/>
      <c r="OQ558" s="9"/>
      <c r="OR558" s="9"/>
      <c r="OS558" s="9"/>
      <c r="OT558" s="9"/>
      <c r="OU558" s="9"/>
      <c r="OV558" s="9"/>
      <c r="OW558" s="9"/>
      <c r="OX558" s="9"/>
      <c r="OY558" s="9"/>
      <c r="OZ558" s="9"/>
      <c r="PA558" s="9"/>
      <c r="PB558" s="9"/>
      <c r="PC558" s="9"/>
      <c r="PD558" s="9"/>
      <c r="PE558" s="9"/>
      <c r="PF558" s="9"/>
      <c r="PG558" s="9"/>
      <c r="PH558" s="9"/>
      <c r="PI558" s="9"/>
      <c r="PJ558" s="9"/>
      <c r="PK558" s="9"/>
      <c r="PL558" s="9"/>
      <c r="PM558" s="9"/>
      <c r="PN558" s="9"/>
      <c r="PO558" s="9"/>
      <c r="PP558" s="9"/>
      <c r="PQ558" s="9"/>
      <c r="PR558" s="9"/>
      <c r="PS558" s="9"/>
      <c r="PT558" s="9"/>
      <c r="PU558" s="9"/>
      <c r="PV558" s="9"/>
      <c r="PW558" s="9"/>
      <c r="PX558" s="9"/>
      <c r="PY558" s="9"/>
      <c r="PZ558" s="9"/>
      <c r="QA558" s="9"/>
      <c r="QB558" s="9"/>
      <c r="QC558" s="9"/>
      <c r="QD558" s="9"/>
      <c r="QE558" s="9"/>
      <c r="QF558" s="9"/>
      <c r="QG558" s="9"/>
      <c r="QH558" s="9"/>
      <c r="QI558" s="9"/>
      <c r="QJ558" s="9"/>
      <c r="QK558" s="9"/>
      <c r="QL558" s="9"/>
      <c r="QM558" s="9"/>
      <c r="QN558" s="9"/>
      <c r="QO558" s="9"/>
      <c r="QP558" s="9"/>
      <c r="QQ558" s="9"/>
      <c r="QR558" s="9"/>
      <c r="QS558" s="9"/>
      <c r="QT558" s="9"/>
      <c r="QU558" s="9"/>
      <c r="QV558" s="9"/>
      <c r="QW558" s="9"/>
      <c r="QX558" s="9"/>
      <c r="QY558" s="9"/>
      <c r="QZ558" s="9"/>
      <c r="RA558" s="9"/>
      <c r="RB558" s="9"/>
      <c r="RC558" s="9"/>
      <c r="RD558" s="9"/>
      <c r="RE558" s="9"/>
      <c r="RF558" s="9"/>
      <c r="RG558" s="9"/>
      <c r="RH558" s="9"/>
      <c r="RI558" s="9"/>
      <c r="RJ558" s="9"/>
      <c r="RK558" s="9"/>
      <c r="RL558" s="9"/>
      <c r="RM558" s="9"/>
      <c r="RN558" s="9"/>
      <c r="RO558" s="9"/>
      <c r="RP558" s="9"/>
      <c r="RQ558" s="9"/>
      <c r="RR558" s="9"/>
      <c r="RS558" s="9"/>
      <c r="RT558" s="9"/>
      <c r="RU558" s="9"/>
      <c r="RV558" s="9"/>
      <c r="RW558" s="9"/>
      <c r="RX558" s="9"/>
      <c r="RY558" s="9"/>
      <c r="RZ558" s="9"/>
      <c r="SA558" s="9"/>
      <c r="SB558" s="9"/>
      <c r="SC558" s="9"/>
      <c r="SD558" s="9"/>
      <c r="SE558" s="9"/>
      <c r="SF558" s="9"/>
      <c r="SG558" s="9"/>
      <c r="SH558" s="9"/>
      <c r="SI558" s="9"/>
      <c r="SJ558" s="9"/>
      <c r="SK558" s="9"/>
      <c r="SL558" s="9"/>
      <c r="SM558" s="9"/>
      <c r="SN558" s="9"/>
      <c r="SO558" s="9"/>
      <c r="SP558" s="9"/>
      <c r="SQ558" s="9"/>
      <c r="SR558" s="9"/>
      <c r="SS558" s="9"/>
      <c r="ST558" s="9"/>
      <c r="SU558" s="9"/>
      <c r="SV558" s="9"/>
      <c r="SW558" s="9"/>
      <c r="SX558" s="9"/>
      <c r="SY558" s="9"/>
      <c r="SZ558" s="9"/>
      <c r="TA558" s="9"/>
      <c r="TB558" s="9"/>
      <c r="TC558" s="9"/>
      <c r="TD558" s="9"/>
      <c r="TE558" s="9"/>
      <c r="TF558" s="9"/>
      <c r="TG558" s="9"/>
      <c r="TH558" s="9"/>
      <c r="TI558" s="9"/>
      <c r="TJ558" s="9"/>
      <c r="TK558" s="9"/>
      <c r="TL558" s="9"/>
      <c r="TM558" s="9"/>
      <c r="TN558" s="9"/>
      <c r="TO558" s="9"/>
      <c r="TP558" s="9"/>
      <c r="TQ558" s="9"/>
      <c r="TR558" s="9"/>
      <c r="TS558" s="9"/>
      <c r="TT558" s="9"/>
      <c r="TU558" s="9"/>
      <c r="TV558" s="9"/>
      <c r="TW558" s="9"/>
      <c r="TX558" s="9"/>
      <c r="TY558" s="9"/>
      <c r="TZ558" s="9"/>
      <c r="UA558" s="9"/>
      <c r="UB558" s="9"/>
      <c r="UC558" s="9"/>
      <c r="UD558" s="9"/>
      <c r="UE558" s="9"/>
      <c r="UF558" s="9"/>
      <c r="UG558" s="9"/>
      <c r="UH558" s="9"/>
      <c r="UI558" s="9"/>
      <c r="UJ558" s="9"/>
    </row>
    <row r="559">
      <c r="A559" s="8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  <c r="IC559" s="9"/>
      <c r="ID559" s="9"/>
      <c r="IE559" s="9"/>
      <c r="IF559" s="9"/>
      <c r="IG559" s="9"/>
      <c r="IH559" s="9"/>
      <c r="II559" s="9"/>
      <c r="IJ559" s="9"/>
      <c r="IK559" s="9"/>
      <c r="IL559" s="9"/>
      <c r="IM559" s="9"/>
      <c r="IN559" s="9"/>
      <c r="IO559" s="9"/>
      <c r="IP559" s="9"/>
      <c r="IQ559" s="9"/>
      <c r="IR559" s="9"/>
      <c r="IS559" s="9"/>
      <c r="IT559" s="9"/>
      <c r="IU559" s="9"/>
      <c r="IV559" s="9"/>
      <c r="IW559" s="9"/>
      <c r="IX559" s="9"/>
      <c r="IY559" s="9"/>
      <c r="IZ559" s="9"/>
      <c r="JA559" s="9"/>
      <c r="JB559" s="9"/>
      <c r="JC559" s="9"/>
      <c r="JD559" s="9"/>
      <c r="JE559" s="9"/>
      <c r="JF559" s="9"/>
      <c r="JG559" s="9"/>
      <c r="JH559" s="9"/>
      <c r="JI559" s="9"/>
      <c r="JJ559" s="9"/>
      <c r="JK559" s="9"/>
      <c r="JL559" s="9"/>
      <c r="JM559" s="9"/>
      <c r="JN559" s="9"/>
      <c r="JO559" s="9"/>
      <c r="JP559" s="9"/>
      <c r="JQ559" s="9"/>
      <c r="JR559" s="9"/>
      <c r="JS559" s="9"/>
      <c r="JT559" s="9"/>
      <c r="JU559" s="9"/>
      <c r="JV559" s="9"/>
      <c r="JW559" s="9"/>
      <c r="JX559" s="9"/>
      <c r="JY559" s="9"/>
      <c r="JZ559" s="9"/>
      <c r="KA559" s="9"/>
      <c r="KB559" s="9"/>
      <c r="KC559" s="9"/>
      <c r="KD559" s="9"/>
      <c r="KE559" s="9"/>
      <c r="KF559" s="9"/>
      <c r="KG559" s="9"/>
      <c r="KH559" s="9"/>
      <c r="KI559" s="9"/>
      <c r="KJ559" s="9"/>
      <c r="KK559" s="9"/>
      <c r="KL559" s="9"/>
      <c r="KM559" s="9"/>
      <c r="KN559" s="9"/>
      <c r="KO559" s="9"/>
      <c r="KP559" s="9"/>
      <c r="KQ559" s="9"/>
      <c r="KR559" s="9"/>
      <c r="KS559" s="9"/>
      <c r="KT559" s="9"/>
      <c r="KU559" s="9"/>
      <c r="KV559" s="9"/>
      <c r="KW559" s="9"/>
      <c r="KX559" s="9"/>
      <c r="KY559" s="9"/>
      <c r="KZ559" s="9"/>
      <c r="LA559" s="9"/>
      <c r="LB559" s="9"/>
      <c r="LC559" s="9"/>
      <c r="LD559" s="9"/>
      <c r="LE559" s="9"/>
      <c r="LF559" s="9"/>
      <c r="LG559" s="9"/>
      <c r="LH559" s="9"/>
      <c r="LI559" s="9"/>
      <c r="LJ559" s="9"/>
      <c r="LK559" s="9"/>
      <c r="LL559" s="9"/>
      <c r="LM559" s="9"/>
      <c r="LN559" s="9"/>
      <c r="LO559" s="9"/>
      <c r="LP559" s="9"/>
      <c r="LQ559" s="9"/>
      <c r="LR559" s="9"/>
      <c r="LS559" s="9"/>
      <c r="LT559" s="9"/>
      <c r="LU559" s="9"/>
      <c r="LV559" s="9"/>
      <c r="LW559" s="9"/>
      <c r="LX559" s="9"/>
      <c r="LY559" s="9"/>
      <c r="LZ559" s="9"/>
      <c r="MA559" s="9"/>
      <c r="MB559" s="9"/>
      <c r="MC559" s="9"/>
      <c r="MD559" s="9"/>
      <c r="ME559" s="9"/>
      <c r="MF559" s="9"/>
      <c r="MG559" s="9"/>
      <c r="MH559" s="9"/>
      <c r="MI559" s="9"/>
      <c r="MJ559" s="9"/>
      <c r="MK559" s="9"/>
      <c r="ML559" s="9"/>
      <c r="MM559" s="9"/>
      <c r="MN559" s="9"/>
      <c r="MO559" s="9"/>
      <c r="MP559" s="9"/>
      <c r="MQ559" s="9"/>
      <c r="MR559" s="9"/>
      <c r="MS559" s="9"/>
      <c r="MT559" s="9"/>
      <c r="MU559" s="9"/>
      <c r="MV559" s="9"/>
      <c r="MW559" s="9"/>
      <c r="MX559" s="9"/>
      <c r="MY559" s="9"/>
      <c r="MZ559" s="9"/>
      <c r="NA559" s="9"/>
      <c r="NB559" s="9"/>
      <c r="NC559" s="9"/>
      <c r="ND559" s="9"/>
      <c r="NE559" s="9"/>
      <c r="NF559" s="9"/>
      <c r="NG559" s="9"/>
      <c r="NH559" s="9"/>
      <c r="NI559" s="9"/>
      <c r="NJ559" s="9"/>
      <c r="NK559" s="9"/>
      <c r="NL559" s="9"/>
      <c r="NM559" s="9"/>
      <c r="NN559" s="9"/>
      <c r="NO559" s="9"/>
      <c r="NP559" s="9"/>
      <c r="NQ559" s="9"/>
      <c r="NR559" s="9"/>
      <c r="NS559" s="9"/>
      <c r="NT559" s="9"/>
      <c r="NU559" s="9"/>
      <c r="NV559" s="9"/>
      <c r="NW559" s="9"/>
      <c r="NX559" s="9"/>
      <c r="NY559" s="9"/>
      <c r="NZ559" s="9"/>
      <c r="OA559" s="9"/>
      <c r="OB559" s="9"/>
      <c r="OC559" s="9"/>
      <c r="OD559" s="9"/>
      <c r="OE559" s="9"/>
      <c r="OF559" s="9"/>
      <c r="OG559" s="9"/>
      <c r="OH559" s="9"/>
      <c r="OI559" s="9"/>
      <c r="OJ559" s="9"/>
      <c r="OK559" s="9"/>
      <c r="OL559" s="9"/>
      <c r="OM559" s="9"/>
      <c r="ON559" s="9"/>
      <c r="OO559" s="9"/>
      <c r="OP559" s="9"/>
      <c r="OQ559" s="9"/>
      <c r="OR559" s="9"/>
      <c r="OS559" s="9"/>
      <c r="OT559" s="9"/>
      <c r="OU559" s="9"/>
      <c r="OV559" s="9"/>
      <c r="OW559" s="9"/>
      <c r="OX559" s="9"/>
      <c r="OY559" s="9"/>
      <c r="OZ559" s="9"/>
      <c r="PA559" s="9"/>
      <c r="PB559" s="9"/>
      <c r="PC559" s="9"/>
      <c r="PD559" s="9"/>
      <c r="PE559" s="9"/>
      <c r="PF559" s="9"/>
      <c r="PG559" s="9"/>
      <c r="PH559" s="9"/>
      <c r="PI559" s="9"/>
      <c r="PJ559" s="9"/>
      <c r="PK559" s="9"/>
      <c r="PL559" s="9"/>
      <c r="PM559" s="9"/>
      <c r="PN559" s="9"/>
      <c r="PO559" s="9"/>
      <c r="PP559" s="9"/>
      <c r="PQ559" s="9"/>
      <c r="PR559" s="9"/>
      <c r="PS559" s="9"/>
      <c r="PT559" s="9"/>
      <c r="PU559" s="9"/>
      <c r="PV559" s="9"/>
      <c r="PW559" s="9"/>
      <c r="PX559" s="9"/>
      <c r="PY559" s="9"/>
      <c r="PZ559" s="9"/>
      <c r="QA559" s="9"/>
      <c r="QB559" s="9"/>
      <c r="QC559" s="9"/>
      <c r="QD559" s="9"/>
      <c r="QE559" s="9"/>
      <c r="QF559" s="9"/>
      <c r="QG559" s="9"/>
      <c r="QH559" s="9"/>
      <c r="QI559" s="9"/>
      <c r="QJ559" s="9"/>
      <c r="QK559" s="9"/>
      <c r="QL559" s="9"/>
      <c r="QM559" s="9"/>
      <c r="QN559" s="9"/>
      <c r="QO559" s="9"/>
      <c r="QP559" s="9"/>
      <c r="QQ559" s="9"/>
      <c r="QR559" s="9"/>
      <c r="QS559" s="9"/>
      <c r="QT559" s="9"/>
      <c r="QU559" s="9"/>
      <c r="QV559" s="9"/>
      <c r="QW559" s="9"/>
      <c r="QX559" s="9"/>
      <c r="QY559" s="9"/>
      <c r="QZ559" s="9"/>
      <c r="RA559" s="9"/>
      <c r="RB559" s="9"/>
      <c r="RC559" s="9"/>
      <c r="RD559" s="9"/>
      <c r="RE559" s="9"/>
      <c r="RF559" s="9"/>
      <c r="RG559" s="9"/>
      <c r="RH559" s="9"/>
      <c r="RI559" s="9"/>
      <c r="RJ559" s="9"/>
      <c r="RK559" s="9"/>
      <c r="RL559" s="9"/>
      <c r="RM559" s="9"/>
      <c r="RN559" s="9"/>
      <c r="RO559" s="9"/>
      <c r="RP559" s="9"/>
      <c r="RQ559" s="9"/>
      <c r="RR559" s="9"/>
      <c r="RS559" s="9"/>
      <c r="RT559" s="9"/>
      <c r="RU559" s="9"/>
      <c r="RV559" s="9"/>
      <c r="RW559" s="9"/>
      <c r="RX559" s="9"/>
      <c r="RY559" s="9"/>
      <c r="RZ559" s="9"/>
      <c r="SA559" s="9"/>
      <c r="SB559" s="9"/>
      <c r="SC559" s="9"/>
      <c r="SD559" s="9"/>
      <c r="SE559" s="9"/>
      <c r="SF559" s="9"/>
      <c r="SG559" s="9"/>
      <c r="SH559" s="9"/>
      <c r="SI559" s="9"/>
      <c r="SJ559" s="9"/>
      <c r="SK559" s="9"/>
      <c r="SL559" s="9"/>
      <c r="SM559" s="9"/>
      <c r="SN559" s="9"/>
      <c r="SO559" s="9"/>
      <c r="SP559" s="9"/>
      <c r="SQ559" s="9"/>
      <c r="SR559" s="9"/>
      <c r="SS559" s="9"/>
      <c r="ST559" s="9"/>
      <c r="SU559" s="9"/>
      <c r="SV559" s="9"/>
      <c r="SW559" s="9"/>
      <c r="SX559" s="9"/>
      <c r="SY559" s="9"/>
      <c r="SZ559" s="9"/>
      <c r="TA559" s="9"/>
      <c r="TB559" s="9"/>
      <c r="TC559" s="9"/>
      <c r="TD559" s="9"/>
      <c r="TE559" s="9"/>
      <c r="TF559" s="9"/>
      <c r="TG559" s="9"/>
      <c r="TH559" s="9"/>
      <c r="TI559" s="9"/>
      <c r="TJ559" s="9"/>
      <c r="TK559" s="9"/>
      <c r="TL559" s="9"/>
      <c r="TM559" s="9"/>
      <c r="TN559" s="9"/>
      <c r="TO559" s="9"/>
      <c r="TP559" s="9"/>
      <c r="TQ559" s="9"/>
      <c r="TR559" s="9"/>
      <c r="TS559" s="9"/>
      <c r="TT559" s="9"/>
      <c r="TU559" s="9"/>
      <c r="TV559" s="9"/>
      <c r="TW559" s="9"/>
      <c r="TX559" s="9"/>
      <c r="TY559" s="9"/>
      <c r="TZ559" s="9"/>
      <c r="UA559" s="9"/>
      <c r="UB559" s="9"/>
      <c r="UC559" s="9"/>
      <c r="UD559" s="9"/>
      <c r="UE559" s="9"/>
      <c r="UF559" s="9"/>
      <c r="UG559" s="9"/>
      <c r="UH559" s="9"/>
      <c r="UI559" s="9"/>
      <c r="UJ559" s="9"/>
    </row>
    <row r="560">
      <c r="A560" s="8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  <c r="IN560" s="9"/>
      <c r="IO560" s="9"/>
      <c r="IP560" s="9"/>
      <c r="IQ560" s="9"/>
      <c r="IR560" s="9"/>
      <c r="IS560" s="9"/>
      <c r="IT560" s="9"/>
      <c r="IU560" s="9"/>
      <c r="IV560" s="9"/>
      <c r="IW560" s="9"/>
      <c r="IX560" s="9"/>
      <c r="IY560" s="9"/>
      <c r="IZ560" s="9"/>
      <c r="JA560" s="9"/>
      <c r="JB560" s="9"/>
      <c r="JC560" s="9"/>
      <c r="JD560" s="9"/>
      <c r="JE560" s="9"/>
      <c r="JF560" s="9"/>
      <c r="JG560" s="9"/>
      <c r="JH560" s="9"/>
      <c r="JI560" s="9"/>
      <c r="JJ560" s="9"/>
      <c r="JK560" s="9"/>
      <c r="JL560" s="9"/>
      <c r="JM560" s="9"/>
      <c r="JN560" s="9"/>
      <c r="JO560" s="9"/>
      <c r="JP560" s="9"/>
      <c r="JQ560" s="9"/>
      <c r="JR560" s="9"/>
      <c r="JS560" s="9"/>
      <c r="JT560" s="9"/>
      <c r="JU560" s="9"/>
      <c r="JV560" s="9"/>
      <c r="JW560" s="9"/>
      <c r="JX560" s="9"/>
      <c r="JY560" s="9"/>
      <c r="JZ560" s="9"/>
      <c r="KA560" s="9"/>
      <c r="KB560" s="9"/>
      <c r="KC560" s="9"/>
      <c r="KD560" s="9"/>
      <c r="KE560" s="9"/>
      <c r="KF560" s="9"/>
      <c r="KG560" s="9"/>
      <c r="KH560" s="9"/>
      <c r="KI560" s="9"/>
      <c r="KJ560" s="9"/>
      <c r="KK560" s="9"/>
      <c r="KL560" s="9"/>
      <c r="KM560" s="9"/>
      <c r="KN560" s="9"/>
      <c r="KO560" s="9"/>
      <c r="KP560" s="9"/>
      <c r="KQ560" s="9"/>
      <c r="KR560" s="9"/>
      <c r="KS560" s="9"/>
      <c r="KT560" s="9"/>
      <c r="KU560" s="9"/>
      <c r="KV560" s="9"/>
      <c r="KW560" s="9"/>
      <c r="KX560" s="9"/>
      <c r="KY560" s="9"/>
      <c r="KZ560" s="9"/>
      <c r="LA560" s="9"/>
      <c r="LB560" s="9"/>
      <c r="LC560" s="9"/>
      <c r="LD560" s="9"/>
      <c r="LE560" s="9"/>
      <c r="LF560" s="9"/>
      <c r="LG560" s="9"/>
      <c r="LH560" s="9"/>
      <c r="LI560" s="9"/>
      <c r="LJ560" s="9"/>
      <c r="LK560" s="9"/>
      <c r="LL560" s="9"/>
      <c r="LM560" s="9"/>
      <c r="LN560" s="9"/>
      <c r="LO560" s="9"/>
      <c r="LP560" s="9"/>
      <c r="LQ560" s="9"/>
      <c r="LR560" s="9"/>
      <c r="LS560" s="9"/>
      <c r="LT560" s="9"/>
      <c r="LU560" s="9"/>
      <c r="LV560" s="9"/>
      <c r="LW560" s="9"/>
      <c r="LX560" s="9"/>
      <c r="LY560" s="9"/>
      <c r="LZ560" s="9"/>
      <c r="MA560" s="9"/>
      <c r="MB560" s="9"/>
      <c r="MC560" s="9"/>
      <c r="MD560" s="9"/>
      <c r="ME560" s="9"/>
      <c r="MF560" s="9"/>
      <c r="MG560" s="9"/>
      <c r="MH560" s="9"/>
      <c r="MI560" s="9"/>
      <c r="MJ560" s="9"/>
      <c r="MK560" s="9"/>
      <c r="ML560" s="9"/>
      <c r="MM560" s="9"/>
      <c r="MN560" s="9"/>
      <c r="MO560" s="9"/>
      <c r="MP560" s="9"/>
      <c r="MQ560" s="9"/>
      <c r="MR560" s="9"/>
      <c r="MS560" s="9"/>
      <c r="MT560" s="9"/>
      <c r="MU560" s="9"/>
      <c r="MV560" s="9"/>
      <c r="MW560" s="9"/>
      <c r="MX560" s="9"/>
      <c r="MY560" s="9"/>
      <c r="MZ560" s="9"/>
      <c r="NA560" s="9"/>
      <c r="NB560" s="9"/>
      <c r="NC560" s="9"/>
      <c r="ND560" s="9"/>
      <c r="NE560" s="9"/>
      <c r="NF560" s="9"/>
      <c r="NG560" s="9"/>
      <c r="NH560" s="9"/>
      <c r="NI560" s="9"/>
      <c r="NJ560" s="9"/>
      <c r="NK560" s="9"/>
      <c r="NL560" s="9"/>
      <c r="NM560" s="9"/>
      <c r="NN560" s="9"/>
      <c r="NO560" s="9"/>
      <c r="NP560" s="9"/>
      <c r="NQ560" s="9"/>
      <c r="NR560" s="9"/>
      <c r="NS560" s="9"/>
      <c r="NT560" s="9"/>
      <c r="NU560" s="9"/>
      <c r="NV560" s="9"/>
      <c r="NW560" s="9"/>
      <c r="NX560" s="9"/>
      <c r="NY560" s="9"/>
      <c r="NZ560" s="9"/>
      <c r="OA560" s="9"/>
      <c r="OB560" s="9"/>
      <c r="OC560" s="9"/>
      <c r="OD560" s="9"/>
      <c r="OE560" s="9"/>
      <c r="OF560" s="9"/>
      <c r="OG560" s="9"/>
      <c r="OH560" s="9"/>
      <c r="OI560" s="9"/>
      <c r="OJ560" s="9"/>
      <c r="OK560" s="9"/>
      <c r="OL560" s="9"/>
      <c r="OM560" s="9"/>
      <c r="ON560" s="9"/>
      <c r="OO560" s="9"/>
      <c r="OP560" s="9"/>
      <c r="OQ560" s="9"/>
      <c r="OR560" s="9"/>
      <c r="OS560" s="9"/>
      <c r="OT560" s="9"/>
      <c r="OU560" s="9"/>
      <c r="OV560" s="9"/>
      <c r="OW560" s="9"/>
      <c r="OX560" s="9"/>
      <c r="OY560" s="9"/>
      <c r="OZ560" s="9"/>
      <c r="PA560" s="9"/>
      <c r="PB560" s="9"/>
      <c r="PC560" s="9"/>
      <c r="PD560" s="9"/>
      <c r="PE560" s="9"/>
      <c r="PF560" s="9"/>
      <c r="PG560" s="9"/>
      <c r="PH560" s="9"/>
      <c r="PI560" s="9"/>
      <c r="PJ560" s="9"/>
      <c r="PK560" s="9"/>
      <c r="PL560" s="9"/>
      <c r="PM560" s="9"/>
      <c r="PN560" s="9"/>
      <c r="PO560" s="9"/>
      <c r="PP560" s="9"/>
      <c r="PQ560" s="9"/>
      <c r="PR560" s="9"/>
      <c r="PS560" s="9"/>
      <c r="PT560" s="9"/>
      <c r="PU560" s="9"/>
      <c r="PV560" s="9"/>
      <c r="PW560" s="9"/>
      <c r="PX560" s="9"/>
      <c r="PY560" s="9"/>
      <c r="PZ560" s="9"/>
      <c r="QA560" s="9"/>
      <c r="QB560" s="9"/>
      <c r="QC560" s="9"/>
      <c r="QD560" s="9"/>
      <c r="QE560" s="9"/>
      <c r="QF560" s="9"/>
      <c r="QG560" s="9"/>
      <c r="QH560" s="9"/>
      <c r="QI560" s="9"/>
      <c r="QJ560" s="9"/>
      <c r="QK560" s="9"/>
      <c r="QL560" s="9"/>
      <c r="QM560" s="9"/>
      <c r="QN560" s="9"/>
      <c r="QO560" s="9"/>
      <c r="QP560" s="9"/>
      <c r="QQ560" s="9"/>
      <c r="QR560" s="9"/>
      <c r="QS560" s="9"/>
      <c r="QT560" s="9"/>
      <c r="QU560" s="9"/>
      <c r="QV560" s="9"/>
      <c r="QW560" s="9"/>
      <c r="QX560" s="9"/>
      <c r="QY560" s="9"/>
      <c r="QZ560" s="9"/>
      <c r="RA560" s="9"/>
      <c r="RB560" s="9"/>
      <c r="RC560" s="9"/>
      <c r="RD560" s="9"/>
      <c r="RE560" s="9"/>
      <c r="RF560" s="9"/>
      <c r="RG560" s="9"/>
      <c r="RH560" s="9"/>
      <c r="RI560" s="9"/>
      <c r="RJ560" s="9"/>
      <c r="RK560" s="9"/>
      <c r="RL560" s="9"/>
      <c r="RM560" s="9"/>
      <c r="RN560" s="9"/>
      <c r="RO560" s="9"/>
      <c r="RP560" s="9"/>
      <c r="RQ560" s="9"/>
      <c r="RR560" s="9"/>
      <c r="RS560" s="9"/>
      <c r="RT560" s="9"/>
      <c r="RU560" s="9"/>
      <c r="RV560" s="9"/>
      <c r="RW560" s="9"/>
      <c r="RX560" s="9"/>
      <c r="RY560" s="9"/>
      <c r="RZ560" s="9"/>
      <c r="SA560" s="9"/>
      <c r="SB560" s="9"/>
      <c r="SC560" s="9"/>
      <c r="SD560" s="9"/>
      <c r="SE560" s="9"/>
      <c r="SF560" s="9"/>
      <c r="SG560" s="9"/>
      <c r="SH560" s="9"/>
      <c r="SI560" s="9"/>
      <c r="SJ560" s="9"/>
      <c r="SK560" s="9"/>
      <c r="SL560" s="9"/>
      <c r="SM560" s="9"/>
      <c r="SN560" s="9"/>
      <c r="SO560" s="9"/>
      <c r="SP560" s="9"/>
      <c r="SQ560" s="9"/>
      <c r="SR560" s="9"/>
      <c r="SS560" s="9"/>
      <c r="ST560" s="9"/>
      <c r="SU560" s="9"/>
      <c r="SV560" s="9"/>
      <c r="SW560" s="9"/>
      <c r="SX560" s="9"/>
      <c r="SY560" s="9"/>
      <c r="SZ560" s="9"/>
      <c r="TA560" s="9"/>
      <c r="TB560" s="9"/>
      <c r="TC560" s="9"/>
      <c r="TD560" s="9"/>
      <c r="TE560" s="9"/>
      <c r="TF560" s="9"/>
      <c r="TG560" s="9"/>
      <c r="TH560" s="9"/>
      <c r="TI560" s="9"/>
      <c r="TJ560" s="9"/>
      <c r="TK560" s="9"/>
      <c r="TL560" s="9"/>
      <c r="TM560" s="9"/>
      <c r="TN560" s="9"/>
      <c r="TO560" s="9"/>
      <c r="TP560" s="9"/>
      <c r="TQ560" s="9"/>
      <c r="TR560" s="9"/>
      <c r="TS560" s="9"/>
      <c r="TT560" s="9"/>
      <c r="TU560" s="9"/>
      <c r="TV560" s="9"/>
      <c r="TW560" s="9"/>
      <c r="TX560" s="9"/>
      <c r="TY560" s="9"/>
      <c r="TZ560" s="9"/>
      <c r="UA560" s="9"/>
      <c r="UB560" s="9"/>
      <c r="UC560" s="9"/>
      <c r="UD560" s="9"/>
      <c r="UE560" s="9"/>
      <c r="UF560" s="9"/>
      <c r="UG560" s="9"/>
      <c r="UH560" s="9"/>
      <c r="UI560" s="9"/>
      <c r="UJ560" s="9"/>
    </row>
    <row r="561">
      <c r="A561" s="8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  <c r="IC561" s="9"/>
      <c r="ID561" s="9"/>
      <c r="IE561" s="9"/>
      <c r="IF561" s="9"/>
      <c r="IG561" s="9"/>
      <c r="IH561" s="9"/>
      <c r="II561" s="9"/>
      <c r="IJ561" s="9"/>
      <c r="IK561" s="9"/>
      <c r="IL561" s="9"/>
      <c r="IM561" s="9"/>
      <c r="IN561" s="9"/>
      <c r="IO561" s="9"/>
      <c r="IP561" s="9"/>
      <c r="IQ561" s="9"/>
      <c r="IR561" s="9"/>
      <c r="IS561" s="9"/>
      <c r="IT561" s="9"/>
      <c r="IU561" s="9"/>
      <c r="IV561" s="9"/>
      <c r="IW561" s="9"/>
      <c r="IX561" s="9"/>
      <c r="IY561" s="9"/>
      <c r="IZ561" s="9"/>
      <c r="JA561" s="9"/>
      <c r="JB561" s="9"/>
      <c r="JC561" s="9"/>
      <c r="JD561" s="9"/>
      <c r="JE561" s="9"/>
      <c r="JF561" s="9"/>
      <c r="JG561" s="9"/>
      <c r="JH561" s="9"/>
      <c r="JI561" s="9"/>
      <c r="JJ561" s="9"/>
      <c r="JK561" s="9"/>
      <c r="JL561" s="9"/>
      <c r="JM561" s="9"/>
      <c r="JN561" s="9"/>
      <c r="JO561" s="9"/>
      <c r="JP561" s="9"/>
      <c r="JQ561" s="9"/>
      <c r="JR561" s="9"/>
      <c r="JS561" s="9"/>
      <c r="JT561" s="9"/>
      <c r="JU561" s="9"/>
      <c r="JV561" s="9"/>
      <c r="JW561" s="9"/>
      <c r="JX561" s="9"/>
      <c r="JY561" s="9"/>
      <c r="JZ561" s="9"/>
      <c r="KA561" s="9"/>
      <c r="KB561" s="9"/>
      <c r="KC561" s="9"/>
      <c r="KD561" s="9"/>
      <c r="KE561" s="9"/>
      <c r="KF561" s="9"/>
      <c r="KG561" s="9"/>
      <c r="KH561" s="9"/>
      <c r="KI561" s="9"/>
      <c r="KJ561" s="9"/>
      <c r="KK561" s="9"/>
      <c r="KL561" s="9"/>
      <c r="KM561" s="9"/>
      <c r="KN561" s="9"/>
      <c r="KO561" s="9"/>
      <c r="KP561" s="9"/>
      <c r="KQ561" s="9"/>
      <c r="KR561" s="9"/>
      <c r="KS561" s="9"/>
      <c r="KT561" s="9"/>
      <c r="KU561" s="9"/>
      <c r="KV561" s="9"/>
      <c r="KW561" s="9"/>
      <c r="KX561" s="9"/>
      <c r="KY561" s="9"/>
      <c r="KZ561" s="9"/>
      <c r="LA561" s="9"/>
      <c r="LB561" s="9"/>
      <c r="LC561" s="9"/>
      <c r="LD561" s="9"/>
      <c r="LE561" s="9"/>
      <c r="LF561" s="9"/>
      <c r="LG561" s="9"/>
      <c r="LH561" s="9"/>
      <c r="LI561" s="9"/>
      <c r="LJ561" s="9"/>
      <c r="LK561" s="9"/>
      <c r="LL561" s="9"/>
      <c r="LM561" s="9"/>
      <c r="LN561" s="9"/>
      <c r="LO561" s="9"/>
      <c r="LP561" s="9"/>
      <c r="LQ561" s="9"/>
      <c r="LR561" s="9"/>
      <c r="LS561" s="9"/>
      <c r="LT561" s="9"/>
      <c r="LU561" s="9"/>
      <c r="LV561" s="9"/>
      <c r="LW561" s="9"/>
      <c r="LX561" s="9"/>
      <c r="LY561" s="9"/>
      <c r="LZ561" s="9"/>
      <c r="MA561" s="9"/>
      <c r="MB561" s="9"/>
      <c r="MC561" s="9"/>
      <c r="MD561" s="9"/>
      <c r="ME561" s="9"/>
      <c r="MF561" s="9"/>
      <c r="MG561" s="9"/>
      <c r="MH561" s="9"/>
      <c r="MI561" s="9"/>
      <c r="MJ561" s="9"/>
      <c r="MK561" s="9"/>
      <c r="ML561" s="9"/>
      <c r="MM561" s="9"/>
      <c r="MN561" s="9"/>
      <c r="MO561" s="9"/>
      <c r="MP561" s="9"/>
      <c r="MQ561" s="9"/>
      <c r="MR561" s="9"/>
      <c r="MS561" s="9"/>
      <c r="MT561" s="9"/>
      <c r="MU561" s="9"/>
      <c r="MV561" s="9"/>
      <c r="MW561" s="9"/>
      <c r="MX561" s="9"/>
      <c r="MY561" s="9"/>
      <c r="MZ561" s="9"/>
      <c r="NA561" s="9"/>
      <c r="NB561" s="9"/>
      <c r="NC561" s="9"/>
      <c r="ND561" s="9"/>
      <c r="NE561" s="9"/>
      <c r="NF561" s="9"/>
      <c r="NG561" s="9"/>
      <c r="NH561" s="9"/>
      <c r="NI561" s="9"/>
      <c r="NJ561" s="9"/>
      <c r="NK561" s="9"/>
      <c r="NL561" s="9"/>
      <c r="NM561" s="9"/>
      <c r="NN561" s="9"/>
      <c r="NO561" s="9"/>
      <c r="NP561" s="9"/>
      <c r="NQ561" s="9"/>
      <c r="NR561" s="9"/>
      <c r="NS561" s="9"/>
      <c r="NT561" s="9"/>
      <c r="NU561" s="9"/>
      <c r="NV561" s="9"/>
      <c r="NW561" s="9"/>
      <c r="NX561" s="9"/>
      <c r="NY561" s="9"/>
      <c r="NZ561" s="9"/>
      <c r="OA561" s="9"/>
      <c r="OB561" s="9"/>
      <c r="OC561" s="9"/>
      <c r="OD561" s="9"/>
      <c r="OE561" s="9"/>
      <c r="OF561" s="9"/>
      <c r="OG561" s="9"/>
      <c r="OH561" s="9"/>
      <c r="OI561" s="9"/>
      <c r="OJ561" s="9"/>
      <c r="OK561" s="9"/>
      <c r="OL561" s="9"/>
      <c r="OM561" s="9"/>
      <c r="ON561" s="9"/>
      <c r="OO561" s="9"/>
      <c r="OP561" s="9"/>
      <c r="OQ561" s="9"/>
      <c r="OR561" s="9"/>
      <c r="OS561" s="9"/>
      <c r="OT561" s="9"/>
      <c r="OU561" s="9"/>
      <c r="OV561" s="9"/>
      <c r="OW561" s="9"/>
      <c r="OX561" s="9"/>
      <c r="OY561" s="9"/>
      <c r="OZ561" s="9"/>
      <c r="PA561" s="9"/>
      <c r="PB561" s="9"/>
      <c r="PC561" s="9"/>
      <c r="PD561" s="9"/>
      <c r="PE561" s="9"/>
      <c r="PF561" s="9"/>
      <c r="PG561" s="9"/>
      <c r="PH561" s="9"/>
      <c r="PI561" s="9"/>
      <c r="PJ561" s="9"/>
      <c r="PK561" s="9"/>
      <c r="PL561" s="9"/>
      <c r="PM561" s="9"/>
      <c r="PN561" s="9"/>
      <c r="PO561" s="9"/>
      <c r="PP561" s="9"/>
      <c r="PQ561" s="9"/>
      <c r="PR561" s="9"/>
      <c r="PS561" s="9"/>
      <c r="PT561" s="9"/>
      <c r="PU561" s="9"/>
      <c r="PV561" s="9"/>
      <c r="PW561" s="9"/>
      <c r="PX561" s="9"/>
      <c r="PY561" s="9"/>
      <c r="PZ561" s="9"/>
      <c r="QA561" s="9"/>
      <c r="QB561" s="9"/>
      <c r="QC561" s="9"/>
      <c r="QD561" s="9"/>
      <c r="QE561" s="9"/>
      <c r="QF561" s="9"/>
      <c r="QG561" s="9"/>
      <c r="QH561" s="9"/>
      <c r="QI561" s="9"/>
      <c r="QJ561" s="9"/>
      <c r="QK561" s="9"/>
      <c r="QL561" s="9"/>
      <c r="QM561" s="9"/>
      <c r="QN561" s="9"/>
      <c r="QO561" s="9"/>
      <c r="QP561" s="9"/>
      <c r="QQ561" s="9"/>
      <c r="QR561" s="9"/>
      <c r="QS561" s="9"/>
      <c r="QT561" s="9"/>
      <c r="QU561" s="9"/>
      <c r="QV561" s="9"/>
      <c r="QW561" s="9"/>
      <c r="QX561" s="9"/>
      <c r="QY561" s="9"/>
      <c r="QZ561" s="9"/>
      <c r="RA561" s="9"/>
      <c r="RB561" s="9"/>
      <c r="RC561" s="9"/>
      <c r="RD561" s="9"/>
      <c r="RE561" s="9"/>
      <c r="RF561" s="9"/>
      <c r="RG561" s="9"/>
      <c r="RH561" s="9"/>
      <c r="RI561" s="9"/>
      <c r="RJ561" s="9"/>
      <c r="RK561" s="9"/>
      <c r="RL561" s="9"/>
      <c r="RM561" s="9"/>
      <c r="RN561" s="9"/>
      <c r="RO561" s="9"/>
      <c r="RP561" s="9"/>
      <c r="RQ561" s="9"/>
      <c r="RR561" s="9"/>
      <c r="RS561" s="9"/>
      <c r="RT561" s="9"/>
      <c r="RU561" s="9"/>
      <c r="RV561" s="9"/>
      <c r="RW561" s="9"/>
      <c r="RX561" s="9"/>
      <c r="RY561" s="9"/>
      <c r="RZ561" s="9"/>
      <c r="SA561" s="9"/>
      <c r="SB561" s="9"/>
      <c r="SC561" s="9"/>
      <c r="SD561" s="9"/>
      <c r="SE561" s="9"/>
      <c r="SF561" s="9"/>
      <c r="SG561" s="9"/>
      <c r="SH561" s="9"/>
      <c r="SI561" s="9"/>
      <c r="SJ561" s="9"/>
      <c r="SK561" s="9"/>
      <c r="SL561" s="9"/>
      <c r="SM561" s="9"/>
      <c r="SN561" s="9"/>
      <c r="SO561" s="9"/>
      <c r="SP561" s="9"/>
      <c r="SQ561" s="9"/>
      <c r="SR561" s="9"/>
      <c r="SS561" s="9"/>
      <c r="ST561" s="9"/>
      <c r="SU561" s="9"/>
      <c r="SV561" s="9"/>
      <c r="SW561" s="9"/>
      <c r="SX561" s="9"/>
      <c r="SY561" s="9"/>
      <c r="SZ561" s="9"/>
      <c r="TA561" s="9"/>
      <c r="TB561" s="9"/>
      <c r="TC561" s="9"/>
      <c r="TD561" s="9"/>
      <c r="TE561" s="9"/>
      <c r="TF561" s="9"/>
      <c r="TG561" s="9"/>
      <c r="TH561" s="9"/>
      <c r="TI561" s="9"/>
      <c r="TJ561" s="9"/>
      <c r="TK561" s="9"/>
      <c r="TL561" s="9"/>
      <c r="TM561" s="9"/>
      <c r="TN561" s="9"/>
      <c r="TO561" s="9"/>
      <c r="TP561" s="9"/>
      <c r="TQ561" s="9"/>
      <c r="TR561" s="9"/>
      <c r="TS561" s="9"/>
      <c r="TT561" s="9"/>
      <c r="TU561" s="9"/>
      <c r="TV561" s="9"/>
      <c r="TW561" s="9"/>
      <c r="TX561" s="9"/>
      <c r="TY561" s="9"/>
      <c r="TZ561" s="9"/>
      <c r="UA561" s="9"/>
      <c r="UB561" s="9"/>
      <c r="UC561" s="9"/>
      <c r="UD561" s="9"/>
      <c r="UE561" s="9"/>
      <c r="UF561" s="9"/>
      <c r="UG561" s="9"/>
      <c r="UH561" s="9"/>
      <c r="UI561" s="9"/>
      <c r="UJ561" s="9"/>
    </row>
    <row r="562">
      <c r="A562" s="8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</row>
    <row r="563">
      <c r="A563" s="8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  <c r="IN563" s="9"/>
      <c r="IO563" s="9"/>
      <c r="IP563" s="9"/>
      <c r="IQ563" s="9"/>
      <c r="IR563" s="9"/>
      <c r="IS563" s="9"/>
      <c r="IT563" s="9"/>
      <c r="IU563" s="9"/>
      <c r="IV563" s="9"/>
      <c r="IW563" s="9"/>
      <c r="IX563" s="9"/>
      <c r="IY563" s="9"/>
      <c r="IZ563" s="9"/>
      <c r="JA563" s="9"/>
      <c r="JB563" s="9"/>
      <c r="JC563" s="9"/>
      <c r="JD563" s="9"/>
      <c r="JE563" s="9"/>
      <c r="JF563" s="9"/>
      <c r="JG563" s="9"/>
      <c r="JH563" s="9"/>
      <c r="JI563" s="9"/>
      <c r="JJ563" s="9"/>
      <c r="JK563" s="9"/>
      <c r="JL563" s="9"/>
      <c r="JM563" s="9"/>
      <c r="JN563" s="9"/>
      <c r="JO563" s="9"/>
      <c r="JP563" s="9"/>
      <c r="JQ563" s="9"/>
      <c r="JR563" s="9"/>
      <c r="JS563" s="9"/>
      <c r="JT563" s="9"/>
      <c r="JU563" s="9"/>
      <c r="JV563" s="9"/>
      <c r="JW563" s="9"/>
      <c r="JX563" s="9"/>
      <c r="JY563" s="9"/>
      <c r="JZ563" s="9"/>
      <c r="KA563" s="9"/>
      <c r="KB563" s="9"/>
      <c r="KC563" s="9"/>
      <c r="KD563" s="9"/>
      <c r="KE563" s="9"/>
      <c r="KF563" s="9"/>
      <c r="KG563" s="9"/>
      <c r="KH563" s="9"/>
      <c r="KI563" s="9"/>
      <c r="KJ563" s="9"/>
      <c r="KK563" s="9"/>
      <c r="KL563" s="9"/>
      <c r="KM563" s="9"/>
      <c r="KN563" s="9"/>
      <c r="KO563" s="9"/>
      <c r="KP563" s="9"/>
      <c r="KQ563" s="9"/>
      <c r="KR563" s="9"/>
      <c r="KS563" s="9"/>
      <c r="KT563" s="9"/>
      <c r="KU563" s="9"/>
      <c r="KV563" s="9"/>
      <c r="KW563" s="9"/>
      <c r="KX563" s="9"/>
      <c r="KY563" s="9"/>
      <c r="KZ563" s="9"/>
      <c r="LA563" s="9"/>
      <c r="LB563" s="9"/>
      <c r="LC563" s="9"/>
      <c r="LD563" s="9"/>
      <c r="LE563" s="9"/>
      <c r="LF563" s="9"/>
      <c r="LG563" s="9"/>
      <c r="LH563" s="9"/>
      <c r="LI563" s="9"/>
      <c r="LJ563" s="9"/>
      <c r="LK563" s="9"/>
      <c r="LL563" s="9"/>
      <c r="LM563" s="9"/>
      <c r="LN563" s="9"/>
      <c r="LO563" s="9"/>
      <c r="LP563" s="9"/>
      <c r="LQ563" s="9"/>
      <c r="LR563" s="9"/>
      <c r="LS563" s="9"/>
      <c r="LT563" s="9"/>
      <c r="LU563" s="9"/>
      <c r="LV563" s="9"/>
      <c r="LW563" s="9"/>
      <c r="LX563" s="9"/>
      <c r="LY563" s="9"/>
      <c r="LZ563" s="9"/>
      <c r="MA563" s="9"/>
      <c r="MB563" s="9"/>
      <c r="MC563" s="9"/>
      <c r="MD563" s="9"/>
      <c r="ME563" s="9"/>
      <c r="MF563" s="9"/>
      <c r="MG563" s="9"/>
      <c r="MH563" s="9"/>
      <c r="MI563" s="9"/>
      <c r="MJ563" s="9"/>
      <c r="MK563" s="9"/>
      <c r="ML563" s="9"/>
      <c r="MM563" s="9"/>
      <c r="MN563" s="9"/>
      <c r="MO563" s="9"/>
      <c r="MP563" s="9"/>
      <c r="MQ563" s="9"/>
      <c r="MR563" s="9"/>
      <c r="MS563" s="9"/>
      <c r="MT563" s="9"/>
      <c r="MU563" s="9"/>
      <c r="MV563" s="9"/>
      <c r="MW563" s="9"/>
      <c r="MX563" s="9"/>
      <c r="MY563" s="9"/>
      <c r="MZ563" s="9"/>
      <c r="NA563" s="9"/>
      <c r="NB563" s="9"/>
      <c r="NC563" s="9"/>
      <c r="ND563" s="9"/>
      <c r="NE563" s="9"/>
      <c r="NF563" s="9"/>
      <c r="NG563" s="9"/>
      <c r="NH563" s="9"/>
      <c r="NI563" s="9"/>
      <c r="NJ563" s="9"/>
      <c r="NK563" s="9"/>
      <c r="NL563" s="9"/>
      <c r="NM563" s="9"/>
      <c r="NN563" s="9"/>
      <c r="NO563" s="9"/>
      <c r="NP563" s="9"/>
      <c r="NQ563" s="9"/>
      <c r="NR563" s="9"/>
      <c r="NS563" s="9"/>
      <c r="NT563" s="9"/>
      <c r="NU563" s="9"/>
      <c r="NV563" s="9"/>
      <c r="NW563" s="9"/>
      <c r="NX563" s="9"/>
      <c r="NY563" s="9"/>
      <c r="NZ563" s="9"/>
      <c r="OA563" s="9"/>
      <c r="OB563" s="9"/>
      <c r="OC563" s="9"/>
      <c r="OD563" s="9"/>
      <c r="OE563" s="9"/>
      <c r="OF563" s="9"/>
      <c r="OG563" s="9"/>
      <c r="OH563" s="9"/>
      <c r="OI563" s="9"/>
      <c r="OJ563" s="9"/>
      <c r="OK563" s="9"/>
      <c r="OL563" s="9"/>
      <c r="OM563" s="9"/>
      <c r="ON563" s="9"/>
      <c r="OO563" s="9"/>
      <c r="OP563" s="9"/>
      <c r="OQ563" s="9"/>
      <c r="OR563" s="9"/>
      <c r="OS563" s="9"/>
      <c r="OT563" s="9"/>
      <c r="OU563" s="9"/>
      <c r="OV563" s="9"/>
      <c r="OW563" s="9"/>
      <c r="OX563" s="9"/>
      <c r="OY563" s="9"/>
      <c r="OZ563" s="9"/>
      <c r="PA563" s="9"/>
      <c r="PB563" s="9"/>
      <c r="PC563" s="9"/>
      <c r="PD563" s="9"/>
      <c r="PE563" s="9"/>
      <c r="PF563" s="9"/>
      <c r="PG563" s="9"/>
      <c r="PH563" s="9"/>
      <c r="PI563" s="9"/>
      <c r="PJ563" s="9"/>
      <c r="PK563" s="9"/>
      <c r="PL563" s="9"/>
      <c r="PM563" s="9"/>
      <c r="PN563" s="9"/>
      <c r="PO563" s="9"/>
      <c r="PP563" s="9"/>
      <c r="PQ563" s="9"/>
      <c r="PR563" s="9"/>
      <c r="PS563" s="9"/>
      <c r="PT563" s="9"/>
      <c r="PU563" s="9"/>
      <c r="PV563" s="9"/>
      <c r="PW563" s="9"/>
      <c r="PX563" s="9"/>
      <c r="PY563" s="9"/>
      <c r="PZ563" s="9"/>
      <c r="QA563" s="9"/>
      <c r="QB563" s="9"/>
      <c r="QC563" s="9"/>
      <c r="QD563" s="9"/>
      <c r="QE563" s="9"/>
      <c r="QF563" s="9"/>
      <c r="QG563" s="9"/>
      <c r="QH563" s="9"/>
      <c r="QI563" s="9"/>
      <c r="QJ563" s="9"/>
      <c r="QK563" s="9"/>
      <c r="QL563" s="9"/>
      <c r="QM563" s="9"/>
      <c r="QN563" s="9"/>
      <c r="QO563" s="9"/>
      <c r="QP563" s="9"/>
      <c r="QQ563" s="9"/>
      <c r="QR563" s="9"/>
      <c r="QS563" s="9"/>
      <c r="QT563" s="9"/>
      <c r="QU563" s="9"/>
      <c r="QV563" s="9"/>
      <c r="QW563" s="9"/>
      <c r="QX563" s="9"/>
      <c r="QY563" s="9"/>
      <c r="QZ563" s="9"/>
      <c r="RA563" s="9"/>
      <c r="RB563" s="9"/>
      <c r="RC563" s="9"/>
      <c r="RD563" s="9"/>
      <c r="RE563" s="9"/>
      <c r="RF563" s="9"/>
      <c r="RG563" s="9"/>
      <c r="RH563" s="9"/>
      <c r="RI563" s="9"/>
      <c r="RJ563" s="9"/>
      <c r="RK563" s="9"/>
      <c r="RL563" s="9"/>
      <c r="RM563" s="9"/>
      <c r="RN563" s="9"/>
      <c r="RO563" s="9"/>
      <c r="RP563" s="9"/>
      <c r="RQ563" s="9"/>
      <c r="RR563" s="9"/>
      <c r="RS563" s="9"/>
      <c r="RT563" s="9"/>
      <c r="RU563" s="9"/>
      <c r="RV563" s="9"/>
      <c r="RW563" s="9"/>
      <c r="RX563" s="9"/>
      <c r="RY563" s="9"/>
      <c r="RZ563" s="9"/>
      <c r="SA563" s="9"/>
      <c r="SB563" s="9"/>
      <c r="SC563" s="9"/>
      <c r="SD563" s="9"/>
      <c r="SE563" s="9"/>
      <c r="SF563" s="9"/>
      <c r="SG563" s="9"/>
      <c r="SH563" s="9"/>
      <c r="SI563" s="9"/>
      <c r="SJ563" s="9"/>
      <c r="SK563" s="9"/>
      <c r="SL563" s="9"/>
      <c r="SM563" s="9"/>
      <c r="SN563" s="9"/>
      <c r="SO563" s="9"/>
      <c r="SP563" s="9"/>
      <c r="SQ563" s="9"/>
      <c r="SR563" s="9"/>
      <c r="SS563" s="9"/>
      <c r="ST563" s="9"/>
      <c r="SU563" s="9"/>
      <c r="SV563" s="9"/>
      <c r="SW563" s="9"/>
      <c r="SX563" s="9"/>
      <c r="SY563" s="9"/>
      <c r="SZ563" s="9"/>
      <c r="TA563" s="9"/>
      <c r="TB563" s="9"/>
      <c r="TC563" s="9"/>
      <c r="TD563" s="9"/>
      <c r="TE563" s="9"/>
      <c r="TF563" s="9"/>
      <c r="TG563" s="9"/>
      <c r="TH563" s="9"/>
      <c r="TI563" s="9"/>
      <c r="TJ563" s="9"/>
      <c r="TK563" s="9"/>
      <c r="TL563" s="9"/>
      <c r="TM563" s="9"/>
      <c r="TN563" s="9"/>
      <c r="TO563" s="9"/>
      <c r="TP563" s="9"/>
      <c r="TQ563" s="9"/>
      <c r="TR563" s="9"/>
      <c r="TS563" s="9"/>
      <c r="TT563" s="9"/>
      <c r="TU563" s="9"/>
      <c r="TV563" s="9"/>
      <c r="TW563" s="9"/>
      <c r="TX563" s="9"/>
      <c r="TY563" s="9"/>
      <c r="TZ563" s="9"/>
      <c r="UA563" s="9"/>
      <c r="UB563" s="9"/>
      <c r="UC563" s="9"/>
      <c r="UD563" s="9"/>
      <c r="UE563" s="9"/>
      <c r="UF563" s="9"/>
      <c r="UG563" s="9"/>
      <c r="UH563" s="9"/>
      <c r="UI563" s="9"/>
      <c r="UJ563" s="9"/>
    </row>
    <row r="564">
      <c r="A564" s="8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9"/>
      <c r="JE564" s="9"/>
      <c r="JF564" s="9"/>
      <c r="JG564" s="9"/>
      <c r="JH564" s="9"/>
      <c r="JI564" s="9"/>
      <c r="JJ564" s="9"/>
      <c r="JK564" s="9"/>
      <c r="JL564" s="9"/>
      <c r="JM564" s="9"/>
      <c r="JN564" s="9"/>
      <c r="JO564" s="9"/>
      <c r="JP564" s="9"/>
      <c r="JQ564" s="9"/>
      <c r="JR564" s="9"/>
      <c r="JS564" s="9"/>
      <c r="JT564" s="9"/>
      <c r="JU564" s="9"/>
      <c r="JV564" s="9"/>
      <c r="JW564" s="9"/>
      <c r="JX564" s="9"/>
      <c r="JY564" s="9"/>
      <c r="JZ564" s="9"/>
      <c r="KA564" s="9"/>
      <c r="KB564" s="9"/>
      <c r="KC564" s="9"/>
      <c r="KD564" s="9"/>
      <c r="KE564" s="9"/>
      <c r="KF564" s="9"/>
      <c r="KG564" s="9"/>
      <c r="KH564" s="9"/>
      <c r="KI564" s="9"/>
      <c r="KJ564" s="9"/>
      <c r="KK564" s="9"/>
      <c r="KL564" s="9"/>
      <c r="KM564" s="9"/>
      <c r="KN564" s="9"/>
      <c r="KO564" s="9"/>
      <c r="KP564" s="9"/>
      <c r="KQ564" s="9"/>
      <c r="KR564" s="9"/>
      <c r="KS564" s="9"/>
      <c r="KT564" s="9"/>
      <c r="KU564" s="9"/>
      <c r="KV564" s="9"/>
      <c r="KW564" s="9"/>
      <c r="KX564" s="9"/>
      <c r="KY564" s="9"/>
      <c r="KZ564" s="9"/>
      <c r="LA564" s="9"/>
      <c r="LB564" s="9"/>
      <c r="LC564" s="9"/>
      <c r="LD564" s="9"/>
      <c r="LE564" s="9"/>
      <c r="LF564" s="9"/>
      <c r="LG564" s="9"/>
      <c r="LH564" s="9"/>
      <c r="LI564" s="9"/>
      <c r="LJ564" s="9"/>
      <c r="LK564" s="9"/>
      <c r="LL564" s="9"/>
      <c r="LM564" s="9"/>
      <c r="LN564" s="9"/>
      <c r="LO564" s="9"/>
      <c r="LP564" s="9"/>
      <c r="LQ564" s="9"/>
      <c r="LR564" s="9"/>
      <c r="LS564" s="9"/>
      <c r="LT564" s="9"/>
      <c r="LU564" s="9"/>
      <c r="LV564" s="9"/>
      <c r="LW564" s="9"/>
      <c r="LX564" s="9"/>
      <c r="LY564" s="9"/>
      <c r="LZ564" s="9"/>
      <c r="MA564" s="9"/>
      <c r="MB564" s="9"/>
      <c r="MC564" s="9"/>
      <c r="MD564" s="9"/>
      <c r="ME564" s="9"/>
      <c r="MF564" s="9"/>
      <c r="MG564" s="9"/>
      <c r="MH564" s="9"/>
      <c r="MI564" s="9"/>
      <c r="MJ564" s="9"/>
      <c r="MK564" s="9"/>
      <c r="ML564" s="9"/>
      <c r="MM564" s="9"/>
      <c r="MN564" s="9"/>
      <c r="MO564" s="9"/>
      <c r="MP564" s="9"/>
      <c r="MQ564" s="9"/>
      <c r="MR564" s="9"/>
      <c r="MS564" s="9"/>
      <c r="MT564" s="9"/>
      <c r="MU564" s="9"/>
      <c r="MV564" s="9"/>
      <c r="MW564" s="9"/>
      <c r="MX564" s="9"/>
      <c r="MY564" s="9"/>
      <c r="MZ564" s="9"/>
      <c r="NA564" s="9"/>
      <c r="NB564" s="9"/>
      <c r="NC564" s="9"/>
      <c r="ND564" s="9"/>
      <c r="NE564" s="9"/>
      <c r="NF564" s="9"/>
      <c r="NG564" s="9"/>
      <c r="NH564" s="9"/>
      <c r="NI564" s="9"/>
      <c r="NJ564" s="9"/>
      <c r="NK564" s="9"/>
      <c r="NL564" s="9"/>
      <c r="NM564" s="9"/>
      <c r="NN564" s="9"/>
      <c r="NO564" s="9"/>
      <c r="NP564" s="9"/>
      <c r="NQ564" s="9"/>
      <c r="NR564" s="9"/>
      <c r="NS564" s="9"/>
      <c r="NT564" s="9"/>
      <c r="NU564" s="9"/>
      <c r="NV564" s="9"/>
      <c r="NW564" s="9"/>
      <c r="NX564" s="9"/>
      <c r="NY564" s="9"/>
      <c r="NZ564" s="9"/>
      <c r="OA564" s="9"/>
      <c r="OB564" s="9"/>
      <c r="OC564" s="9"/>
      <c r="OD564" s="9"/>
      <c r="OE564" s="9"/>
      <c r="OF564" s="9"/>
      <c r="OG564" s="9"/>
      <c r="OH564" s="9"/>
      <c r="OI564" s="9"/>
      <c r="OJ564" s="9"/>
      <c r="OK564" s="9"/>
      <c r="OL564" s="9"/>
      <c r="OM564" s="9"/>
      <c r="ON564" s="9"/>
      <c r="OO564" s="9"/>
      <c r="OP564" s="9"/>
      <c r="OQ564" s="9"/>
      <c r="OR564" s="9"/>
      <c r="OS564" s="9"/>
      <c r="OT564" s="9"/>
      <c r="OU564" s="9"/>
      <c r="OV564" s="9"/>
      <c r="OW564" s="9"/>
      <c r="OX564" s="9"/>
      <c r="OY564" s="9"/>
      <c r="OZ564" s="9"/>
      <c r="PA564" s="9"/>
      <c r="PB564" s="9"/>
      <c r="PC564" s="9"/>
      <c r="PD564" s="9"/>
      <c r="PE564" s="9"/>
      <c r="PF564" s="9"/>
      <c r="PG564" s="9"/>
      <c r="PH564" s="9"/>
      <c r="PI564" s="9"/>
      <c r="PJ564" s="9"/>
      <c r="PK564" s="9"/>
      <c r="PL564" s="9"/>
      <c r="PM564" s="9"/>
      <c r="PN564" s="9"/>
      <c r="PO564" s="9"/>
      <c r="PP564" s="9"/>
      <c r="PQ564" s="9"/>
      <c r="PR564" s="9"/>
      <c r="PS564" s="9"/>
      <c r="PT564" s="9"/>
      <c r="PU564" s="9"/>
      <c r="PV564" s="9"/>
      <c r="PW564" s="9"/>
      <c r="PX564" s="9"/>
      <c r="PY564" s="9"/>
      <c r="PZ564" s="9"/>
      <c r="QA564" s="9"/>
      <c r="QB564" s="9"/>
      <c r="QC564" s="9"/>
      <c r="QD564" s="9"/>
      <c r="QE564" s="9"/>
      <c r="QF564" s="9"/>
      <c r="QG564" s="9"/>
      <c r="QH564" s="9"/>
      <c r="QI564" s="9"/>
      <c r="QJ564" s="9"/>
      <c r="QK564" s="9"/>
      <c r="QL564" s="9"/>
      <c r="QM564" s="9"/>
      <c r="QN564" s="9"/>
      <c r="QO564" s="9"/>
      <c r="QP564" s="9"/>
      <c r="QQ564" s="9"/>
      <c r="QR564" s="9"/>
      <c r="QS564" s="9"/>
      <c r="QT564" s="9"/>
      <c r="QU564" s="9"/>
      <c r="QV564" s="9"/>
      <c r="QW564" s="9"/>
      <c r="QX564" s="9"/>
      <c r="QY564" s="9"/>
      <c r="QZ564" s="9"/>
      <c r="RA564" s="9"/>
      <c r="RB564" s="9"/>
      <c r="RC564" s="9"/>
      <c r="RD564" s="9"/>
      <c r="RE564" s="9"/>
      <c r="RF564" s="9"/>
      <c r="RG564" s="9"/>
      <c r="RH564" s="9"/>
      <c r="RI564" s="9"/>
      <c r="RJ564" s="9"/>
      <c r="RK564" s="9"/>
      <c r="RL564" s="9"/>
      <c r="RM564" s="9"/>
      <c r="RN564" s="9"/>
      <c r="RO564" s="9"/>
      <c r="RP564" s="9"/>
      <c r="RQ564" s="9"/>
      <c r="RR564" s="9"/>
      <c r="RS564" s="9"/>
      <c r="RT564" s="9"/>
      <c r="RU564" s="9"/>
      <c r="RV564" s="9"/>
      <c r="RW564" s="9"/>
      <c r="RX564" s="9"/>
      <c r="RY564" s="9"/>
      <c r="RZ564" s="9"/>
      <c r="SA564" s="9"/>
      <c r="SB564" s="9"/>
      <c r="SC564" s="9"/>
      <c r="SD564" s="9"/>
      <c r="SE564" s="9"/>
      <c r="SF564" s="9"/>
      <c r="SG564" s="9"/>
      <c r="SH564" s="9"/>
      <c r="SI564" s="9"/>
      <c r="SJ564" s="9"/>
      <c r="SK564" s="9"/>
      <c r="SL564" s="9"/>
      <c r="SM564" s="9"/>
      <c r="SN564" s="9"/>
      <c r="SO564" s="9"/>
      <c r="SP564" s="9"/>
      <c r="SQ564" s="9"/>
      <c r="SR564" s="9"/>
      <c r="SS564" s="9"/>
      <c r="ST564" s="9"/>
      <c r="SU564" s="9"/>
      <c r="SV564" s="9"/>
      <c r="SW564" s="9"/>
      <c r="SX564" s="9"/>
      <c r="SY564" s="9"/>
      <c r="SZ564" s="9"/>
      <c r="TA564" s="9"/>
      <c r="TB564" s="9"/>
      <c r="TC564" s="9"/>
      <c r="TD564" s="9"/>
      <c r="TE564" s="9"/>
      <c r="TF564" s="9"/>
      <c r="TG564" s="9"/>
      <c r="TH564" s="9"/>
      <c r="TI564" s="9"/>
      <c r="TJ564" s="9"/>
      <c r="TK564" s="9"/>
      <c r="TL564" s="9"/>
      <c r="TM564" s="9"/>
      <c r="TN564" s="9"/>
      <c r="TO564" s="9"/>
      <c r="TP564" s="9"/>
      <c r="TQ564" s="9"/>
      <c r="TR564" s="9"/>
      <c r="TS564" s="9"/>
      <c r="TT564" s="9"/>
      <c r="TU564" s="9"/>
      <c r="TV564" s="9"/>
      <c r="TW564" s="9"/>
      <c r="TX564" s="9"/>
      <c r="TY564" s="9"/>
      <c r="TZ564" s="9"/>
      <c r="UA564" s="9"/>
      <c r="UB564" s="9"/>
      <c r="UC564" s="9"/>
      <c r="UD564" s="9"/>
      <c r="UE564" s="9"/>
      <c r="UF564" s="9"/>
      <c r="UG564" s="9"/>
      <c r="UH564" s="9"/>
      <c r="UI564" s="9"/>
      <c r="UJ564" s="9"/>
    </row>
    <row r="565">
      <c r="A565" s="8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  <c r="IW565" s="9"/>
      <c r="IX565" s="9"/>
      <c r="IY565" s="9"/>
      <c r="IZ565" s="9"/>
      <c r="JA565" s="9"/>
      <c r="JB565" s="9"/>
      <c r="JC565" s="9"/>
      <c r="JD565" s="9"/>
      <c r="JE565" s="9"/>
      <c r="JF565" s="9"/>
      <c r="JG565" s="9"/>
      <c r="JH565" s="9"/>
      <c r="JI565" s="9"/>
      <c r="JJ565" s="9"/>
      <c r="JK565" s="9"/>
      <c r="JL565" s="9"/>
      <c r="JM565" s="9"/>
      <c r="JN565" s="9"/>
      <c r="JO565" s="9"/>
      <c r="JP565" s="9"/>
      <c r="JQ565" s="9"/>
      <c r="JR565" s="9"/>
      <c r="JS565" s="9"/>
      <c r="JT565" s="9"/>
      <c r="JU565" s="9"/>
      <c r="JV565" s="9"/>
      <c r="JW565" s="9"/>
      <c r="JX565" s="9"/>
      <c r="JY565" s="9"/>
      <c r="JZ565" s="9"/>
      <c r="KA565" s="9"/>
      <c r="KB565" s="9"/>
      <c r="KC565" s="9"/>
      <c r="KD565" s="9"/>
      <c r="KE565" s="9"/>
      <c r="KF565" s="9"/>
      <c r="KG565" s="9"/>
      <c r="KH565" s="9"/>
      <c r="KI565" s="9"/>
      <c r="KJ565" s="9"/>
      <c r="KK565" s="9"/>
      <c r="KL565" s="9"/>
      <c r="KM565" s="9"/>
      <c r="KN565" s="9"/>
      <c r="KO565" s="9"/>
      <c r="KP565" s="9"/>
      <c r="KQ565" s="9"/>
      <c r="KR565" s="9"/>
      <c r="KS565" s="9"/>
      <c r="KT565" s="9"/>
      <c r="KU565" s="9"/>
      <c r="KV565" s="9"/>
      <c r="KW565" s="9"/>
      <c r="KX565" s="9"/>
      <c r="KY565" s="9"/>
      <c r="KZ565" s="9"/>
      <c r="LA565" s="9"/>
      <c r="LB565" s="9"/>
      <c r="LC565" s="9"/>
      <c r="LD565" s="9"/>
      <c r="LE565" s="9"/>
      <c r="LF565" s="9"/>
      <c r="LG565" s="9"/>
      <c r="LH565" s="9"/>
      <c r="LI565" s="9"/>
      <c r="LJ565" s="9"/>
      <c r="LK565" s="9"/>
      <c r="LL565" s="9"/>
      <c r="LM565" s="9"/>
      <c r="LN565" s="9"/>
      <c r="LO565" s="9"/>
      <c r="LP565" s="9"/>
      <c r="LQ565" s="9"/>
      <c r="LR565" s="9"/>
      <c r="LS565" s="9"/>
      <c r="LT565" s="9"/>
      <c r="LU565" s="9"/>
      <c r="LV565" s="9"/>
      <c r="LW565" s="9"/>
      <c r="LX565" s="9"/>
      <c r="LY565" s="9"/>
      <c r="LZ565" s="9"/>
      <c r="MA565" s="9"/>
      <c r="MB565" s="9"/>
      <c r="MC565" s="9"/>
      <c r="MD565" s="9"/>
      <c r="ME565" s="9"/>
      <c r="MF565" s="9"/>
      <c r="MG565" s="9"/>
      <c r="MH565" s="9"/>
      <c r="MI565" s="9"/>
      <c r="MJ565" s="9"/>
      <c r="MK565" s="9"/>
      <c r="ML565" s="9"/>
      <c r="MM565" s="9"/>
      <c r="MN565" s="9"/>
      <c r="MO565" s="9"/>
      <c r="MP565" s="9"/>
      <c r="MQ565" s="9"/>
      <c r="MR565" s="9"/>
      <c r="MS565" s="9"/>
      <c r="MT565" s="9"/>
      <c r="MU565" s="9"/>
      <c r="MV565" s="9"/>
      <c r="MW565" s="9"/>
      <c r="MX565" s="9"/>
      <c r="MY565" s="9"/>
      <c r="MZ565" s="9"/>
      <c r="NA565" s="9"/>
      <c r="NB565" s="9"/>
      <c r="NC565" s="9"/>
      <c r="ND565" s="9"/>
      <c r="NE565" s="9"/>
      <c r="NF565" s="9"/>
      <c r="NG565" s="9"/>
      <c r="NH565" s="9"/>
      <c r="NI565" s="9"/>
      <c r="NJ565" s="9"/>
      <c r="NK565" s="9"/>
      <c r="NL565" s="9"/>
      <c r="NM565" s="9"/>
      <c r="NN565" s="9"/>
      <c r="NO565" s="9"/>
      <c r="NP565" s="9"/>
      <c r="NQ565" s="9"/>
      <c r="NR565" s="9"/>
      <c r="NS565" s="9"/>
      <c r="NT565" s="9"/>
      <c r="NU565" s="9"/>
      <c r="NV565" s="9"/>
      <c r="NW565" s="9"/>
      <c r="NX565" s="9"/>
      <c r="NY565" s="9"/>
      <c r="NZ565" s="9"/>
      <c r="OA565" s="9"/>
      <c r="OB565" s="9"/>
      <c r="OC565" s="9"/>
      <c r="OD565" s="9"/>
      <c r="OE565" s="9"/>
      <c r="OF565" s="9"/>
      <c r="OG565" s="9"/>
      <c r="OH565" s="9"/>
      <c r="OI565" s="9"/>
      <c r="OJ565" s="9"/>
      <c r="OK565" s="9"/>
      <c r="OL565" s="9"/>
      <c r="OM565" s="9"/>
      <c r="ON565" s="9"/>
      <c r="OO565" s="9"/>
      <c r="OP565" s="9"/>
      <c r="OQ565" s="9"/>
      <c r="OR565" s="9"/>
      <c r="OS565" s="9"/>
      <c r="OT565" s="9"/>
      <c r="OU565" s="9"/>
      <c r="OV565" s="9"/>
      <c r="OW565" s="9"/>
      <c r="OX565" s="9"/>
      <c r="OY565" s="9"/>
      <c r="OZ565" s="9"/>
      <c r="PA565" s="9"/>
      <c r="PB565" s="9"/>
      <c r="PC565" s="9"/>
      <c r="PD565" s="9"/>
      <c r="PE565" s="9"/>
      <c r="PF565" s="9"/>
      <c r="PG565" s="9"/>
      <c r="PH565" s="9"/>
      <c r="PI565" s="9"/>
      <c r="PJ565" s="9"/>
      <c r="PK565" s="9"/>
      <c r="PL565" s="9"/>
      <c r="PM565" s="9"/>
      <c r="PN565" s="9"/>
      <c r="PO565" s="9"/>
      <c r="PP565" s="9"/>
      <c r="PQ565" s="9"/>
      <c r="PR565" s="9"/>
      <c r="PS565" s="9"/>
      <c r="PT565" s="9"/>
      <c r="PU565" s="9"/>
      <c r="PV565" s="9"/>
      <c r="PW565" s="9"/>
      <c r="PX565" s="9"/>
      <c r="PY565" s="9"/>
      <c r="PZ565" s="9"/>
      <c r="QA565" s="9"/>
      <c r="QB565" s="9"/>
      <c r="QC565" s="9"/>
      <c r="QD565" s="9"/>
      <c r="QE565" s="9"/>
      <c r="QF565" s="9"/>
      <c r="QG565" s="9"/>
      <c r="QH565" s="9"/>
      <c r="QI565" s="9"/>
      <c r="QJ565" s="9"/>
      <c r="QK565" s="9"/>
      <c r="QL565" s="9"/>
      <c r="QM565" s="9"/>
      <c r="QN565" s="9"/>
      <c r="QO565" s="9"/>
      <c r="QP565" s="9"/>
      <c r="QQ565" s="9"/>
      <c r="QR565" s="9"/>
      <c r="QS565" s="9"/>
      <c r="QT565" s="9"/>
      <c r="QU565" s="9"/>
      <c r="QV565" s="9"/>
      <c r="QW565" s="9"/>
      <c r="QX565" s="9"/>
      <c r="QY565" s="9"/>
      <c r="QZ565" s="9"/>
      <c r="RA565" s="9"/>
      <c r="RB565" s="9"/>
      <c r="RC565" s="9"/>
      <c r="RD565" s="9"/>
      <c r="RE565" s="9"/>
      <c r="RF565" s="9"/>
      <c r="RG565" s="9"/>
      <c r="RH565" s="9"/>
      <c r="RI565" s="9"/>
      <c r="RJ565" s="9"/>
      <c r="RK565" s="9"/>
      <c r="RL565" s="9"/>
      <c r="RM565" s="9"/>
      <c r="RN565" s="9"/>
      <c r="RO565" s="9"/>
      <c r="RP565" s="9"/>
      <c r="RQ565" s="9"/>
      <c r="RR565" s="9"/>
      <c r="RS565" s="9"/>
      <c r="RT565" s="9"/>
      <c r="RU565" s="9"/>
      <c r="RV565" s="9"/>
      <c r="RW565" s="9"/>
      <c r="RX565" s="9"/>
      <c r="RY565" s="9"/>
      <c r="RZ565" s="9"/>
      <c r="SA565" s="9"/>
      <c r="SB565" s="9"/>
      <c r="SC565" s="9"/>
      <c r="SD565" s="9"/>
      <c r="SE565" s="9"/>
      <c r="SF565" s="9"/>
      <c r="SG565" s="9"/>
      <c r="SH565" s="9"/>
      <c r="SI565" s="9"/>
      <c r="SJ565" s="9"/>
      <c r="SK565" s="9"/>
      <c r="SL565" s="9"/>
      <c r="SM565" s="9"/>
      <c r="SN565" s="9"/>
      <c r="SO565" s="9"/>
      <c r="SP565" s="9"/>
      <c r="SQ565" s="9"/>
      <c r="SR565" s="9"/>
      <c r="SS565" s="9"/>
      <c r="ST565" s="9"/>
      <c r="SU565" s="9"/>
      <c r="SV565" s="9"/>
      <c r="SW565" s="9"/>
      <c r="SX565" s="9"/>
      <c r="SY565" s="9"/>
      <c r="SZ565" s="9"/>
      <c r="TA565" s="9"/>
      <c r="TB565" s="9"/>
      <c r="TC565" s="9"/>
      <c r="TD565" s="9"/>
      <c r="TE565" s="9"/>
      <c r="TF565" s="9"/>
      <c r="TG565" s="9"/>
      <c r="TH565" s="9"/>
      <c r="TI565" s="9"/>
      <c r="TJ565" s="9"/>
      <c r="TK565" s="9"/>
      <c r="TL565" s="9"/>
      <c r="TM565" s="9"/>
      <c r="TN565" s="9"/>
      <c r="TO565" s="9"/>
      <c r="TP565" s="9"/>
      <c r="TQ565" s="9"/>
      <c r="TR565" s="9"/>
      <c r="TS565" s="9"/>
      <c r="TT565" s="9"/>
      <c r="TU565" s="9"/>
      <c r="TV565" s="9"/>
      <c r="TW565" s="9"/>
      <c r="TX565" s="9"/>
      <c r="TY565" s="9"/>
      <c r="TZ565" s="9"/>
      <c r="UA565" s="9"/>
      <c r="UB565" s="9"/>
      <c r="UC565" s="9"/>
      <c r="UD565" s="9"/>
      <c r="UE565" s="9"/>
      <c r="UF565" s="9"/>
      <c r="UG565" s="9"/>
      <c r="UH565" s="9"/>
      <c r="UI565" s="9"/>
      <c r="UJ565" s="9"/>
    </row>
    <row r="566">
      <c r="A566" s="8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  <c r="HO566" s="9"/>
      <c r="HP566" s="9"/>
      <c r="HQ566" s="9"/>
      <c r="HR566" s="9"/>
      <c r="HS566" s="9"/>
      <c r="HT566" s="9"/>
      <c r="HU566" s="9"/>
      <c r="HV566" s="9"/>
      <c r="HW566" s="9"/>
      <c r="HX566" s="9"/>
      <c r="HY566" s="9"/>
      <c r="HZ566" s="9"/>
      <c r="IA566" s="9"/>
      <c r="IB566" s="9"/>
      <c r="IC566" s="9"/>
      <c r="ID566" s="9"/>
      <c r="IE566" s="9"/>
      <c r="IF566" s="9"/>
      <c r="IG566" s="9"/>
      <c r="IH566" s="9"/>
      <c r="II566" s="9"/>
      <c r="IJ566" s="9"/>
      <c r="IK566" s="9"/>
      <c r="IL566" s="9"/>
      <c r="IM566" s="9"/>
      <c r="IN566" s="9"/>
      <c r="IO566" s="9"/>
      <c r="IP566" s="9"/>
      <c r="IQ566" s="9"/>
      <c r="IR566" s="9"/>
      <c r="IS566" s="9"/>
      <c r="IT566" s="9"/>
      <c r="IU566" s="9"/>
      <c r="IV566" s="9"/>
      <c r="IW566" s="9"/>
      <c r="IX566" s="9"/>
      <c r="IY566" s="9"/>
      <c r="IZ566" s="9"/>
      <c r="JA566" s="9"/>
      <c r="JB566" s="9"/>
      <c r="JC566" s="9"/>
      <c r="JD566" s="9"/>
      <c r="JE566" s="9"/>
      <c r="JF566" s="9"/>
      <c r="JG566" s="9"/>
      <c r="JH566" s="9"/>
      <c r="JI566" s="9"/>
      <c r="JJ566" s="9"/>
      <c r="JK566" s="9"/>
      <c r="JL566" s="9"/>
      <c r="JM566" s="9"/>
      <c r="JN566" s="9"/>
      <c r="JO566" s="9"/>
      <c r="JP566" s="9"/>
      <c r="JQ566" s="9"/>
      <c r="JR566" s="9"/>
      <c r="JS566" s="9"/>
      <c r="JT566" s="9"/>
      <c r="JU566" s="9"/>
      <c r="JV566" s="9"/>
      <c r="JW566" s="9"/>
      <c r="JX566" s="9"/>
      <c r="JY566" s="9"/>
      <c r="JZ566" s="9"/>
      <c r="KA566" s="9"/>
      <c r="KB566" s="9"/>
      <c r="KC566" s="9"/>
      <c r="KD566" s="9"/>
      <c r="KE566" s="9"/>
      <c r="KF566" s="9"/>
      <c r="KG566" s="9"/>
      <c r="KH566" s="9"/>
      <c r="KI566" s="9"/>
      <c r="KJ566" s="9"/>
      <c r="KK566" s="9"/>
      <c r="KL566" s="9"/>
      <c r="KM566" s="9"/>
      <c r="KN566" s="9"/>
      <c r="KO566" s="9"/>
      <c r="KP566" s="9"/>
      <c r="KQ566" s="9"/>
      <c r="KR566" s="9"/>
      <c r="KS566" s="9"/>
      <c r="KT566" s="9"/>
      <c r="KU566" s="9"/>
      <c r="KV566" s="9"/>
      <c r="KW566" s="9"/>
      <c r="KX566" s="9"/>
      <c r="KY566" s="9"/>
      <c r="KZ566" s="9"/>
      <c r="LA566" s="9"/>
      <c r="LB566" s="9"/>
      <c r="LC566" s="9"/>
      <c r="LD566" s="9"/>
      <c r="LE566" s="9"/>
      <c r="LF566" s="9"/>
      <c r="LG566" s="9"/>
      <c r="LH566" s="9"/>
      <c r="LI566" s="9"/>
      <c r="LJ566" s="9"/>
      <c r="LK566" s="9"/>
      <c r="LL566" s="9"/>
      <c r="LM566" s="9"/>
      <c r="LN566" s="9"/>
      <c r="LO566" s="9"/>
      <c r="LP566" s="9"/>
      <c r="LQ566" s="9"/>
      <c r="LR566" s="9"/>
      <c r="LS566" s="9"/>
      <c r="LT566" s="9"/>
      <c r="LU566" s="9"/>
      <c r="LV566" s="9"/>
      <c r="LW566" s="9"/>
      <c r="LX566" s="9"/>
      <c r="LY566" s="9"/>
      <c r="LZ566" s="9"/>
      <c r="MA566" s="9"/>
      <c r="MB566" s="9"/>
      <c r="MC566" s="9"/>
      <c r="MD566" s="9"/>
      <c r="ME566" s="9"/>
      <c r="MF566" s="9"/>
      <c r="MG566" s="9"/>
      <c r="MH566" s="9"/>
      <c r="MI566" s="9"/>
      <c r="MJ566" s="9"/>
      <c r="MK566" s="9"/>
      <c r="ML566" s="9"/>
      <c r="MM566" s="9"/>
      <c r="MN566" s="9"/>
      <c r="MO566" s="9"/>
      <c r="MP566" s="9"/>
      <c r="MQ566" s="9"/>
      <c r="MR566" s="9"/>
      <c r="MS566" s="9"/>
      <c r="MT566" s="9"/>
      <c r="MU566" s="9"/>
      <c r="MV566" s="9"/>
      <c r="MW566" s="9"/>
      <c r="MX566" s="9"/>
      <c r="MY566" s="9"/>
      <c r="MZ566" s="9"/>
      <c r="NA566" s="9"/>
      <c r="NB566" s="9"/>
      <c r="NC566" s="9"/>
      <c r="ND566" s="9"/>
      <c r="NE566" s="9"/>
      <c r="NF566" s="9"/>
      <c r="NG566" s="9"/>
      <c r="NH566" s="9"/>
      <c r="NI566" s="9"/>
      <c r="NJ566" s="9"/>
      <c r="NK566" s="9"/>
      <c r="NL566" s="9"/>
      <c r="NM566" s="9"/>
      <c r="NN566" s="9"/>
      <c r="NO566" s="9"/>
      <c r="NP566" s="9"/>
      <c r="NQ566" s="9"/>
      <c r="NR566" s="9"/>
      <c r="NS566" s="9"/>
      <c r="NT566" s="9"/>
      <c r="NU566" s="9"/>
      <c r="NV566" s="9"/>
      <c r="NW566" s="9"/>
      <c r="NX566" s="9"/>
      <c r="NY566" s="9"/>
      <c r="NZ566" s="9"/>
      <c r="OA566" s="9"/>
      <c r="OB566" s="9"/>
      <c r="OC566" s="9"/>
      <c r="OD566" s="9"/>
      <c r="OE566" s="9"/>
      <c r="OF566" s="9"/>
      <c r="OG566" s="9"/>
      <c r="OH566" s="9"/>
      <c r="OI566" s="9"/>
      <c r="OJ566" s="9"/>
      <c r="OK566" s="9"/>
      <c r="OL566" s="9"/>
      <c r="OM566" s="9"/>
      <c r="ON566" s="9"/>
      <c r="OO566" s="9"/>
      <c r="OP566" s="9"/>
      <c r="OQ566" s="9"/>
      <c r="OR566" s="9"/>
      <c r="OS566" s="9"/>
      <c r="OT566" s="9"/>
      <c r="OU566" s="9"/>
      <c r="OV566" s="9"/>
      <c r="OW566" s="9"/>
      <c r="OX566" s="9"/>
      <c r="OY566" s="9"/>
      <c r="OZ566" s="9"/>
      <c r="PA566" s="9"/>
      <c r="PB566" s="9"/>
      <c r="PC566" s="9"/>
      <c r="PD566" s="9"/>
      <c r="PE566" s="9"/>
      <c r="PF566" s="9"/>
      <c r="PG566" s="9"/>
      <c r="PH566" s="9"/>
      <c r="PI566" s="9"/>
      <c r="PJ566" s="9"/>
      <c r="PK566" s="9"/>
      <c r="PL566" s="9"/>
      <c r="PM566" s="9"/>
      <c r="PN566" s="9"/>
      <c r="PO566" s="9"/>
      <c r="PP566" s="9"/>
      <c r="PQ566" s="9"/>
      <c r="PR566" s="9"/>
      <c r="PS566" s="9"/>
      <c r="PT566" s="9"/>
      <c r="PU566" s="9"/>
      <c r="PV566" s="9"/>
      <c r="PW566" s="9"/>
      <c r="PX566" s="9"/>
      <c r="PY566" s="9"/>
      <c r="PZ566" s="9"/>
      <c r="QA566" s="9"/>
      <c r="QB566" s="9"/>
      <c r="QC566" s="9"/>
      <c r="QD566" s="9"/>
      <c r="QE566" s="9"/>
      <c r="QF566" s="9"/>
      <c r="QG566" s="9"/>
      <c r="QH566" s="9"/>
      <c r="QI566" s="9"/>
      <c r="QJ566" s="9"/>
      <c r="QK566" s="9"/>
      <c r="QL566" s="9"/>
      <c r="QM566" s="9"/>
      <c r="QN566" s="9"/>
      <c r="QO566" s="9"/>
      <c r="QP566" s="9"/>
      <c r="QQ566" s="9"/>
      <c r="QR566" s="9"/>
      <c r="QS566" s="9"/>
      <c r="QT566" s="9"/>
      <c r="QU566" s="9"/>
      <c r="QV566" s="9"/>
      <c r="QW566" s="9"/>
      <c r="QX566" s="9"/>
      <c r="QY566" s="9"/>
      <c r="QZ566" s="9"/>
      <c r="RA566" s="9"/>
      <c r="RB566" s="9"/>
      <c r="RC566" s="9"/>
      <c r="RD566" s="9"/>
      <c r="RE566" s="9"/>
      <c r="RF566" s="9"/>
      <c r="RG566" s="9"/>
      <c r="RH566" s="9"/>
      <c r="RI566" s="9"/>
      <c r="RJ566" s="9"/>
      <c r="RK566" s="9"/>
      <c r="RL566" s="9"/>
      <c r="RM566" s="9"/>
      <c r="RN566" s="9"/>
      <c r="RO566" s="9"/>
      <c r="RP566" s="9"/>
      <c r="RQ566" s="9"/>
      <c r="RR566" s="9"/>
      <c r="RS566" s="9"/>
      <c r="RT566" s="9"/>
      <c r="RU566" s="9"/>
      <c r="RV566" s="9"/>
      <c r="RW566" s="9"/>
      <c r="RX566" s="9"/>
      <c r="RY566" s="9"/>
      <c r="RZ566" s="9"/>
      <c r="SA566" s="9"/>
      <c r="SB566" s="9"/>
      <c r="SC566" s="9"/>
      <c r="SD566" s="9"/>
      <c r="SE566" s="9"/>
      <c r="SF566" s="9"/>
      <c r="SG566" s="9"/>
      <c r="SH566" s="9"/>
      <c r="SI566" s="9"/>
      <c r="SJ566" s="9"/>
      <c r="SK566" s="9"/>
      <c r="SL566" s="9"/>
      <c r="SM566" s="9"/>
      <c r="SN566" s="9"/>
      <c r="SO566" s="9"/>
      <c r="SP566" s="9"/>
      <c r="SQ566" s="9"/>
      <c r="SR566" s="9"/>
      <c r="SS566" s="9"/>
      <c r="ST566" s="9"/>
      <c r="SU566" s="9"/>
      <c r="SV566" s="9"/>
      <c r="SW566" s="9"/>
      <c r="SX566" s="9"/>
      <c r="SY566" s="9"/>
      <c r="SZ566" s="9"/>
      <c r="TA566" s="9"/>
      <c r="TB566" s="9"/>
      <c r="TC566" s="9"/>
      <c r="TD566" s="9"/>
      <c r="TE566" s="9"/>
      <c r="TF566" s="9"/>
      <c r="TG566" s="9"/>
      <c r="TH566" s="9"/>
      <c r="TI566" s="9"/>
      <c r="TJ566" s="9"/>
      <c r="TK566" s="9"/>
      <c r="TL566" s="9"/>
      <c r="TM566" s="9"/>
      <c r="TN566" s="9"/>
      <c r="TO566" s="9"/>
      <c r="TP566" s="9"/>
      <c r="TQ566" s="9"/>
      <c r="TR566" s="9"/>
      <c r="TS566" s="9"/>
      <c r="TT566" s="9"/>
      <c r="TU566" s="9"/>
      <c r="TV566" s="9"/>
      <c r="TW566" s="9"/>
      <c r="TX566" s="9"/>
      <c r="TY566" s="9"/>
      <c r="TZ566" s="9"/>
      <c r="UA566" s="9"/>
      <c r="UB566" s="9"/>
      <c r="UC566" s="9"/>
      <c r="UD566" s="9"/>
      <c r="UE566" s="9"/>
      <c r="UF566" s="9"/>
      <c r="UG566" s="9"/>
      <c r="UH566" s="9"/>
      <c r="UI566" s="9"/>
      <c r="UJ566" s="9"/>
    </row>
    <row r="567">
      <c r="A567" s="8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9"/>
      <c r="IA567" s="9"/>
      <c r="IB567" s="9"/>
      <c r="IC567" s="9"/>
      <c r="ID567" s="9"/>
      <c r="IE567" s="9"/>
      <c r="IF567" s="9"/>
      <c r="IG567" s="9"/>
      <c r="IH567" s="9"/>
      <c r="II567" s="9"/>
      <c r="IJ567" s="9"/>
      <c r="IK567" s="9"/>
      <c r="IL567" s="9"/>
      <c r="IM567" s="9"/>
      <c r="IN567" s="9"/>
      <c r="IO567" s="9"/>
      <c r="IP567" s="9"/>
      <c r="IQ567" s="9"/>
      <c r="IR567" s="9"/>
      <c r="IS567" s="9"/>
      <c r="IT567" s="9"/>
      <c r="IU567" s="9"/>
      <c r="IV567" s="9"/>
      <c r="IW567" s="9"/>
      <c r="IX567" s="9"/>
      <c r="IY567" s="9"/>
      <c r="IZ567" s="9"/>
      <c r="JA567" s="9"/>
      <c r="JB567" s="9"/>
      <c r="JC567" s="9"/>
      <c r="JD567" s="9"/>
      <c r="JE567" s="9"/>
      <c r="JF567" s="9"/>
      <c r="JG567" s="9"/>
      <c r="JH567" s="9"/>
      <c r="JI567" s="9"/>
      <c r="JJ567" s="9"/>
      <c r="JK567" s="9"/>
      <c r="JL567" s="9"/>
      <c r="JM567" s="9"/>
      <c r="JN567" s="9"/>
      <c r="JO567" s="9"/>
      <c r="JP567" s="9"/>
      <c r="JQ567" s="9"/>
      <c r="JR567" s="9"/>
      <c r="JS567" s="9"/>
      <c r="JT567" s="9"/>
      <c r="JU567" s="9"/>
      <c r="JV567" s="9"/>
      <c r="JW567" s="9"/>
      <c r="JX567" s="9"/>
      <c r="JY567" s="9"/>
      <c r="JZ567" s="9"/>
      <c r="KA567" s="9"/>
      <c r="KB567" s="9"/>
      <c r="KC567" s="9"/>
      <c r="KD567" s="9"/>
      <c r="KE567" s="9"/>
      <c r="KF567" s="9"/>
      <c r="KG567" s="9"/>
      <c r="KH567" s="9"/>
      <c r="KI567" s="9"/>
      <c r="KJ567" s="9"/>
      <c r="KK567" s="9"/>
      <c r="KL567" s="9"/>
      <c r="KM567" s="9"/>
      <c r="KN567" s="9"/>
      <c r="KO567" s="9"/>
      <c r="KP567" s="9"/>
      <c r="KQ567" s="9"/>
      <c r="KR567" s="9"/>
      <c r="KS567" s="9"/>
      <c r="KT567" s="9"/>
      <c r="KU567" s="9"/>
      <c r="KV567" s="9"/>
      <c r="KW567" s="9"/>
      <c r="KX567" s="9"/>
      <c r="KY567" s="9"/>
      <c r="KZ567" s="9"/>
      <c r="LA567" s="9"/>
      <c r="LB567" s="9"/>
      <c r="LC567" s="9"/>
      <c r="LD567" s="9"/>
      <c r="LE567" s="9"/>
      <c r="LF567" s="9"/>
      <c r="LG567" s="9"/>
      <c r="LH567" s="9"/>
      <c r="LI567" s="9"/>
      <c r="LJ567" s="9"/>
      <c r="LK567" s="9"/>
      <c r="LL567" s="9"/>
      <c r="LM567" s="9"/>
      <c r="LN567" s="9"/>
      <c r="LO567" s="9"/>
      <c r="LP567" s="9"/>
      <c r="LQ567" s="9"/>
      <c r="LR567" s="9"/>
      <c r="LS567" s="9"/>
      <c r="LT567" s="9"/>
      <c r="LU567" s="9"/>
      <c r="LV567" s="9"/>
      <c r="LW567" s="9"/>
      <c r="LX567" s="9"/>
      <c r="LY567" s="9"/>
      <c r="LZ567" s="9"/>
      <c r="MA567" s="9"/>
      <c r="MB567" s="9"/>
      <c r="MC567" s="9"/>
      <c r="MD567" s="9"/>
      <c r="ME567" s="9"/>
      <c r="MF567" s="9"/>
      <c r="MG567" s="9"/>
      <c r="MH567" s="9"/>
      <c r="MI567" s="9"/>
      <c r="MJ567" s="9"/>
      <c r="MK567" s="9"/>
      <c r="ML567" s="9"/>
      <c r="MM567" s="9"/>
      <c r="MN567" s="9"/>
      <c r="MO567" s="9"/>
      <c r="MP567" s="9"/>
      <c r="MQ567" s="9"/>
      <c r="MR567" s="9"/>
      <c r="MS567" s="9"/>
      <c r="MT567" s="9"/>
      <c r="MU567" s="9"/>
      <c r="MV567" s="9"/>
      <c r="MW567" s="9"/>
      <c r="MX567" s="9"/>
      <c r="MY567" s="9"/>
      <c r="MZ567" s="9"/>
      <c r="NA567" s="9"/>
      <c r="NB567" s="9"/>
      <c r="NC567" s="9"/>
      <c r="ND567" s="9"/>
      <c r="NE567" s="9"/>
      <c r="NF567" s="9"/>
      <c r="NG567" s="9"/>
      <c r="NH567" s="9"/>
      <c r="NI567" s="9"/>
      <c r="NJ567" s="9"/>
      <c r="NK567" s="9"/>
      <c r="NL567" s="9"/>
      <c r="NM567" s="9"/>
      <c r="NN567" s="9"/>
      <c r="NO567" s="9"/>
      <c r="NP567" s="9"/>
      <c r="NQ567" s="9"/>
      <c r="NR567" s="9"/>
      <c r="NS567" s="9"/>
      <c r="NT567" s="9"/>
      <c r="NU567" s="9"/>
      <c r="NV567" s="9"/>
      <c r="NW567" s="9"/>
      <c r="NX567" s="9"/>
      <c r="NY567" s="9"/>
      <c r="NZ567" s="9"/>
      <c r="OA567" s="9"/>
      <c r="OB567" s="9"/>
      <c r="OC567" s="9"/>
      <c r="OD567" s="9"/>
      <c r="OE567" s="9"/>
      <c r="OF567" s="9"/>
      <c r="OG567" s="9"/>
      <c r="OH567" s="9"/>
      <c r="OI567" s="9"/>
      <c r="OJ567" s="9"/>
      <c r="OK567" s="9"/>
      <c r="OL567" s="9"/>
      <c r="OM567" s="9"/>
      <c r="ON567" s="9"/>
      <c r="OO567" s="9"/>
      <c r="OP567" s="9"/>
      <c r="OQ567" s="9"/>
      <c r="OR567" s="9"/>
      <c r="OS567" s="9"/>
      <c r="OT567" s="9"/>
      <c r="OU567" s="9"/>
      <c r="OV567" s="9"/>
      <c r="OW567" s="9"/>
      <c r="OX567" s="9"/>
      <c r="OY567" s="9"/>
      <c r="OZ567" s="9"/>
      <c r="PA567" s="9"/>
      <c r="PB567" s="9"/>
      <c r="PC567" s="9"/>
      <c r="PD567" s="9"/>
      <c r="PE567" s="9"/>
      <c r="PF567" s="9"/>
      <c r="PG567" s="9"/>
      <c r="PH567" s="9"/>
      <c r="PI567" s="9"/>
      <c r="PJ567" s="9"/>
      <c r="PK567" s="9"/>
      <c r="PL567" s="9"/>
      <c r="PM567" s="9"/>
      <c r="PN567" s="9"/>
      <c r="PO567" s="9"/>
      <c r="PP567" s="9"/>
      <c r="PQ567" s="9"/>
      <c r="PR567" s="9"/>
      <c r="PS567" s="9"/>
      <c r="PT567" s="9"/>
      <c r="PU567" s="9"/>
      <c r="PV567" s="9"/>
      <c r="PW567" s="9"/>
      <c r="PX567" s="9"/>
      <c r="PY567" s="9"/>
      <c r="PZ567" s="9"/>
      <c r="QA567" s="9"/>
      <c r="QB567" s="9"/>
      <c r="QC567" s="9"/>
      <c r="QD567" s="9"/>
      <c r="QE567" s="9"/>
      <c r="QF567" s="9"/>
      <c r="QG567" s="9"/>
      <c r="QH567" s="9"/>
      <c r="QI567" s="9"/>
      <c r="QJ567" s="9"/>
      <c r="QK567" s="9"/>
      <c r="QL567" s="9"/>
      <c r="QM567" s="9"/>
      <c r="QN567" s="9"/>
      <c r="QO567" s="9"/>
      <c r="QP567" s="9"/>
      <c r="QQ567" s="9"/>
      <c r="QR567" s="9"/>
      <c r="QS567" s="9"/>
      <c r="QT567" s="9"/>
      <c r="QU567" s="9"/>
      <c r="QV567" s="9"/>
      <c r="QW567" s="9"/>
      <c r="QX567" s="9"/>
      <c r="QY567" s="9"/>
      <c r="QZ567" s="9"/>
      <c r="RA567" s="9"/>
      <c r="RB567" s="9"/>
      <c r="RC567" s="9"/>
      <c r="RD567" s="9"/>
      <c r="RE567" s="9"/>
      <c r="RF567" s="9"/>
      <c r="RG567" s="9"/>
      <c r="RH567" s="9"/>
      <c r="RI567" s="9"/>
      <c r="RJ567" s="9"/>
      <c r="RK567" s="9"/>
      <c r="RL567" s="9"/>
      <c r="RM567" s="9"/>
      <c r="RN567" s="9"/>
      <c r="RO567" s="9"/>
      <c r="RP567" s="9"/>
      <c r="RQ567" s="9"/>
      <c r="RR567" s="9"/>
      <c r="RS567" s="9"/>
      <c r="RT567" s="9"/>
      <c r="RU567" s="9"/>
      <c r="RV567" s="9"/>
      <c r="RW567" s="9"/>
      <c r="RX567" s="9"/>
      <c r="RY567" s="9"/>
      <c r="RZ567" s="9"/>
      <c r="SA567" s="9"/>
      <c r="SB567" s="9"/>
      <c r="SC567" s="9"/>
      <c r="SD567" s="9"/>
      <c r="SE567" s="9"/>
      <c r="SF567" s="9"/>
      <c r="SG567" s="9"/>
      <c r="SH567" s="9"/>
      <c r="SI567" s="9"/>
      <c r="SJ567" s="9"/>
      <c r="SK567" s="9"/>
      <c r="SL567" s="9"/>
      <c r="SM567" s="9"/>
      <c r="SN567" s="9"/>
      <c r="SO567" s="9"/>
      <c r="SP567" s="9"/>
      <c r="SQ567" s="9"/>
      <c r="SR567" s="9"/>
      <c r="SS567" s="9"/>
      <c r="ST567" s="9"/>
      <c r="SU567" s="9"/>
      <c r="SV567" s="9"/>
      <c r="SW567" s="9"/>
      <c r="SX567" s="9"/>
      <c r="SY567" s="9"/>
      <c r="SZ567" s="9"/>
      <c r="TA567" s="9"/>
      <c r="TB567" s="9"/>
      <c r="TC567" s="9"/>
      <c r="TD567" s="9"/>
      <c r="TE567" s="9"/>
      <c r="TF567" s="9"/>
      <c r="TG567" s="9"/>
      <c r="TH567" s="9"/>
      <c r="TI567" s="9"/>
      <c r="TJ567" s="9"/>
      <c r="TK567" s="9"/>
      <c r="TL567" s="9"/>
      <c r="TM567" s="9"/>
      <c r="TN567" s="9"/>
      <c r="TO567" s="9"/>
      <c r="TP567" s="9"/>
      <c r="TQ567" s="9"/>
      <c r="TR567" s="9"/>
      <c r="TS567" s="9"/>
      <c r="TT567" s="9"/>
      <c r="TU567" s="9"/>
      <c r="TV567" s="9"/>
      <c r="TW567" s="9"/>
      <c r="TX567" s="9"/>
      <c r="TY567" s="9"/>
      <c r="TZ567" s="9"/>
      <c r="UA567" s="9"/>
      <c r="UB567" s="9"/>
      <c r="UC567" s="9"/>
      <c r="UD567" s="9"/>
      <c r="UE567" s="9"/>
      <c r="UF567" s="9"/>
      <c r="UG567" s="9"/>
      <c r="UH567" s="9"/>
      <c r="UI567" s="9"/>
      <c r="UJ567" s="9"/>
    </row>
    <row r="568">
      <c r="A568" s="8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  <c r="HZ568" s="9"/>
      <c r="IA568" s="9"/>
      <c r="IB568" s="9"/>
      <c r="IC568" s="9"/>
      <c r="ID568" s="9"/>
      <c r="IE568" s="9"/>
      <c r="IF568" s="9"/>
      <c r="IG568" s="9"/>
      <c r="IH568" s="9"/>
      <c r="II568" s="9"/>
      <c r="IJ568" s="9"/>
      <c r="IK568" s="9"/>
      <c r="IL568" s="9"/>
      <c r="IM568" s="9"/>
      <c r="IN568" s="9"/>
      <c r="IO568" s="9"/>
      <c r="IP568" s="9"/>
      <c r="IQ568" s="9"/>
      <c r="IR568" s="9"/>
      <c r="IS568" s="9"/>
      <c r="IT568" s="9"/>
      <c r="IU568" s="9"/>
      <c r="IV568" s="9"/>
      <c r="IW568" s="9"/>
      <c r="IX568" s="9"/>
      <c r="IY568" s="9"/>
      <c r="IZ568" s="9"/>
      <c r="JA568" s="9"/>
      <c r="JB568" s="9"/>
      <c r="JC568" s="9"/>
      <c r="JD568" s="9"/>
      <c r="JE568" s="9"/>
      <c r="JF568" s="9"/>
      <c r="JG568" s="9"/>
      <c r="JH568" s="9"/>
      <c r="JI568" s="9"/>
      <c r="JJ568" s="9"/>
      <c r="JK568" s="9"/>
      <c r="JL568" s="9"/>
      <c r="JM568" s="9"/>
      <c r="JN568" s="9"/>
      <c r="JO568" s="9"/>
      <c r="JP568" s="9"/>
      <c r="JQ568" s="9"/>
      <c r="JR568" s="9"/>
      <c r="JS568" s="9"/>
      <c r="JT568" s="9"/>
      <c r="JU568" s="9"/>
      <c r="JV568" s="9"/>
      <c r="JW568" s="9"/>
      <c r="JX568" s="9"/>
      <c r="JY568" s="9"/>
      <c r="JZ568" s="9"/>
      <c r="KA568" s="9"/>
      <c r="KB568" s="9"/>
      <c r="KC568" s="9"/>
      <c r="KD568" s="9"/>
      <c r="KE568" s="9"/>
      <c r="KF568" s="9"/>
      <c r="KG568" s="9"/>
      <c r="KH568" s="9"/>
      <c r="KI568" s="9"/>
      <c r="KJ568" s="9"/>
      <c r="KK568" s="9"/>
      <c r="KL568" s="9"/>
      <c r="KM568" s="9"/>
      <c r="KN568" s="9"/>
      <c r="KO568" s="9"/>
      <c r="KP568" s="9"/>
      <c r="KQ568" s="9"/>
      <c r="KR568" s="9"/>
      <c r="KS568" s="9"/>
      <c r="KT568" s="9"/>
      <c r="KU568" s="9"/>
      <c r="KV568" s="9"/>
      <c r="KW568" s="9"/>
      <c r="KX568" s="9"/>
      <c r="KY568" s="9"/>
      <c r="KZ568" s="9"/>
      <c r="LA568" s="9"/>
      <c r="LB568" s="9"/>
      <c r="LC568" s="9"/>
      <c r="LD568" s="9"/>
      <c r="LE568" s="9"/>
      <c r="LF568" s="9"/>
      <c r="LG568" s="9"/>
      <c r="LH568" s="9"/>
      <c r="LI568" s="9"/>
      <c r="LJ568" s="9"/>
      <c r="LK568" s="9"/>
      <c r="LL568" s="9"/>
      <c r="LM568" s="9"/>
      <c r="LN568" s="9"/>
      <c r="LO568" s="9"/>
      <c r="LP568" s="9"/>
      <c r="LQ568" s="9"/>
      <c r="LR568" s="9"/>
      <c r="LS568" s="9"/>
      <c r="LT568" s="9"/>
      <c r="LU568" s="9"/>
      <c r="LV568" s="9"/>
      <c r="LW568" s="9"/>
      <c r="LX568" s="9"/>
      <c r="LY568" s="9"/>
      <c r="LZ568" s="9"/>
      <c r="MA568" s="9"/>
      <c r="MB568" s="9"/>
      <c r="MC568" s="9"/>
      <c r="MD568" s="9"/>
      <c r="ME568" s="9"/>
      <c r="MF568" s="9"/>
      <c r="MG568" s="9"/>
      <c r="MH568" s="9"/>
      <c r="MI568" s="9"/>
      <c r="MJ568" s="9"/>
      <c r="MK568" s="9"/>
      <c r="ML568" s="9"/>
      <c r="MM568" s="9"/>
      <c r="MN568" s="9"/>
      <c r="MO568" s="9"/>
      <c r="MP568" s="9"/>
      <c r="MQ568" s="9"/>
      <c r="MR568" s="9"/>
      <c r="MS568" s="9"/>
      <c r="MT568" s="9"/>
      <c r="MU568" s="9"/>
      <c r="MV568" s="9"/>
      <c r="MW568" s="9"/>
      <c r="MX568" s="9"/>
      <c r="MY568" s="9"/>
      <c r="MZ568" s="9"/>
      <c r="NA568" s="9"/>
      <c r="NB568" s="9"/>
      <c r="NC568" s="9"/>
      <c r="ND568" s="9"/>
      <c r="NE568" s="9"/>
      <c r="NF568" s="9"/>
      <c r="NG568" s="9"/>
      <c r="NH568" s="9"/>
      <c r="NI568" s="9"/>
      <c r="NJ568" s="9"/>
      <c r="NK568" s="9"/>
      <c r="NL568" s="9"/>
      <c r="NM568" s="9"/>
      <c r="NN568" s="9"/>
      <c r="NO568" s="9"/>
      <c r="NP568" s="9"/>
      <c r="NQ568" s="9"/>
      <c r="NR568" s="9"/>
      <c r="NS568" s="9"/>
      <c r="NT568" s="9"/>
      <c r="NU568" s="9"/>
      <c r="NV568" s="9"/>
      <c r="NW568" s="9"/>
      <c r="NX568" s="9"/>
      <c r="NY568" s="9"/>
      <c r="NZ568" s="9"/>
      <c r="OA568" s="9"/>
      <c r="OB568" s="9"/>
      <c r="OC568" s="9"/>
      <c r="OD568" s="9"/>
      <c r="OE568" s="9"/>
      <c r="OF568" s="9"/>
      <c r="OG568" s="9"/>
      <c r="OH568" s="9"/>
      <c r="OI568" s="9"/>
      <c r="OJ568" s="9"/>
      <c r="OK568" s="9"/>
      <c r="OL568" s="9"/>
      <c r="OM568" s="9"/>
      <c r="ON568" s="9"/>
      <c r="OO568" s="9"/>
      <c r="OP568" s="9"/>
      <c r="OQ568" s="9"/>
      <c r="OR568" s="9"/>
      <c r="OS568" s="9"/>
      <c r="OT568" s="9"/>
      <c r="OU568" s="9"/>
      <c r="OV568" s="9"/>
      <c r="OW568" s="9"/>
      <c r="OX568" s="9"/>
      <c r="OY568" s="9"/>
      <c r="OZ568" s="9"/>
      <c r="PA568" s="9"/>
      <c r="PB568" s="9"/>
      <c r="PC568" s="9"/>
      <c r="PD568" s="9"/>
      <c r="PE568" s="9"/>
      <c r="PF568" s="9"/>
      <c r="PG568" s="9"/>
      <c r="PH568" s="9"/>
      <c r="PI568" s="9"/>
      <c r="PJ568" s="9"/>
      <c r="PK568" s="9"/>
      <c r="PL568" s="9"/>
      <c r="PM568" s="9"/>
      <c r="PN568" s="9"/>
      <c r="PO568" s="9"/>
      <c r="PP568" s="9"/>
      <c r="PQ568" s="9"/>
      <c r="PR568" s="9"/>
      <c r="PS568" s="9"/>
      <c r="PT568" s="9"/>
      <c r="PU568" s="9"/>
      <c r="PV568" s="9"/>
      <c r="PW568" s="9"/>
      <c r="PX568" s="9"/>
      <c r="PY568" s="9"/>
      <c r="PZ568" s="9"/>
      <c r="QA568" s="9"/>
      <c r="QB568" s="9"/>
      <c r="QC568" s="9"/>
      <c r="QD568" s="9"/>
      <c r="QE568" s="9"/>
      <c r="QF568" s="9"/>
      <c r="QG568" s="9"/>
      <c r="QH568" s="9"/>
      <c r="QI568" s="9"/>
      <c r="QJ568" s="9"/>
      <c r="QK568" s="9"/>
      <c r="QL568" s="9"/>
      <c r="QM568" s="9"/>
      <c r="QN568" s="9"/>
      <c r="QO568" s="9"/>
      <c r="QP568" s="9"/>
      <c r="QQ568" s="9"/>
      <c r="QR568" s="9"/>
      <c r="QS568" s="9"/>
      <c r="QT568" s="9"/>
      <c r="QU568" s="9"/>
      <c r="QV568" s="9"/>
      <c r="QW568" s="9"/>
      <c r="QX568" s="9"/>
      <c r="QY568" s="9"/>
      <c r="QZ568" s="9"/>
      <c r="RA568" s="9"/>
      <c r="RB568" s="9"/>
      <c r="RC568" s="9"/>
      <c r="RD568" s="9"/>
      <c r="RE568" s="9"/>
      <c r="RF568" s="9"/>
      <c r="RG568" s="9"/>
      <c r="RH568" s="9"/>
      <c r="RI568" s="9"/>
      <c r="RJ568" s="9"/>
      <c r="RK568" s="9"/>
      <c r="RL568" s="9"/>
      <c r="RM568" s="9"/>
      <c r="RN568" s="9"/>
      <c r="RO568" s="9"/>
      <c r="RP568" s="9"/>
      <c r="RQ568" s="9"/>
      <c r="RR568" s="9"/>
      <c r="RS568" s="9"/>
      <c r="RT568" s="9"/>
      <c r="RU568" s="9"/>
      <c r="RV568" s="9"/>
      <c r="RW568" s="9"/>
      <c r="RX568" s="9"/>
      <c r="RY568" s="9"/>
      <c r="RZ568" s="9"/>
      <c r="SA568" s="9"/>
      <c r="SB568" s="9"/>
      <c r="SC568" s="9"/>
      <c r="SD568" s="9"/>
      <c r="SE568" s="9"/>
      <c r="SF568" s="9"/>
      <c r="SG568" s="9"/>
      <c r="SH568" s="9"/>
      <c r="SI568" s="9"/>
      <c r="SJ568" s="9"/>
      <c r="SK568" s="9"/>
      <c r="SL568" s="9"/>
      <c r="SM568" s="9"/>
      <c r="SN568" s="9"/>
      <c r="SO568" s="9"/>
      <c r="SP568" s="9"/>
      <c r="SQ568" s="9"/>
      <c r="SR568" s="9"/>
      <c r="SS568" s="9"/>
      <c r="ST568" s="9"/>
      <c r="SU568" s="9"/>
      <c r="SV568" s="9"/>
      <c r="SW568" s="9"/>
      <c r="SX568" s="9"/>
      <c r="SY568" s="9"/>
      <c r="SZ568" s="9"/>
      <c r="TA568" s="9"/>
      <c r="TB568" s="9"/>
      <c r="TC568" s="9"/>
      <c r="TD568" s="9"/>
      <c r="TE568" s="9"/>
      <c r="TF568" s="9"/>
      <c r="TG568" s="9"/>
      <c r="TH568" s="9"/>
      <c r="TI568" s="9"/>
      <c r="TJ568" s="9"/>
      <c r="TK568" s="9"/>
      <c r="TL568" s="9"/>
      <c r="TM568" s="9"/>
      <c r="TN568" s="9"/>
      <c r="TO568" s="9"/>
      <c r="TP568" s="9"/>
      <c r="TQ568" s="9"/>
      <c r="TR568" s="9"/>
      <c r="TS568" s="9"/>
      <c r="TT568" s="9"/>
      <c r="TU568" s="9"/>
      <c r="TV568" s="9"/>
      <c r="TW568" s="9"/>
      <c r="TX568" s="9"/>
      <c r="TY568" s="9"/>
      <c r="TZ568" s="9"/>
      <c r="UA568" s="9"/>
      <c r="UB568" s="9"/>
      <c r="UC568" s="9"/>
      <c r="UD568" s="9"/>
      <c r="UE568" s="9"/>
      <c r="UF568" s="9"/>
      <c r="UG568" s="9"/>
      <c r="UH568" s="9"/>
      <c r="UI568" s="9"/>
      <c r="UJ568" s="9"/>
    </row>
    <row r="569">
      <c r="A569" s="8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  <c r="HZ569" s="9"/>
      <c r="IA569" s="9"/>
      <c r="IB569" s="9"/>
      <c r="IC569" s="9"/>
      <c r="ID569" s="9"/>
      <c r="IE569" s="9"/>
      <c r="IF569" s="9"/>
      <c r="IG569" s="9"/>
      <c r="IH569" s="9"/>
      <c r="II569" s="9"/>
      <c r="IJ569" s="9"/>
      <c r="IK569" s="9"/>
      <c r="IL569" s="9"/>
      <c r="IM569" s="9"/>
      <c r="IN569" s="9"/>
      <c r="IO569" s="9"/>
      <c r="IP569" s="9"/>
      <c r="IQ569" s="9"/>
      <c r="IR569" s="9"/>
      <c r="IS569" s="9"/>
      <c r="IT569" s="9"/>
      <c r="IU569" s="9"/>
      <c r="IV569" s="9"/>
      <c r="IW569" s="9"/>
      <c r="IX569" s="9"/>
      <c r="IY569" s="9"/>
      <c r="IZ569" s="9"/>
      <c r="JA569" s="9"/>
      <c r="JB569" s="9"/>
      <c r="JC569" s="9"/>
      <c r="JD569" s="9"/>
      <c r="JE569" s="9"/>
      <c r="JF569" s="9"/>
      <c r="JG569" s="9"/>
      <c r="JH569" s="9"/>
      <c r="JI569" s="9"/>
      <c r="JJ569" s="9"/>
      <c r="JK569" s="9"/>
      <c r="JL569" s="9"/>
      <c r="JM569" s="9"/>
      <c r="JN569" s="9"/>
      <c r="JO569" s="9"/>
      <c r="JP569" s="9"/>
      <c r="JQ569" s="9"/>
      <c r="JR569" s="9"/>
      <c r="JS569" s="9"/>
      <c r="JT569" s="9"/>
      <c r="JU569" s="9"/>
      <c r="JV569" s="9"/>
      <c r="JW569" s="9"/>
      <c r="JX569" s="9"/>
      <c r="JY569" s="9"/>
      <c r="JZ569" s="9"/>
      <c r="KA569" s="9"/>
      <c r="KB569" s="9"/>
      <c r="KC569" s="9"/>
      <c r="KD569" s="9"/>
      <c r="KE569" s="9"/>
      <c r="KF569" s="9"/>
      <c r="KG569" s="9"/>
      <c r="KH569" s="9"/>
      <c r="KI569" s="9"/>
      <c r="KJ569" s="9"/>
      <c r="KK569" s="9"/>
      <c r="KL569" s="9"/>
      <c r="KM569" s="9"/>
      <c r="KN569" s="9"/>
      <c r="KO569" s="9"/>
      <c r="KP569" s="9"/>
      <c r="KQ569" s="9"/>
      <c r="KR569" s="9"/>
      <c r="KS569" s="9"/>
      <c r="KT569" s="9"/>
      <c r="KU569" s="9"/>
      <c r="KV569" s="9"/>
      <c r="KW569" s="9"/>
      <c r="KX569" s="9"/>
      <c r="KY569" s="9"/>
      <c r="KZ569" s="9"/>
      <c r="LA569" s="9"/>
      <c r="LB569" s="9"/>
      <c r="LC569" s="9"/>
      <c r="LD569" s="9"/>
      <c r="LE569" s="9"/>
      <c r="LF569" s="9"/>
      <c r="LG569" s="9"/>
      <c r="LH569" s="9"/>
      <c r="LI569" s="9"/>
      <c r="LJ569" s="9"/>
      <c r="LK569" s="9"/>
      <c r="LL569" s="9"/>
      <c r="LM569" s="9"/>
      <c r="LN569" s="9"/>
      <c r="LO569" s="9"/>
      <c r="LP569" s="9"/>
      <c r="LQ569" s="9"/>
      <c r="LR569" s="9"/>
      <c r="LS569" s="9"/>
      <c r="LT569" s="9"/>
      <c r="LU569" s="9"/>
      <c r="LV569" s="9"/>
      <c r="LW569" s="9"/>
      <c r="LX569" s="9"/>
      <c r="LY569" s="9"/>
      <c r="LZ569" s="9"/>
      <c r="MA569" s="9"/>
      <c r="MB569" s="9"/>
      <c r="MC569" s="9"/>
      <c r="MD569" s="9"/>
      <c r="ME569" s="9"/>
      <c r="MF569" s="9"/>
      <c r="MG569" s="9"/>
      <c r="MH569" s="9"/>
      <c r="MI569" s="9"/>
      <c r="MJ569" s="9"/>
      <c r="MK569" s="9"/>
      <c r="ML569" s="9"/>
      <c r="MM569" s="9"/>
      <c r="MN569" s="9"/>
      <c r="MO569" s="9"/>
      <c r="MP569" s="9"/>
      <c r="MQ569" s="9"/>
      <c r="MR569" s="9"/>
      <c r="MS569" s="9"/>
      <c r="MT569" s="9"/>
      <c r="MU569" s="9"/>
      <c r="MV569" s="9"/>
      <c r="MW569" s="9"/>
      <c r="MX569" s="9"/>
      <c r="MY569" s="9"/>
      <c r="MZ569" s="9"/>
      <c r="NA569" s="9"/>
      <c r="NB569" s="9"/>
      <c r="NC569" s="9"/>
      <c r="ND569" s="9"/>
      <c r="NE569" s="9"/>
      <c r="NF569" s="9"/>
      <c r="NG569" s="9"/>
      <c r="NH569" s="9"/>
      <c r="NI569" s="9"/>
      <c r="NJ569" s="9"/>
      <c r="NK569" s="9"/>
      <c r="NL569" s="9"/>
      <c r="NM569" s="9"/>
      <c r="NN569" s="9"/>
      <c r="NO569" s="9"/>
      <c r="NP569" s="9"/>
      <c r="NQ569" s="9"/>
      <c r="NR569" s="9"/>
      <c r="NS569" s="9"/>
      <c r="NT569" s="9"/>
      <c r="NU569" s="9"/>
      <c r="NV569" s="9"/>
      <c r="NW569" s="9"/>
      <c r="NX569" s="9"/>
      <c r="NY569" s="9"/>
      <c r="NZ569" s="9"/>
      <c r="OA569" s="9"/>
      <c r="OB569" s="9"/>
      <c r="OC569" s="9"/>
      <c r="OD569" s="9"/>
      <c r="OE569" s="9"/>
      <c r="OF569" s="9"/>
      <c r="OG569" s="9"/>
      <c r="OH569" s="9"/>
      <c r="OI569" s="9"/>
      <c r="OJ569" s="9"/>
      <c r="OK569" s="9"/>
      <c r="OL569" s="9"/>
      <c r="OM569" s="9"/>
      <c r="ON569" s="9"/>
      <c r="OO569" s="9"/>
      <c r="OP569" s="9"/>
      <c r="OQ569" s="9"/>
      <c r="OR569" s="9"/>
      <c r="OS569" s="9"/>
      <c r="OT569" s="9"/>
      <c r="OU569" s="9"/>
      <c r="OV569" s="9"/>
      <c r="OW569" s="9"/>
      <c r="OX569" s="9"/>
      <c r="OY569" s="9"/>
      <c r="OZ569" s="9"/>
      <c r="PA569" s="9"/>
      <c r="PB569" s="9"/>
      <c r="PC569" s="9"/>
      <c r="PD569" s="9"/>
      <c r="PE569" s="9"/>
      <c r="PF569" s="9"/>
      <c r="PG569" s="9"/>
      <c r="PH569" s="9"/>
      <c r="PI569" s="9"/>
      <c r="PJ569" s="9"/>
      <c r="PK569" s="9"/>
      <c r="PL569" s="9"/>
      <c r="PM569" s="9"/>
      <c r="PN569" s="9"/>
      <c r="PO569" s="9"/>
      <c r="PP569" s="9"/>
      <c r="PQ569" s="9"/>
      <c r="PR569" s="9"/>
      <c r="PS569" s="9"/>
      <c r="PT569" s="9"/>
      <c r="PU569" s="9"/>
      <c r="PV569" s="9"/>
      <c r="PW569" s="9"/>
      <c r="PX569" s="9"/>
      <c r="PY569" s="9"/>
      <c r="PZ569" s="9"/>
      <c r="QA569" s="9"/>
      <c r="QB569" s="9"/>
      <c r="QC569" s="9"/>
      <c r="QD569" s="9"/>
      <c r="QE569" s="9"/>
      <c r="QF569" s="9"/>
      <c r="QG569" s="9"/>
      <c r="QH569" s="9"/>
      <c r="QI569" s="9"/>
      <c r="QJ569" s="9"/>
      <c r="QK569" s="9"/>
      <c r="QL569" s="9"/>
      <c r="QM569" s="9"/>
      <c r="QN569" s="9"/>
      <c r="QO569" s="9"/>
      <c r="QP569" s="9"/>
      <c r="QQ569" s="9"/>
      <c r="QR569" s="9"/>
      <c r="QS569" s="9"/>
      <c r="QT569" s="9"/>
      <c r="QU569" s="9"/>
      <c r="QV569" s="9"/>
      <c r="QW569" s="9"/>
      <c r="QX569" s="9"/>
      <c r="QY569" s="9"/>
      <c r="QZ569" s="9"/>
      <c r="RA569" s="9"/>
      <c r="RB569" s="9"/>
      <c r="RC569" s="9"/>
      <c r="RD569" s="9"/>
      <c r="RE569" s="9"/>
      <c r="RF569" s="9"/>
      <c r="RG569" s="9"/>
      <c r="RH569" s="9"/>
      <c r="RI569" s="9"/>
      <c r="RJ569" s="9"/>
      <c r="RK569" s="9"/>
      <c r="RL569" s="9"/>
      <c r="RM569" s="9"/>
      <c r="RN569" s="9"/>
      <c r="RO569" s="9"/>
      <c r="RP569" s="9"/>
      <c r="RQ569" s="9"/>
      <c r="RR569" s="9"/>
      <c r="RS569" s="9"/>
      <c r="RT569" s="9"/>
      <c r="RU569" s="9"/>
      <c r="RV569" s="9"/>
      <c r="RW569" s="9"/>
      <c r="RX569" s="9"/>
      <c r="RY569" s="9"/>
      <c r="RZ569" s="9"/>
      <c r="SA569" s="9"/>
      <c r="SB569" s="9"/>
      <c r="SC569" s="9"/>
      <c r="SD569" s="9"/>
      <c r="SE569" s="9"/>
      <c r="SF569" s="9"/>
      <c r="SG569" s="9"/>
      <c r="SH569" s="9"/>
      <c r="SI569" s="9"/>
      <c r="SJ569" s="9"/>
      <c r="SK569" s="9"/>
      <c r="SL569" s="9"/>
      <c r="SM569" s="9"/>
      <c r="SN569" s="9"/>
      <c r="SO569" s="9"/>
      <c r="SP569" s="9"/>
      <c r="SQ569" s="9"/>
      <c r="SR569" s="9"/>
      <c r="SS569" s="9"/>
      <c r="ST569" s="9"/>
      <c r="SU569" s="9"/>
      <c r="SV569" s="9"/>
      <c r="SW569" s="9"/>
      <c r="SX569" s="9"/>
      <c r="SY569" s="9"/>
      <c r="SZ569" s="9"/>
      <c r="TA569" s="9"/>
      <c r="TB569" s="9"/>
      <c r="TC569" s="9"/>
      <c r="TD569" s="9"/>
      <c r="TE569" s="9"/>
      <c r="TF569" s="9"/>
      <c r="TG569" s="9"/>
      <c r="TH569" s="9"/>
      <c r="TI569" s="9"/>
      <c r="TJ569" s="9"/>
      <c r="TK569" s="9"/>
      <c r="TL569" s="9"/>
      <c r="TM569" s="9"/>
      <c r="TN569" s="9"/>
      <c r="TO569" s="9"/>
      <c r="TP569" s="9"/>
      <c r="TQ569" s="9"/>
      <c r="TR569" s="9"/>
      <c r="TS569" s="9"/>
      <c r="TT569" s="9"/>
      <c r="TU569" s="9"/>
      <c r="TV569" s="9"/>
      <c r="TW569" s="9"/>
      <c r="TX569" s="9"/>
      <c r="TY569" s="9"/>
      <c r="TZ569" s="9"/>
      <c r="UA569" s="9"/>
      <c r="UB569" s="9"/>
      <c r="UC569" s="9"/>
      <c r="UD569" s="9"/>
      <c r="UE569" s="9"/>
      <c r="UF569" s="9"/>
      <c r="UG569" s="9"/>
      <c r="UH569" s="9"/>
      <c r="UI569" s="9"/>
      <c r="UJ569" s="9"/>
    </row>
    <row r="570">
      <c r="A570" s="8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  <c r="HO570" s="9"/>
      <c r="HP570" s="9"/>
      <c r="HQ570" s="9"/>
      <c r="HR570" s="9"/>
      <c r="HS570" s="9"/>
      <c r="HT570" s="9"/>
      <c r="HU570" s="9"/>
      <c r="HV570" s="9"/>
      <c r="HW570" s="9"/>
      <c r="HX570" s="9"/>
      <c r="HY570" s="9"/>
      <c r="HZ570" s="9"/>
      <c r="IA570" s="9"/>
      <c r="IB570" s="9"/>
      <c r="IC570" s="9"/>
      <c r="ID570" s="9"/>
      <c r="IE570" s="9"/>
      <c r="IF570" s="9"/>
      <c r="IG570" s="9"/>
      <c r="IH570" s="9"/>
      <c r="II570" s="9"/>
      <c r="IJ570" s="9"/>
      <c r="IK570" s="9"/>
      <c r="IL570" s="9"/>
      <c r="IM570" s="9"/>
      <c r="IN570" s="9"/>
      <c r="IO570" s="9"/>
      <c r="IP570" s="9"/>
      <c r="IQ570" s="9"/>
      <c r="IR570" s="9"/>
      <c r="IS570" s="9"/>
      <c r="IT570" s="9"/>
      <c r="IU570" s="9"/>
      <c r="IV570" s="9"/>
      <c r="IW570" s="9"/>
      <c r="IX570" s="9"/>
      <c r="IY570" s="9"/>
      <c r="IZ570" s="9"/>
      <c r="JA570" s="9"/>
      <c r="JB570" s="9"/>
      <c r="JC570" s="9"/>
      <c r="JD570" s="9"/>
      <c r="JE570" s="9"/>
      <c r="JF570" s="9"/>
      <c r="JG570" s="9"/>
      <c r="JH570" s="9"/>
      <c r="JI570" s="9"/>
      <c r="JJ570" s="9"/>
      <c r="JK570" s="9"/>
      <c r="JL570" s="9"/>
      <c r="JM570" s="9"/>
      <c r="JN570" s="9"/>
      <c r="JO570" s="9"/>
      <c r="JP570" s="9"/>
      <c r="JQ570" s="9"/>
      <c r="JR570" s="9"/>
      <c r="JS570" s="9"/>
      <c r="JT570" s="9"/>
      <c r="JU570" s="9"/>
      <c r="JV570" s="9"/>
      <c r="JW570" s="9"/>
      <c r="JX570" s="9"/>
      <c r="JY570" s="9"/>
      <c r="JZ570" s="9"/>
      <c r="KA570" s="9"/>
      <c r="KB570" s="9"/>
      <c r="KC570" s="9"/>
      <c r="KD570" s="9"/>
      <c r="KE570" s="9"/>
      <c r="KF570" s="9"/>
      <c r="KG570" s="9"/>
      <c r="KH570" s="9"/>
      <c r="KI570" s="9"/>
      <c r="KJ570" s="9"/>
      <c r="KK570" s="9"/>
      <c r="KL570" s="9"/>
      <c r="KM570" s="9"/>
      <c r="KN570" s="9"/>
      <c r="KO570" s="9"/>
      <c r="KP570" s="9"/>
      <c r="KQ570" s="9"/>
      <c r="KR570" s="9"/>
      <c r="KS570" s="9"/>
      <c r="KT570" s="9"/>
      <c r="KU570" s="9"/>
      <c r="KV570" s="9"/>
      <c r="KW570" s="9"/>
      <c r="KX570" s="9"/>
      <c r="KY570" s="9"/>
      <c r="KZ570" s="9"/>
      <c r="LA570" s="9"/>
      <c r="LB570" s="9"/>
      <c r="LC570" s="9"/>
      <c r="LD570" s="9"/>
      <c r="LE570" s="9"/>
      <c r="LF570" s="9"/>
      <c r="LG570" s="9"/>
      <c r="LH570" s="9"/>
      <c r="LI570" s="9"/>
      <c r="LJ570" s="9"/>
      <c r="LK570" s="9"/>
      <c r="LL570" s="9"/>
      <c r="LM570" s="9"/>
      <c r="LN570" s="9"/>
      <c r="LO570" s="9"/>
      <c r="LP570" s="9"/>
      <c r="LQ570" s="9"/>
      <c r="LR570" s="9"/>
      <c r="LS570" s="9"/>
      <c r="LT570" s="9"/>
      <c r="LU570" s="9"/>
      <c r="LV570" s="9"/>
      <c r="LW570" s="9"/>
      <c r="LX570" s="9"/>
      <c r="LY570" s="9"/>
      <c r="LZ570" s="9"/>
      <c r="MA570" s="9"/>
      <c r="MB570" s="9"/>
      <c r="MC570" s="9"/>
      <c r="MD570" s="9"/>
      <c r="ME570" s="9"/>
      <c r="MF570" s="9"/>
      <c r="MG570" s="9"/>
      <c r="MH570" s="9"/>
      <c r="MI570" s="9"/>
      <c r="MJ570" s="9"/>
      <c r="MK570" s="9"/>
      <c r="ML570" s="9"/>
      <c r="MM570" s="9"/>
      <c r="MN570" s="9"/>
      <c r="MO570" s="9"/>
      <c r="MP570" s="9"/>
      <c r="MQ570" s="9"/>
      <c r="MR570" s="9"/>
      <c r="MS570" s="9"/>
      <c r="MT570" s="9"/>
      <c r="MU570" s="9"/>
      <c r="MV570" s="9"/>
      <c r="MW570" s="9"/>
      <c r="MX570" s="9"/>
      <c r="MY570" s="9"/>
      <c r="MZ570" s="9"/>
      <c r="NA570" s="9"/>
      <c r="NB570" s="9"/>
      <c r="NC570" s="9"/>
      <c r="ND570" s="9"/>
      <c r="NE570" s="9"/>
      <c r="NF570" s="9"/>
      <c r="NG570" s="9"/>
      <c r="NH570" s="9"/>
      <c r="NI570" s="9"/>
      <c r="NJ570" s="9"/>
      <c r="NK570" s="9"/>
      <c r="NL570" s="9"/>
      <c r="NM570" s="9"/>
      <c r="NN570" s="9"/>
      <c r="NO570" s="9"/>
      <c r="NP570" s="9"/>
      <c r="NQ570" s="9"/>
      <c r="NR570" s="9"/>
      <c r="NS570" s="9"/>
      <c r="NT570" s="9"/>
      <c r="NU570" s="9"/>
      <c r="NV570" s="9"/>
      <c r="NW570" s="9"/>
      <c r="NX570" s="9"/>
      <c r="NY570" s="9"/>
      <c r="NZ570" s="9"/>
      <c r="OA570" s="9"/>
      <c r="OB570" s="9"/>
      <c r="OC570" s="9"/>
      <c r="OD570" s="9"/>
      <c r="OE570" s="9"/>
      <c r="OF570" s="9"/>
      <c r="OG570" s="9"/>
      <c r="OH570" s="9"/>
      <c r="OI570" s="9"/>
      <c r="OJ570" s="9"/>
      <c r="OK570" s="9"/>
      <c r="OL570" s="9"/>
      <c r="OM570" s="9"/>
      <c r="ON570" s="9"/>
      <c r="OO570" s="9"/>
      <c r="OP570" s="9"/>
      <c r="OQ570" s="9"/>
      <c r="OR570" s="9"/>
      <c r="OS570" s="9"/>
      <c r="OT570" s="9"/>
      <c r="OU570" s="9"/>
      <c r="OV570" s="9"/>
      <c r="OW570" s="9"/>
      <c r="OX570" s="9"/>
      <c r="OY570" s="9"/>
      <c r="OZ570" s="9"/>
      <c r="PA570" s="9"/>
      <c r="PB570" s="9"/>
      <c r="PC570" s="9"/>
      <c r="PD570" s="9"/>
      <c r="PE570" s="9"/>
      <c r="PF570" s="9"/>
      <c r="PG570" s="9"/>
      <c r="PH570" s="9"/>
      <c r="PI570" s="9"/>
      <c r="PJ570" s="9"/>
      <c r="PK570" s="9"/>
      <c r="PL570" s="9"/>
      <c r="PM570" s="9"/>
      <c r="PN570" s="9"/>
      <c r="PO570" s="9"/>
      <c r="PP570" s="9"/>
      <c r="PQ570" s="9"/>
      <c r="PR570" s="9"/>
      <c r="PS570" s="9"/>
      <c r="PT570" s="9"/>
      <c r="PU570" s="9"/>
      <c r="PV570" s="9"/>
      <c r="PW570" s="9"/>
      <c r="PX570" s="9"/>
      <c r="PY570" s="9"/>
      <c r="PZ570" s="9"/>
      <c r="QA570" s="9"/>
      <c r="QB570" s="9"/>
      <c r="QC570" s="9"/>
      <c r="QD570" s="9"/>
      <c r="QE570" s="9"/>
      <c r="QF570" s="9"/>
      <c r="QG570" s="9"/>
      <c r="QH570" s="9"/>
      <c r="QI570" s="9"/>
      <c r="QJ570" s="9"/>
      <c r="QK570" s="9"/>
      <c r="QL570" s="9"/>
      <c r="QM570" s="9"/>
      <c r="QN570" s="9"/>
      <c r="QO570" s="9"/>
      <c r="QP570" s="9"/>
      <c r="QQ570" s="9"/>
      <c r="QR570" s="9"/>
      <c r="QS570" s="9"/>
      <c r="QT570" s="9"/>
      <c r="QU570" s="9"/>
      <c r="QV570" s="9"/>
      <c r="QW570" s="9"/>
      <c r="QX570" s="9"/>
      <c r="QY570" s="9"/>
      <c r="QZ570" s="9"/>
      <c r="RA570" s="9"/>
      <c r="RB570" s="9"/>
      <c r="RC570" s="9"/>
      <c r="RD570" s="9"/>
      <c r="RE570" s="9"/>
      <c r="RF570" s="9"/>
      <c r="RG570" s="9"/>
      <c r="RH570" s="9"/>
      <c r="RI570" s="9"/>
      <c r="RJ570" s="9"/>
      <c r="RK570" s="9"/>
      <c r="RL570" s="9"/>
      <c r="RM570" s="9"/>
      <c r="RN570" s="9"/>
      <c r="RO570" s="9"/>
      <c r="RP570" s="9"/>
      <c r="RQ570" s="9"/>
      <c r="RR570" s="9"/>
      <c r="RS570" s="9"/>
      <c r="RT570" s="9"/>
      <c r="RU570" s="9"/>
      <c r="RV570" s="9"/>
      <c r="RW570" s="9"/>
      <c r="RX570" s="9"/>
      <c r="RY570" s="9"/>
      <c r="RZ570" s="9"/>
      <c r="SA570" s="9"/>
      <c r="SB570" s="9"/>
      <c r="SC570" s="9"/>
      <c r="SD570" s="9"/>
      <c r="SE570" s="9"/>
      <c r="SF570" s="9"/>
      <c r="SG570" s="9"/>
      <c r="SH570" s="9"/>
      <c r="SI570" s="9"/>
      <c r="SJ570" s="9"/>
      <c r="SK570" s="9"/>
      <c r="SL570" s="9"/>
      <c r="SM570" s="9"/>
      <c r="SN570" s="9"/>
      <c r="SO570" s="9"/>
      <c r="SP570" s="9"/>
      <c r="SQ570" s="9"/>
      <c r="SR570" s="9"/>
      <c r="SS570" s="9"/>
      <c r="ST570" s="9"/>
      <c r="SU570" s="9"/>
      <c r="SV570" s="9"/>
      <c r="SW570" s="9"/>
      <c r="SX570" s="9"/>
      <c r="SY570" s="9"/>
      <c r="SZ570" s="9"/>
      <c r="TA570" s="9"/>
      <c r="TB570" s="9"/>
      <c r="TC570" s="9"/>
      <c r="TD570" s="9"/>
      <c r="TE570" s="9"/>
      <c r="TF570" s="9"/>
      <c r="TG570" s="9"/>
      <c r="TH570" s="9"/>
      <c r="TI570" s="9"/>
      <c r="TJ570" s="9"/>
      <c r="TK570" s="9"/>
      <c r="TL570" s="9"/>
      <c r="TM570" s="9"/>
      <c r="TN570" s="9"/>
      <c r="TO570" s="9"/>
      <c r="TP570" s="9"/>
      <c r="TQ570" s="9"/>
      <c r="TR570" s="9"/>
      <c r="TS570" s="9"/>
      <c r="TT570" s="9"/>
      <c r="TU570" s="9"/>
      <c r="TV570" s="9"/>
      <c r="TW570" s="9"/>
      <c r="TX570" s="9"/>
      <c r="TY570" s="9"/>
      <c r="TZ570" s="9"/>
      <c r="UA570" s="9"/>
      <c r="UB570" s="9"/>
      <c r="UC570" s="9"/>
      <c r="UD570" s="9"/>
      <c r="UE570" s="9"/>
      <c r="UF570" s="9"/>
      <c r="UG570" s="9"/>
      <c r="UH570" s="9"/>
      <c r="UI570" s="9"/>
      <c r="UJ570" s="9"/>
    </row>
    <row r="571">
      <c r="A571" s="8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  <c r="HO571" s="9"/>
      <c r="HP571" s="9"/>
      <c r="HQ571" s="9"/>
      <c r="HR571" s="9"/>
      <c r="HS571" s="9"/>
      <c r="HT571" s="9"/>
      <c r="HU571" s="9"/>
      <c r="HV571" s="9"/>
      <c r="HW571" s="9"/>
      <c r="HX571" s="9"/>
      <c r="HY571" s="9"/>
      <c r="HZ571" s="9"/>
      <c r="IA571" s="9"/>
      <c r="IB571" s="9"/>
      <c r="IC571" s="9"/>
      <c r="ID571" s="9"/>
      <c r="IE571" s="9"/>
      <c r="IF571" s="9"/>
      <c r="IG571" s="9"/>
      <c r="IH571" s="9"/>
      <c r="II571" s="9"/>
      <c r="IJ571" s="9"/>
      <c r="IK571" s="9"/>
      <c r="IL571" s="9"/>
      <c r="IM571" s="9"/>
      <c r="IN571" s="9"/>
      <c r="IO571" s="9"/>
      <c r="IP571" s="9"/>
      <c r="IQ571" s="9"/>
      <c r="IR571" s="9"/>
      <c r="IS571" s="9"/>
      <c r="IT571" s="9"/>
      <c r="IU571" s="9"/>
      <c r="IV571" s="9"/>
      <c r="IW571" s="9"/>
      <c r="IX571" s="9"/>
      <c r="IY571" s="9"/>
      <c r="IZ571" s="9"/>
      <c r="JA571" s="9"/>
      <c r="JB571" s="9"/>
      <c r="JC571" s="9"/>
      <c r="JD571" s="9"/>
      <c r="JE571" s="9"/>
      <c r="JF571" s="9"/>
      <c r="JG571" s="9"/>
      <c r="JH571" s="9"/>
      <c r="JI571" s="9"/>
      <c r="JJ571" s="9"/>
      <c r="JK571" s="9"/>
      <c r="JL571" s="9"/>
      <c r="JM571" s="9"/>
      <c r="JN571" s="9"/>
      <c r="JO571" s="9"/>
      <c r="JP571" s="9"/>
      <c r="JQ571" s="9"/>
      <c r="JR571" s="9"/>
      <c r="JS571" s="9"/>
      <c r="JT571" s="9"/>
      <c r="JU571" s="9"/>
      <c r="JV571" s="9"/>
      <c r="JW571" s="9"/>
      <c r="JX571" s="9"/>
      <c r="JY571" s="9"/>
      <c r="JZ571" s="9"/>
      <c r="KA571" s="9"/>
      <c r="KB571" s="9"/>
      <c r="KC571" s="9"/>
      <c r="KD571" s="9"/>
      <c r="KE571" s="9"/>
      <c r="KF571" s="9"/>
      <c r="KG571" s="9"/>
      <c r="KH571" s="9"/>
      <c r="KI571" s="9"/>
      <c r="KJ571" s="9"/>
      <c r="KK571" s="9"/>
      <c r="KL571" s="9"/>
      <c r="KM571" s="9"/>
      <c r="KN571" s="9"/>
      <c r="KO571" s="9"/>
      <c r="KP571" s="9"/>
      <c r="KQ571" s="9"/>
      <c r="KR571" s="9"/>
      <c r="KS571" s="9"/>
      <c r="KT571" s="9"/>
      <c r="KU571" s="9"/>
      <c r="KV571" s="9"/>
      <c r="KW571" s="9"/>
      <c r="KX571" s="9"/>
      <c r="KY571" s="9"/>
      <c r="KZ571" s="9"/>
      <c r="LA571" s="9"/>
      <c r="LB571" s="9"/>
      <c r="LC571" s="9"/>
      <c r="LD571" s="9"/>
      <c r="LE571" s="9"/>
      <c r="LF571" s="9"/>
      <c r="LG571" s="9"/>
      <c r="LH571" s="9"/>
      <c r="LI571" s="9"/>
      <c r="LJ571" s="9"/>
      <c r="LK571" s="9"/>
      <c r="LL571" s="9"/>
      <c r="LM571" s="9"/>
      <c r="LN571" s="9"/>
      <c r="LO571" s="9"/>
      <c r="LP571" s="9"/>
      <c r="LQ571" s="9"/>
      <c r="LR571" s="9"/>
      <c r="LS571" s="9"/>
      <c r="LT571" s="9"/>
      <c r="LU571" s="9"/>
      <c r="LV571" s="9"/>
      <c r="LW571" s="9"/>
      <c r="LX571" s="9"/>
      <c r="LY571" s="9"/>
      <c r="LZ571" s="9"/>
      <c r="MA571" s="9"/>
      <c r="MB571" s="9"/>
      <c r="MC571" s="9"/>
      <c r="MD571" s="9"/>
      <c r="ME571" s="9"/>
      <c r="MF571" s="9"/>
      <c r="MG571" s="9"/>
      <c r="MH571" s="9"/>
      <c r="MI571" s="9"/>
      <c r="MJ571" s="9"/>
      <c r="MK571" s="9"/>
      <c r="ML571" s="9"/>
      <c r="MM571" s="9"/>
      <c r="MN571" s="9"/>
      <c r="MO571" s="9"/>
      <c r="MP571" s="9"/>
      <c r="MQ571" s="9"/>
      <c r="MR571" s="9"/>
      <c r="MS571" s="9"/>
      <c r="MT571" s="9"/>
      <c r="MU571" s="9"/>
      <c r="MV571" s="9"/>
      <c r="MW571" s="9"/>
      <c r="MX571" s="9"/>
      <c r="MY571" s="9"/>
      <c r="MZ571" s="9"/>
      <c r="NA571" s="9"/>
      <c r="NB571" s="9"/>
      <c r="NC571" s="9"/>
      <c r="ND571" s="9"/>
      <c r="NE571" s="9"/>
      <c r="NF571" s="9"/>
      <c r="NG571" s="9"/>
      <c r="NH571" s="9"/>
      <c r="NI571" s="9"/>
      <c r="NJ571" s="9"/>
      <c r="NK571" s="9"/>
      <c r="NL571" s="9"/>
      <c r="NM571" s="9"/>
      <c r="NN571" s="9"/>
      <c r="NO571" s="9"/>
      <c r="NP571" s="9"/>
      <c r="NQ571" s="9"/>
      <c r="NR571" s="9"/>
      <c r="NS571" s="9"/>
      <c r="NT571" s="9"/>
      <c r="NU571" s="9"/>
      <c r="NV571" s="9"/>
      <c r="NW571" s="9"/>
      <c r="NX571" s="9"/>
      <c r="NY571" s="9"/>
      <c r="NZ571" s="9"/>
      <c r="OA571" s="9"/>
      <c r="OB571" s="9"/>
      <c r="OC571" s="9"/>
      <c r="OD571" s="9"/>
      <c r="OE571" s="9"/>
      <c r="OF571" s="9"/>
      <c r="OG571" s="9"/>
      <c r="OH571" s="9"/>
      <c r="OI571" s="9"/>
      <c r="OJ571" s="9"/>
      <c r="OK571" s="9"/>
      <c r="OL571" s="9"/>
      <c r="OM571" s="9"/>
      <c r="ON571" s="9"/>
      <c r="OO571" s="9"/>
      <c r="OP571" s="9"/>
      <c r="OQ571" s="9"/>
      <c r="OR571" s="9"/>
      <c r="OS571" s="9"/>
      <c r="OT571" s="9"/>
      <c r="OU571" s="9"/>
      <c r="OV571" s="9"/>
      <c r="OW571" s="9"/>
      <c r="OX571" s="9"/>
      <c r="OY571" s="9"/>
      <c r="OZ571" s="9"/>
      <c r="PA571" s="9"/>
      <c r="PB571" s="9"/>
      <c r="PC571" s="9"/>
      <c r="PD571" s="9"/>
      <c r="PE571" s="9"/>
      <c r="PF571" s="9"/>
      <c r="PG571" s="9"/>
      <c r="PH571" s="9"/>
      <c r="PI571" s="9"/>
      <c r="PJ571" s="9"/>
      <c r="PK571" s="9"/>
      <c r="PL571" s="9"/>
      <c r="PM571" s="9"/>
      <c r="PN571" s="9"/>
      <c r="PO571" s="9"/>
      <c r="PP571" s="9"/>
      <c r="PQ571" s="9"/>
      <c r="PR571" s="9"/>
      <c r="PS571" s="9"/>
      <c r="PT571" s="9"/>
      <c r="PU571" s="9"/>
      <c r="PV571" s="9"/>
      <c r="PW571" s="9"/>
      <c r="PX571" s="9"/>
      <c r="PY571" s="9"/>
      <c r="PZ571" s="9"/>
      <c r="QA571" s="9"/>
      <c r="QB571" s="9"/>
      <c r="QC571" s="9"/>
      <c r="QD571" s="9"/>
      <c r="QE571" s="9"/>
      <c r="QF571" s="9"/>
      <c r="QG571" s="9"/>
      <c r="QH571" s="9"/>
      <c r="QI571" s="9"/>
      <c r="QJ571" s="9"/>
      <c r="QK571" s="9"/>
      <c r="QL571" s="9"/>
      <c r="QM571" s="9"/>
      <c r="QN571" s="9"/>
      <c r="QO571" s="9"/>
      <c r="QP571" s="9"/>
      <c r="QQ571" s="9"/>
      <c r="QR571" s="9"/>
      <c r="QS571" s="9"/>
      <c r="QT571" s="9"/>
      <c r="QU571" s="9"/>
      <c r="QV571" s="9"/>
      <c r="QW571" s="9"/>
      <c r="QX571" s="9"/>
      <c r="QY571" s="9"/>
      <c r="QZ571" s="9"/>
      <c r="RA571" s="9"/>
      <c r="RB571" s="9"/>
      <c r="RC571" s="9"/>
      <c r="RD571" s="9"/>
      <c r="RE571" s="9"/>
      <c r="RF571" s="9"/>
      <c r="RG571" s="9"/>
      <c r="RH571" s="9"/>
      <c r="RI571" s="9"/>
      <c r="RJ571" s="9"/>
      <c r="RK571" s="9"/>
      <c r="RL571" s="9"/>
      <c r="RM571" s="9"/>
      <c r="RN571" s="9"/>
      <c r="RO571" s="9"/>
      <c r="RP571" s="9"/>
      <c r="RQ571" s="9"/>
      <c r="RR571" s="9"/>
      <c r="RS571" s="9"/>
      <c r="RT571" s="9"/>
      <c r="RU571" s="9"/>
      <c r="RV571" s="9"/>
      <c r="RW571" s="9"/>
      <c r="RX571" s="9"/>
      <c r="RY571" s="9"/>
      <c r="RZ571" s="9"/>
      <c r="SA571" s="9"/>
      <c r="SB571" s="9"/>
      <c r="SC571" s="9"/>
      <c r="SD571" s="9"/>
      <c r="SE571" s="9"/>
      <c r="SF571" s="9"/>
      <c r="SG571" s="9"/>
      <c r="SH571" s="9"/>
      <c r="SI571" s="9"/>
      <c r="SJ571" s="9"/>
      <c r="SK571" s="9"/>
      <c r="SL571" s="9"/>
      <c r="SM571" s="9"/>
      <c r="SN571" s="9"/>
      <c r="SO571" s="9"/>
      <c r="SP571" s="9"/>
      <c r="SQ571" s="9"/>
      <c r="SR571" s="9"/>
      <c r="SS571" s="9"/>
      <c r="ST571" s="9"/>
      <c r="SU571" s="9"/>
      <c r="SV571" s="9"/>
      <c r="SW571" s="9"/>
      <c r="SX571" s="9"/>
      <c r="SY571" s="9"/>
      <c r="SZ571" s="9"/>
      <c r="TA571" s="9"/>
      <c r="TB571" s="9"/>
      <c r="TC571" s="9"/>
      <c r="TD571" s="9"/>
      <c r="TE571" s="9"/>
      <c r="TF571" s="9"/>
      <c r="TG571" s="9"/>
      <c r="TH571" s="9"/>
      <c r="TI571" s="9"/>
      <c r="TJ571" s="9"/>
      <c r="TK571" s="9"/>
      <c r="TL571" s="9"/>
      <c r="TM571" s="9"/>
      <c r="TN571" s="9"/>
      <c r="TO571" s="9"/>
      <c r="TP571" s="9"/>
      <c r="TQ571" s="9"/>
      <c r="TR571" s="9"/>
      <c r="TS571" s="9"/>
      <c r="TT571" s="9"/>
      <c r="TU571" s="9"/>
      <c r="TV571" s="9"/>
      <c r="TW571" s="9"/>
      <c r="TX571" s="9"/>
      <c r="TY571" s="9"/>
      <c r="TZ571" s="9"/>
      <c r="UA571" s="9"/>
      <c r="UB571" s="9"/>
      <c r="UC571" s="9"/>
      <c r="UD571" s="9"/>
      <c r="UE571" s="9"/>
      <c r="UF571" s="9"/>
      <c r="UG571" s="9"/>
      <c r="UH571" s="9"/>
      <c r="UI571" s="9"/>
      <c r="UJ571" s="9"/>
    </row>
    <row r="572">
      <c r="A572" s="8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  <c r="HZ572" s="9"/>
      <c r="IA572" s="9"/>
      <c r="IB572" s="9"/>
      <c r="IC572" s="9"/>
      <c r="ID572" s="9"/>
      <c r="IE572" s="9"/>
      <c r="IF572" s="9"/>
      <c r="IG572" s="9"/>
      <c r="IH572" s="9"/>
      <c r="II572" s="9"/>
      <c r="IJ572" s="9"/>
      <c r="IK572" s="9"/>
      <c r="IL572" s="9"/>
      <c r="IM572" s="9"/>
      <c r="IN572" s="9"/>
      <c r="IO572" s="9"/>
      <c r="IP572" s="9"/>
      <c r="IQ572" s="9"/>
      <c r="IR572" s="9"/>
      <c r="IS572" s="9"/>
      <c r="IT572" s="9"/>
      <c r="IU572" s="9"/>
      <c r="IV572" s="9"/>
      <c r="IW572" s="9"/>
      <c r="IX572" s="9"/>
      <c r="IY572" s="9"/>
      <c r="IZ572" s="9"/>
      <c r="JA572" s="9"/>
      <c r="JB572" s="9"/>
      <c r="JC572" s="9"/>
      <c r="JD572" s="9"/>
      <c r="JE572" s="9"/>
      <c r="JF572" s="9"/>
      <c r="JG572" s="9"/>
      <c r="JH572" s="9"/>
      <c r="JI572" s="9"/>
      <c r="JJ572" s="9"/>
      <c r="JK572" s="9"/>
      <c r="JL572" s="9"/>
      <c r="JM572" s="9"/>
      <c r="JN572" s="9"/>
      <c r="JO572" s="9"/>
      <c r="JP572" s="9"/>
      <c r="JQ572" s="9"/>
      <c r="JR572" s="9"/>
      <c r="JS572" s="9"/>
      <c r="JT572" s="9"/>
      <c r="JU572" s="9"/>
      <c r="JV572" s="9"/>
      <c r="JW572" s="9"/>
      <c r="JX572" s="9"/>
      <c r="JY572" s="9"/>
      <c r="JZ572" s="9"/>
      <c r="KA572" s="9"/>
      <c r="KB572" s="9"/>
      <c r="KC572" s="9"/>
      <c r="KD572" s="9"/>
      <c r="KE572" s="9"/>
      <c r="KF572" s="9"/>
      <c r="KG572" s="9"/>
      <c r="KH572" s="9"/>
      <c r="KI572" s="9"/>
      <c r="KJ572" s="9"/>
      <c r="KK572" s="9"/>
      <c r="KL572" s="9"/>
      <c r="KM572" s="9"/>
      <c r="KN572" s="9"/>
      <c r="KO572" s="9"/>
      <c r="KP572" s="9"/>
      <c r="KQ572" s="9"/>
      <c r="KR572" s="9"/>
      <c r="KS572" s="9"/>
      <c r="KT572" s="9"/>
      <c r="KU572" s="9"/>
      <c r="KV572" s="9"/>
      <c r="KW572" s="9"/>
      <c r="KX572" s="9"/>
      <c r="KY572" s="9"/>
      <c r="KZ572" s="9"/>
      <c r="LA572" s="9"/>
      <c r="LB572" s="9"/>
      <c r="LC572" s="9"/>
      <c r="LD572" s="9"/>
      <c r="LE572" s="9"/>
      <c r="LF572" s="9"/>
      <c r="LG572" s="9"/>
      <c r="LH572" s="9"/>
      <c r="LI572" s="9"/>
      <c r="LJ572" s="9"/>
      <c r="LK572" s="9"/>
      <c r="LL572" s="9"/>
      <c r="LM572" s="9"/>
      <c r="LN572" s="9"/>
      <c r="LO572" s="9"/>
      <c r="LP572" s="9"/>
      <c r="LQ572" s="9"/>
      <c r="LR572" s="9"/>
      <c r="LS572" s="9"/>
      <c r="LT572" s="9"/>
      <c r="LU572" s="9"/>
      <c r="LV572" s="9"/>
      <c r="LW572" s="9"/>
      <c r="LX572" s="9"/>
      <c r="LY572" s="9"/>
      <c r="LZ572" s="9"/>
      <c r="MA572" s="9"/>
      <c r="MB572" s="9"/>
      <c r="MC572" s="9"/>
      <c r="MD572" s="9"/>
      <c r="ME572" s="9"/>
      <c r="MF572" s="9"/>
      <c r="MG572" s="9"/>
      <c r="MH572" s="9"/>
      <c r="MI572" s="9"/>
      <c r="MJ572" s="9"/>
      <c r="MK572" s="9"/>
      <c r="ML572" s="9"/>
      <c r="MM572" s="9"/>
      <c r="MN572" s="9"/>
      <c r="MO572" s="9"/>
      <c r="MP572" s="9"/>
      <c r="MQ572" s="9"/>
      <c r="MR572" s="9"/>
      <c r="MS572" s="9"/>
      <c r="MT572" s="9"/>
      <c r="MU572" s="9"/>
      <c r="MV572" s="9"/>
      <c r="MW572" s="9"/>
      <c r="MX572" s="9"/>
      <c r="MY572" s="9"/>
      <c r="MZ572" s="9"/>
      <c r="NA572" s="9"/>
      <c r="NB572" s="9"/>
      <c r="NC572" s="9"/>
      <c r="ND572" s="9"/>
      <c r="NE572" s="9"/>
      <c r="NF572" s="9"/>
      <c r="NG572" s="9"/>
      <c r="NH572" s="9"/>
      <c r="NI572" s="9"/>
      <c r="NJ572" s="9"/>
      <c r="NK572" s="9"/>
      <c r="NL572" s="9"/>
      <c r="NM572" s="9"/>
      <c r="NN572" s="9"/>
      <c r="NO572" s="9"/>
      <c r="NP572" s="9"/>
      <c r="NQ572" s="9"/>
      <c r="NR572" s="9"/>
      <c r="NS572" s="9"/>
      <c r="NT572" s="9"/>
      <c r="NU572" s="9"/>
      <c r="NV572" s="9"/>
      <c r="NW572" s="9"/>
      <c r="NX572" s="9"/>
      <c r="NY572" s="9"/>
      <c r="NZ572" s="9"/>
      <c r="OA572" s="9"/>
      <c r="OB572" s="9"/>
      <c r="OC572" s="9"/>
      <c r="OD572" s="9"/>
      <c r="OE572" s="9"/>
      <c r="OF572" s="9"/>
      <c r="OG572" s="9"/>
      <c r="OH572" s="9"/>
      <c r="OI572" s="9"/>
      <c r="OJ572" s="9"/>
      <c r="OK572" s="9"/>
      <c r="OL572" s="9"/>
      <c r="OM572" s="9"/>
      <c r="ON572" s="9"/>
      <c r="OO572" s="9"/>
      <c r="OP572" s="9"/>
      <c r="OQ572" s="9"/>
      <c r="OR572" s="9"/>
      <c r="OS572" s="9"/>
      <c r="OT572" s="9"/>
      <c r="OU572" s="9"/>
      <c r="OV572" s="9"/>
      <c r="OW572" s="9"/>
      <c r="OX572" s="9"/>
      <c r="OY572" s="9"/>
      <c r="OZ572" s="9"/>
      <c r="PA572" s="9"/>
      <c r="PB572" s="9"/>
      <c r="PC572" s="9"/>
      <c r="PD572" s="9"/>
      <c r="PE572" s="9"/>
      <c r="PF572" s="9"/>
      <c r="PG572" s="9"/>
      <c r="PH572" s="9"/>
      <c r="PI572" s="9"/>
      <c r="PJ572" s="9"/>
      <c r="PK572" s="9"/>
      <c r="PL572" s="9"/>
      <c r="PM572" s="9"/>
      <c r="PN572" s="9"/>
      <c r="PO572" s="9"/>
      <c r="PP572" s="9"/>
      <c r="PQ572" s="9"/>
      <c r="PR572" s="9"/>
      <c r="PS572" s="9"/>
      <c r="PT572" s="9"/>
      <c r="PU572" s="9"/>
      <c r="PV572" s="9"/>
      <c r="PW572" s="9"/>
      <c r="PX572" s="9"/>
      <c r="PY572" s="9"/>
      <c r="PZ572" s="9"/>
      <c r="QA572" s="9"/>
      <c r="QB572" s="9"/>
      <c r="QC572" s="9"/>
      <c r="QD572" s="9"/>
      <c r="QE572" s="9"/>
      <c r="QF572" s="9"/>
      <c r="QG572" s="9"/>
      <c r="QH572" s="9"/>
      <c r="QI572" s="9"/>
      <c r="QJ572" s="9"/>
      <c r="QK572" s="9"/>
      <c r="QL572" s="9"/>
      <c r="QM572" s="9"/>
      <c r="QN572" s="9"/>
      <c r="QO572" s="9"/>
      <c r="QP572" s="9"/>
      <c r="QQ572" s="9"/>
      <c r="QR572" s="9"/>
      <c r="QS572" s="9"/>
      <c r="QT572" s="9"/>
      <c r="QU572" s="9"/>
      <c r="QV572" s="9"/>
      <c r="QW572" s="9"/>
      <c r="QX572" s="9"/>
      <c r="QY572" s="9"/>
      <c r="QZ572" s="9"/>
      <c r="RA572" s="9"/>
      <c r="RB572" s="9"/>
      <c r="RC572" s="9"/>
      <c r="RD572" s="9"/>
      <c r="RE572" s="9"/>
      <c r="RF572" s="9"/>
      <c r="RG572" s="9"/>
      <c r="RH572" s="9"/>
      <c r="RI572" s="9"/>
      <c r="RJ572" s="9"/>
      <c r="RK572" s="9"/>
      <c r="RL572" s="9"/>
      <c r="RM572" s="9"/>
      <c r="RN572" s="9"/>
      <c r="RO572" s="9"/>
      <c r="RP572" s="9"/>
      <c r="RQ572" s="9"/>
      <c r="RR572" s="9"/>
      <c r="RS572" s="9"/>
      <c r="RT572" s="9"/>
      <c r="RU572" s="9"/>
      <c r="RV572" s="9"/>
      <c r="RW572" s="9"/>
      <c r="RX572" s="9"/>
      <c r="RY572" s="9"/>
      <c r="RZ572" s="9"/>
      <c r="SA572" s="9"/>
      <c r="SB572" s="9"/>
      <c r="SC572" s="9"/>
      <c r="SD572" s="9"/>
      <c r="SE572" s="9"/>
      <c r="SF572" s="9"/>
      <c r="SG572" s="9"/>
      <c r="SH572" s="9"/>
      <c r="SI572" s="9"/>
      <c r="SJ572" s="9"/>
      <c r="SK572" s="9"/>
      <c r="SL572" s="9"/>
      <c r="SM572" s="9"/>
      <c r="SN572" s="9"/>
      <c r="SO572" s="9"/>
      <c r="SP572" s="9"/>
      <c r="SQ572" s="9"/>
      <c r="SR572" s="9"/>
      <c r="SS572" s="9"/>
      <c r="ST572" s="9"/>
      <c r="SU572" s="9"/>
      <c r="SV572" s="9"/>
      <c r="SW572" s="9"/>
      <c r="SX572" s="9"/>
      <c r="SY572" s="9"/>
      <c r="SZ572" s="9"/>
      <c r="TA572" s="9"/>
      <c r="TB572" s="9"/>
      <c r="TC572" s="9"/>
      <c r="TD572" s="9"/>
      <c r="TE572" s="9"/>
      <c r="TF572" s="9"/>
      <c r="TG572" s="9"/>
      <c r="TH572" s="9"/>
      <c r="TI572" s="9"/>
      <c r="TJ572" s="9"/>
      <c r="TK572" s="9"/>
      <c r="TL572" s="9"/>
      <c r="TM572" s="9"/>
      <c r="TN572" s="9"/>
      <c r="TO572" s="9"/>
      <c r="TP572" s="9"/>
      <c r="TQ572" s="9"/>
      <c r="TR572" s="9"/>
      <c r="TS572" s="9"/>
      <c r="TT572" s="9"/>
      <c r="TU572" s="9"/>
      <c r="TV572" s="9"/>
      <c r="TW572" s="9"/>
      <c r="TX572" s="9"/>
      <c r="TY572" s="9"/>
      <c r="TZ572" s="9"/>
      <c r="UA572" s="9"/>
      <c r="UB572" s="9"/>
      <c r="UC572" s="9"/>
      <c r="UD572" s="9"/>
      <c r="UE572" s="9"/>
      <c r="UF572" s="9"/>
      <c r="UG572" s="9"/>
      <c r="UH572" s="9"/>
      <c r="UI572" s="9"/>
      <c r="UJ572" s="9"/>
    </row>
    <row r="573">
      <c r="A573" s="8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  <c r="HZ573" s="9"/>
      <c r="IA573" s="9"/>
      <c r="IB573" s="9"/>
      <c r="IC573" s="9"/>
      <c r="ID573" s="9"/>
      <c r="IE573" s="9"/>
      <c r="IF573" s="9"/>
      <c r="IG573" s="9"/>
      <c r="IH573" s="9"/>
      <c r="II573" s="9"/>
      <c r="IJ573" s="9"/>
      <c r="IK573" s="9"/>
      <c r="IL573" s="9"/>
      <c r="IM573" s="9"/>
      <c r="IN573" s="9"/>
      <c r="IO573" s="9"/>
      <c r="IP573" s="9"/>
      <c r="IQ573" s="9"/>
      <c r="IR573" s="9"/>
      <c r="IS573" s="9"/>
      <c r="IT573" s="9"/>
      <c r="IU573" s="9"/>
      <c r="IV573" s="9"/>
      <c r="IW573" s="9"/>
      <c r="IX573" s="9"/>
      <c r="IY573" s="9"/>
      <c r="IZ573" s="9"/>
      <c r="JA573" s="9"/>
      <c r="JB573" s="9"/>
      <c r="JC573" s="9"/>
      <c r="JD573" s="9"/>
      <c r="JE573" s="9"/>
      <c r="JF573" s="9"/>
      <c r="JG573" s="9"/>
      <c r="JH573" s="9"/>
      <c r="JI573" s="9"/>
      <c r="JJ573" s="9"/>
      <c r="JK573" s="9"/>
      <c r="JL573" s="9"/>
      <c r="JM573" s="9"/>
      <c r="JN573" s="9"/>
      <c r="JO573" s="9"/>
      <c r="JP573" s="9"/>
      <c r="JQ573" s="9"/>
      <c r="JR573" s="9"/>
      <c r="JS573" s="9"/>
      <c r="JT573" s="9"/>
      <c r="JU573" s="9"/>
      <c r="JV573" s="9"/>
      <c r="JW573" s="9"/>
      <c r="JX573" s="9"/>
      <c r="JY573" s="9"/>
      <c r="JZ573" s="9"/>
      <c r="KA573" s="9"/>
      <c r="KB573" s="9"/>
      <c r="KC573" s="9"/>
      <c r="KD573" s="9"/>
      <c r="KE573" s="9"/>
      <c r="KF573" s="9"/>
      <c r="KG573" s="9"/>
      <c r="KH573" s="9"/>
      <c r="KI573" s="9"/>
      <c r="KJ573" s="9"/>
      <c r="KK573" s="9"/>
      <c r="KL573" s="9"/>
      <c r="KM573" s="9"/>
      <c r="KN573" s="9"/>
      <c r="KO573" s="9"/>
      <c r="KP573" s="9"/>
      <c r="KQ573" s="9"/>
      <c r="KR573" s="9"/>
      <c r="KS573" s="9"/>
      <c r="KT573" s="9"/>
      <c r="KU573" s="9"/>
      <c r="KV573" s="9"/>
      <c r="KW573" s="9"/>
      <c r="KX573" s="9"/>
      <c r="KY573" s="9"/>
      <c r="KZ573" s="9"/>
      <c r="LA573" s="9"/>
      <c r="LB573" s="9"/>
      <c r="LC573" s="9"/>
      <c r="LD573" s="9"/>
      <c r="LE573" s="9"/>
      <c r="LF573" s="9"/>
      <c r="LG573" s="9"/>
      <c r="LH573" s="9"/>
      <c r="LI573" s="9"/>
      <c r="LJ573" s="9"/>
      <c r="LK573" s="9"/>
      <c r="LL573" s="9"/>
      <c r="LM573" s="9"/>
      <c r="LN573" s="9"/>
      <c r="LO573" s="9"/>
      <c r="LP573" s="9"/>
      <c r="LQ573" s="9"/>
      <c r="LR573" s="9"/>
      <c r="LS573" s="9"/>
      <c r="LT573" s="9"/>
      <c r="LU573" s="9"/>
      <c r="LV573" s="9"/>
      <c r="LW573" s="9"/>
      <c r="LX573" s="9"/>
      <c r="LY573" s="9"/>
      <c r="LZ573" s="9"/>
      <c r="MA573" s="9"/>
      <c r="MB573" s="9"/>
      <c r="MC573" s="9"/>
      <c r="MD573" s="9"/>
      <c r="ME573" s="9"/>
      <c r="MF573" s="9"/>
      <c r="MG573" s="9"/>
      <c r="MH573" s="9"/>
      <c r="MI573" s="9"/>
      <c r="MJ573" s="9"/>
      <c r="MK573" s="9"/>
      <c r="ML573" s="9"/>
      <c r="MM573" s="9"/>
      <c r="MN573" s="9"/>
      <c r="MO573" s="9"/>
      <c r="MP573" s="9"/>
      <c r="MQ573" s="9"/>
      <c r="MR573" s="9"/>
      <c r="MS573" s="9"/>
      <c r="MT573" s="9"/>
      <c r="MU573" s="9"/>
      <c r="MV573" s="9"/>
      <c r="MW573" s="9"/>
      <c r="MX573" s="9"/>
      <c r="MY573" s="9"/>
      <c r="MZ573" s="9"/>
      <c r="NA573" s="9"/>
      <c r="NB573" s="9"/>
      <c r="NC573" s="9"/>
      <c r="ND573" s="9"/>
      <c r="NE573" s="9"/>
      <c r="NF573" s="9"/>
      <c r="NG573" s="9"/>
      <c r="NH573" s="9"/>
      <c r="NI573" s="9"/>
      <c r="NJ573" s="9"/>
      <c r="NK573" s="9"/>
      <c r="NL573" s="9"/>
      <c r="NM573" s="9"/>
      <c r="NN573" s="9"/>
      <c r="NO573" s="9"/>
      <c r="NP573" s="9"/>
      <c r="NQ573" s="9"/>
      <c r="NR573" s="9"/>
      <c r="NS573" s="9"/>
      <c r="NT573" s="9"/>
      <c r="NU573" s="9"/>
      <c r="NV573" s="9"/>
      <c r="NW573" s="9"/>
      <c r="NX573" s="9"/>
      <c r="NY573" s="9"/>
      <c r="NZ573" s="9"/>
      <c r="OA573" s="9"/>
      <c r="OB573" s="9"/>
      <c r="OC573" s="9"/>
      <c r="OD573" s="9"/>
      <c r="OE573" s="9"/>
      <c r="OF573" s="9"/>
      <c r="OG573" s="9"/>
      <c r="OH573" s="9"/>
      <c r="OI573" s="9"/>
      <c r="OJ573" s="9"/>
      <c r="OK573" s="9"/>
      <c r="OL573" s="9"/>
      <c r="OM573" s="9"/>
      <c r="ON573" s="9"/>
      <c r="OO573" s="9"/>
      <c r="OP573" s="9"/>
      <c r="OQ573" s="9"/>
      <c r="OR573" s="9"/>
      <c r="OS573" s="9"/>
      <c r="OT573" s="9"/>
      <c r="OU573" s="9"/>
      <c r="OV573" s="9"/>
      <c r="OW573" s="9"/>
      <c r="OX573" s="9"/>
      <c r="OY573" s="9"/>
      <c r="OZ573" s="9"/>
      <c r="PA573" s="9"/>
      <c r="PB573" s="9"/>
      <c r="PC573" s="9"/>
      <c r="PD573" s="9"/>
      <c r="PE573" s="9"/>
      <c r="PF573" s="9"/>
      <c r="PG573" s="9"/>
      <c r="PH573" s="9"/>
      <c r="PI573" s="9"/>
      <c r="PJ573" s="9"/>
      <c r="PK573" s="9"/>
      <c r="PL573" s="9"/>
      <c r="PM573" s="9"/>
      <c r="PN573" s="9"/>
      <c r="PO573" s="9"/>
      <c r="PP573" s="9"/>
      <c r="PQ573" s="9"/>
      <c r="PR573" s="9"/>
      <c r="PS573" s="9"/>
      <c r="PT573" s="9"/>
      <c r="PU573" s="9"/>
      <c r="PV573" s="9"/>
      <c r="PW573" s="9"/>
      <c r="PX573" s="9"/>
      <c r="PY573" s="9"/>
      <c r="PZ573" s="9"/>
      <c r="QA573" s="9"/>
      <c r="QB573" s="9"/>
      <c r="QC573" s="9"/>
      <c r="QD573" s="9"/>
      <c r="QE573" s="9"/>
      <c r="QF573" s="9"/>
      <c r="QG573" s="9"/>
      <c r="QH573" s="9"/>
      <c r="QI573" s="9"/>
      <c r="QJ573" s="9"/>
      <c r="QK573" s="9"/>
      <c r="QL573" s="9"/>
      <c r="QM573" s="9"/>
      <c r="QN573" s="9"/>
      <c r="QO573" s="9"/>
      <c r="QP573" s="9"/>
      <c r="QQ573" s="9"/>
      <c r="QR573" s="9"/>
      <c r="QS573" s="9"/>
      <c r="QT573" s="9"/>
      <c r="QU573" s="9"/>
      <c r="QV573" s="9"/>
      <c r="QW573" s="9"/>
      <c r="QX573" s="9"/>
      <c r="QY573" s="9"/>
      <c r="QZ573" s="9"/>
      <c r="RA573" s="9"/>
      <c r="RB573" s="9"/>
      <c r="RC573" s="9"/>
      <c r="RD573" s="9"/>
      <c r="RE573" s="9"/>
      <c r="RF573" s="9"/>
      <c r="RG573" s="9"/>
      <c r="RH573" s="9"/>
      <c r="RI573" s="9"/>
      <c r="RJ573" s="9"/>
      <c r="RK573" s="9"/>
      <c r="RL573" s="9"/>
      <c r="RM573" s="9"/>
      <c r="RN573" s="9"/>
      <c r="RO573" s="9"/>
      <c r="RP573" s="9"/>
      <c r="RQ573" s="9"/>
      <c r="RR573" s="9"/>
      <c r="RS573" s="9"/>
      <c r="RT573" s="9"/>
      <c r="RU573" s="9"/>
      <c r="RV573" s="9"/>
      <c r="RW573" s="9"/>
      <c r="RX573" s="9"/>
      <c r="RY573" s="9"/>
      <c r="RZ573" s="9"/>
      <c r="SA573" s="9"/>
      <c r="SB573" s="9"/>
      <c r="SC573" s="9"/>
      <c r="SD573" s="9"/>
      <c r="SE573" s="9"/>
      <c r="SF573" s="9"/>
      <c r="SG573" s="9"/>
      <c r="SH573" s="9"/>
      <c r="SI573" s="9"/>
      <c r="SJ573" s="9"/>
      <c r="SK573" s="9"/>
      <c r="SL573" s="9"/>
      <c r="SM573" s="9"/>
      <c r="SN573" s="9"/>
      <c r="SO573" s="9"/>
      <c r="SP573" s="9"/>
      <c r="SQ573" s="9"/>
      <c r="SR573" s="9"/>
      <c r="SS573" s="9"/>
      <c r="ST573" s="9"/>
      <c r="SU573" s="9"/>
      <c r="SV573" s="9"/>
      <c r="SW573" s="9"/>
      <c r="SX573" s="9"/>
      <c r="SY573" s="9"/>
      <c r="SZ573" s="9"/>
      <c r="TA573" s="9"/>
      <c r="TB573" s="9"/>
      <c r="TC573" s="9"/>
      <c r="TD573" s="9"/>
      <c r="TE573" s="9"/>
      <c r="TF573" s="9"/>
      <c r="TG573" s="9"/>
      <c r="TH573" s="9"/>
      <c r="TI573" s="9"/>
      <c r="TJ573" s="9"/>
      <c r="TK573" s="9"/>
      <c r="TL573" s="9"/>
      <c r="TM573" s="9"/>
      <c r="TN573" s="9"/>
      <c r="TO573" s="9"/>
      <c r="TP573" s="9"/>
      <c r="TQ573" s="9"/>
      <c r="TR573" s="9"/>
      <c r="TS573" s="9"/>
      <c r="TT573" s="9"/>
      <c r="TU573" s="9"/>
      <c r="TV573" s="9"/>
      <c r="TW573" s="9"/>
      <c r="TX573" s="9"/>
      <c r="TY573" s="9"/>
      <c r="TZ573" s="9"/>
      <c r="UA573" s="9"/>
      <c r="UB573" s="9"/>
      <c r="UC573" s="9"/>
      <c r="UD573" s="9"/>
      <c r="UE573" s="9"/>
      <c r="UF573" s="9"/>
      <c r="UG573" s="9"/>
      <c r="UH573" s="9"/>
      <c r="UI573" s="9"/>
      <c r="UJ573" s="9"/>
    </row>
    <row r="574">
      <c r="A574" s="8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  <c r="IC574" s="9"/>
      <c r="ID574" s="9"/>
      <c r="IE574" s="9"/>
      <c r="IF574" s="9"/>
      <c r="IG574" s="9"/>
      <c r="IH574" s="9"/>
      <c r="II574" s="9"/>
      <c r="IJ574" s="9"/>
      <c r="IK574" s="9"/>
      <c r="IL574" s="9"/>
      <c r="IM574" s="9"/>
      <c r="IN574" s="9"/>
      <c r="IO574" s="9"/>
      <c r="IP574" s="9"/>
      <c r="IQ574" s="9"/>
      <c r="IR574" s="9"/>
      <c r="IS574" s="9"/>
      <c r="IT574" s="9"/>
      <c r="IU574" s="9"/>
      <c r="IV574" s="9"/>
      <c r="IW574" s="9"/>
      <c r="IX574" s="9"/>
      <c r="IY574" s="9"/>
      <c r="IZ574" s="9"/>
      <c r="JA574" s="9"/>
      <c r="JB574" s="9"/>
      <c r="JC574" s="9"/>
      <c r="JD574" s="9"/>
      <c r="JE574" s="9"/>
      <c r="JF574" s="9"/>
      <c r="JG574" s="9"/>
      <c r="JH574" s="9"/>
      <c r="JI574" s="9"/>
      <c r="JJ574" s="9"/>
      <c r="JK574" s="9"/>
      <c r="JL574" s="9"/>
      <c r="JM574" s="9"/>
      <c r="JN574" s="9"/>
      <c r="JO574" s="9"/>
      <c r="JP574" s="9"/>
      <c r="JQ574" s="9"/>
      <c r="JR574" s="9"/>
      <c r="JS574" s="9"/>
      <c r="JT574" s="9"/>
      <c r="JU574" s="9"/>
      <c r="JV574" s="9"/>
      <c r="JW574" s="9"/>
      <c r="JX574" s="9"/>
      <c r="JY574" s="9"/>
      <c r="JZ574" s="9"/>
      <c r="KA574" s="9"/>
      <c r="KB574" s="9"/>
      <c r="KC574" s="9"/>
      <c r="KD574" s="9"/>
      <c r="KE574" s="9"/>
      <c r="KF574" s="9"/>
      <c r="KG574" s="9"/>
      <c r="KH574" s="9"/>
      <c r="KI574" s="9"/>
      <c r="KJ574" s="9"/>
      <c r="KK574" s="9"/>
      <c r="KL574" s="9"/>
      <c r="KM574" s="9"/>
      <c r="KN574" s="9"/>
      <c r="KO574" s="9"/>
      <c r="KP574" s="9"/>
      <c r="KQ574" s="9"/>
      <c r="KR574" s="9"/>
      <c r="KS574" s="9"/>
      <c r="KT574" s="9"/>
      <c r="KU574" s="9"/>
      <c r="KV574" s="9"/>
      <c r="KW574" s="9"/>
      <c r="KX574" s="9"/>
      <c r="KY574" s="9"/>
      <c r="KZ574" s="9"/>
      <c r="LA574" s="9"/>
      <c r="LB574" s="9"/>
      <c r="LC574" s="9"/>
      <c r="LD574" s="9"/>
      <c r="LE574" s="9"/>
      <c r="LF574" s="9"/>
      <c r="LG574" s="9"/>
      <c r="LH574" s="9"/>
      <c r="LI574" s="9"/>
      <c r="LJ574" s="9"/>
      <c r="LK574" s="9"/>
      <c r="LL574" s="9"/>
      <c r="LM574" s="9"/>
      <c r="LN574" s="9"/>
      <c r="LO574" s="9"/>
      <c r="LP574" s="9"/>
      <c r="LQ574" s="9"/>
      <c r="LR574" s="9"/>
      <c r="LS574" s="9"/>
      <c r="LT574" s="9"/>
      <c r="LU574" s="9"/>
      <c r="LV574" s="9"/>
      <c r="LW574" s="9"/>
      <c r="LX574" s="9"/>
      <c r="LY574" s="9"/>
      <c r="LZ574" s="9"/>
      <c r="MA574" s="9"/>
      <c r="MB574" s="9"/>
      <c r="MC574" s="9"/>
      <c r="MD574" s="9"/>
      <c r="ME574" s="9"/>
      <c r="MF574" s="9"/>
      <c r="MG574" s="9"/>
      <c r="MH574" s="9"/>
      <c r="MI574" s="9"/>
      <c r="MJ574" s="9"/>
      <c r="MK574" s="9"/>
      <c r="ML574" s="9"/>
      <c r="MM574" s="9"/>
      <c r="MN574" s="9"/>
      <c r="MO574" s="9"/>
      <c r="MP574" s="9"/>
      <c r="MQ574" s="9"/>
      <c r="MR574" s="9"/>
      <c r="MS574" s="9"/>
      <c r="MT574" s="9"/>
      <c r="MU574" s="9"/>
      <c r="MV574" s="9"/>
      <c r="MW574" s="9"/>
      <c r="MX574" s="9"/>
      <c r="MY574" s="9"/>
      <c r="MZ574" s="9"/>
      <c r="NA574" s="9"/>
      <c r="NB574" s="9"/>
      <c r="NC574" s="9"/>
      <c r="ND574" s="9"/>
      <c r="NE574" s="9"/>
      <c r="NF574" s="9"/>
      <c r="NG574" s="9"/>
      <c r="NH574" s="9"/>
      <c r="NI574" s="9"/>
      <c r="NJ574" s="9"/>
      <c r="NK574" s="9"/>
      <c r="NL574" s="9"/>
      <c r="NM574" s="9"/>
      <c r="NN574" s="9"/>
      <c r="NO574" s="9"/>
      <c r="NP574" s="9"/>
      <c r="NQ574" s="9"/>
      <c r="NR574" s="9"/>
      <c r="NS574" s="9"/>
      <c r="NT574" s="9"/>
      <c r="NU574" s="9"/>
      <c r="NV574" s="9"/>
      <c r="NW574" s="9"/>
      <c r="NX574" s="9"/>
      <c r="NY574" s="9"/>
      <c r="NZ574" s="9"/>
      <c r="OA574" s="9"/>
      <c r="OB574" s="9"/>
      <c r="OC574" s="9"/>
      <c r="OD574" s="9"/>
      <c r="OE574" s="9"/>
      <c r="OF574" s="9"/>
      <c r="OG574" s="9"/>
      <c r="OH574" s="9"/>
      <c r="OI574" s="9"/>
      <c r="OJ574" s="9"/>
      <c r="OK574" s="9"/>
      <c r="OL574" s="9"/>
      <c r="OM574" s="9"/>
      <c r="ON574" s="9"/>
      <c r="OO574" s="9"/>
      <c r="OP574" s="9"/>
      <c r="OQ574" s="9"/>
      <c r="OR574" s="9"/>
      <c r="OS574" s="9"/>
      <c r="OT574" s="9"/>
      <c r="OU574" s="9"/>
      <c r="OV574" s="9"/>
      <c r="OW574" s="9"/>
      <c r="OX574" s="9"/>
      <c r="OY574" s="9"/>
      <c r="OZ574" s="9"/>
      <c r="PA574" s="9"/>
      <c r="PB574" s="9"/>
      <c r="PC574" s="9"/>
      <c r="PD574" s="9"/>
      <c r="PE574" s="9"/>
      <c r="PF574" s="9"/>
      <c r="PG574" s="9"/>
      <c r="PH574" s="9"/>
      <c r="PI574" s="9"/>
      <c r="PJ574" s="9"/>
      <c r="PK574" s="9"/>
      <c r="PL574" s="9"/>
      <c r="PM574" s="9"/>
      <c r="PN574" s="9"/>
      <c r="PO574" s="9"/>
      <c r="PP574" s="9"/>
      <c r="PQ574" s="9"/>
      <c r="PR574" s="9"/>
      <c r="PS574" s="9"/>
      <c r="PT574" s="9"/>
      <c r="PU574" s="9"/>
      <c r="PV574" s="9"/>
      <c r="PW574" s="9"/>
      <c r="PX574" s="9"/>
      <c r="PY574" s="9"/>
      <c r="PZ574" s="9"/>
      <c r="QA574" s="9"/>
      <c r="QB574" s="9"/>
      <c r="QC574" s="9"/>
      <c r="QD574" s="9"/>
      <c r="QE574" s="9"/>
      <c r="QF574" s="9"/>
      <c r="QG574" s="9"/>
      <c r="QH574" s="9"/>
      <c r="QI574" s="9"/>
      <c r="QJ574" s="9"/>
      <c r="QK574" s="9"/>
      <c r="QL574" s="9"/>
      <c r="QM574" s="9"/>
      <c r="QN574" s="9"/>
      <c r="QO574" s="9"/>
      <c r="QP574" s="9"/>
      <c r="QQ574" s="9"/>
      <c r="QR574" s="9"/>
      <c r="QS574" s="9"/>
      <c r="QT574" s="9"/>
      <c r="QU574" s="9"/>
      <c r="QV574" s="9"/>
      <c r="QW574" s="9"/>
      <c r="QX574" s="9"/>
      <c r="QY574" s="9"/>
      <c r="QZ574" s="9"/>
      <c r="RA574" s="9"/>
      <c r="RB574" s="9"/>
      <c r="RC574" s="9"/>
      <c r="RD574" s="9"/>
      <c r="RE574" s="9"/>
      <c r="RF574" s="9"/>
      <c r="RG574" s="9"/>
      <c r="RH574" s="9"/>
      <c r="RI574" s="9"/>
      <c r="RJ574" s="9"/>
      <c r="RK574" s="9"/>
      <c r="RL574" s="9"/>
      <c r="RM574" s="9"/>
      <c r="RN574" s="9"/>
      <c r="RO574" s="9"/>
      <c r="RP574" s="9"/>
      <c r="RQ574" s="9"/>
      <c r="RR574" s="9"/>
      <c r="RS574" s="9"/>
      <c r="RT574" s="9"/>
      <c r="RU574" s="9"/>
      <c r="RV574" s="9"/>
      <c r="RW574" s="9"/>
      <c r="RX574" s="9"/>
      <c r="RY574" s="9"/>
      <c r="RZ574" s="9"/>
      <c r="SA574" s="9"/>
      <c r="SB574" s="9"/>
      <c r="SC574" s="9"/>
      <c r="SD574" s="9"/>
      <c r="SE574" s="9"/>
      <c r="SF574" s="9"/>
      <c r="SG574" s="9"/>
      <c r="SH574" s="9"/>
      <c r="SI574" s="9"/>
      <c r="SJ574" s="9"/>
      <c r="SK574" s="9"/>
      <c r="SL574" s="9"/>
      <c r="SM574" s="9"/>
      <c r="SN574" s="9"/>
      <c r="SO574" s="9"/>
      <c r="SP574" s="9"/>
      <c r="SQ574" s="9"/>
      <c r="SR574" s="9"/>
      <c r="SS574" s="9"/>
      <c r="ST574" s="9"/>
      <c r="SU574" s="9"/>
      <c r="SV574" s="9"/>
      <c r="SW574" s="9"/>
      <c r="SX574" s="9"/>
      <c r="SY574" s="9"/>
      <c r="SZ574" s="9"/>
      <c r="TA574" s="9"/>
      <c r="TB574" s="9"/>
      <c r="TC574" s="9"/>
      <c r="TD574" s="9"/>
      <c r="TE574" s="9"/>
      <c r="TF574" s="9"/>
      <c r="TG574" s="9"/>
      <c r="TH574" s="9"/>
      <c r="TI574" s="9"/>
      <c r="TJ574" s="9"/>
      <c r="TK574" s="9"/>
      <c r="TL574" s="9"/>
      <c r="TM574" s="9"/>
      <c r="TN574" s="9"/>
      <c r="TO574" s="9"/>
      <c r="TP574" s="9"/>
      <c r="TQ574" s="9"/>
      <c r="TR574" s="9"/>
      <c r="TS574" s="9"/>
      <c r="TT574" s="9"/>
      <c r="TU574" s="9"/>
      <c r="TV574" s="9"/>
      <c r="TW574" s="9"/>
      <c r="TX574" s="9"/>
      <c r="TY574" s="9"/>
      <c r="TZ574" s="9"/>
      <c r="UA574" s="9"/>
      <c r="UB574" s="9"/>
      <c r="UC574" s="9"/>
      <c r="UD574" s="9"/>
      <c r="UE574" s="9"/>
      <c r="UF574" s="9"/>
      <c r="UG574" s="9"/>
      <c r="UH574" s="9"/>
      <c r="UI574" s="9"/>
      <c r="UJ574" s="9"/>
    </row>
    <row r="575">
      <c r="A575" s="8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  <c r="HO575" s="9"/>
      <c r="HP575" s="9"/>
      <c r="HQ575" s="9"/>
      <c r="HR575" s="9"/>
      <c r="HS575" s="9"/>
      <c r="HT575" s="9"/>
      <c r="HU575" s="9"/>
      <c r="HV575" s="9"/>
      <c r="HW575" s="9"/>
      <c r="HX575" s="9"/>
      <c r="HY575" s="9"/>
      <c r="HZ575" s="9"/>
      <c r="IA575" s="9"/>
      <c r="IB575" s="9"/>
      <c r="IC575" s="9"/>
      <c r="ID575" s="9"/>
      <c r="IE575" s="9"/>
      <c r="IF575" s="9"/>
      <c r="IG575" s="9"/>
      <c r="IH575" s="9"/>
      <c r="II575" s="9"/>
      <c r="IJ575" s="9"/>
      <c r="IK575" s="9"/>
      <c r="IL575" s="9"/>
      <c r="IM575" s="9"/>
      <c r="IN575" s="9"/>
      <c r="IO575" s="9"/>
      <c r="IP575" s="9"/>
      <c r="IQ575" s="9"/>
      <c r="IR575" s="9"/>
      <c r="IS575" s="9"/>
      <c r="IT575" s="9"/>
      <c r="IU575" s="9"/>
      <c r="IV575" s="9"/>
      <c r="IW575" s="9"/>
      <c r="IX575" s="9"/>
      <c r="IY575" s="9"/>
      <c r="IZ575" s="9"/>
      <c r="JA575" s="9"/>
      <c r="JB575" s="9"/>
      <c r="JC575" s="9"/>
      <c r="JD575" s="9"/>
      <c r="JE575" s="9"/>
      <c r="JF575" s="9"/>
      <c r="JG575" s="9"/>
      <c r="JH575" s="9"/>
      <c r="JI575" s="9"/>
      <c r="JJ575" s="9"/>
      <c r="JK575" s="9"/>
      <c r="JL575" s="9"/>
      <c r="JM575" s="9"/>
      <c r="JN575" s="9"/>
      <c r="JO575" s="9"/>
      <c r="JP575" s="9"/>
      <c r="JQ575" s="9"/>
      <c r="JR575" s="9"/>
      <c r="JS575" s="9"/>
      <c r="JT575" s="9"/>
      <c r="JU575" s="9"/>
      <c r="JV575" s="9"/>
      <c r="JW575" s="9"/>
      <c r="JX575" s="9"/>
      <c r="JY575" s="9"/>
      <c r="JZ575" s="9"/>
      <c r="KA575" s="9"/>
      <c r="KB575" s="9"/>
      <c r="KC575" s="9"/>
      <c r="KD575" s="9"/>
      <c r="KE575" s="9"/>
      <c r="KF575" s="9"/>
      <c r="KG575" s="9"/>
      <c r="KH575" s="9"/>
      <c r="KI575" s="9"/>
      <c r="KJ575" s="9"/>
      <c r="KK575" s="9"/>
      <c r="KL575" s="9"/>
      <c r="KM575" s="9"/>
      <c r="KN575" s="9"/>
      <c r="KO575" s="9"/>
      <c r="KP575" s="9"/>
      <c r="KQ575" s="9"/>
      <c r="KR575" s="9"/>
      <c r="KS575" s="9"/>
      <c r="KT575" s="9"/>
      <c r="KU575" s="9"/>
      <c r="KV575" s="9"/>
      <c r="KW575" s="9"/>
      <c r="KX575" s="9"/>
      <c r="KY575" s="9"/>
      <c r="KZ575" s="9"/>
      <c r="LA575" s="9"/>
      <c r="LB575" s="9"/>
      <c r="LC575" s="9"/>
      <c r="LD575" s="9"/>
      <c r="LE575" s="9"/>
      <c r="LF575" s="9"/>
      <c r="LG575" s="9"/>
      <c r="LH575" s="9"/>
      <c r="LI575" s="9"/>
      <c r="LJ575" s="9"/>
      <c r="LK575" s="9"/>
      <c r="LL575" s="9"/>
      <c r="LM575" s="9"/>
      <c r="LN575" s="9"/>
      <c r="LO575" s="9"/>
      <c r="LP575" s="9"/>
      <c r="LQ575" s="9"/>
      <c r="LR575" s="9"/>
      <c r="LS575" s="9"/>
      <c r="LT575" s="9"/>
      <c r="LU575" s="9"/>
      <c r="LV575" s="9"/>
      <c r="LW575" s="9"/>
      <c r="LX575" s="9"/>
      <c r="LY575" s="9"/>
      <c r="LZ575" s="9"/>
      <c r="MA575" s="9"/>
      <c r="MB575" s="9"/>
      <c r="MC575" s="9"/>
      <c r="MD575" s="9"/>
      <c r="ME575" s="9"/>
      <c r="MF575" s="9"/>
      <c r="MG575" s="9"/>
      <c r="MH575" s="9"/>
      <c r="MI575" s="9"/>
      <c r="MJ575" s="9"/>
      <c r="MK575" s="9"/>
      <c r="ML575" s="9"/>
      <c r="MM575" s="9"/>
      <c r="MN575" s="9"/>
      <c r="MO575" s="9"/>
      <c r="MP575" s="9"/>
      <c r="MQ575" s="9"/>
      <c r="MR575" s="9"/>
      <c r="MS575" s="9"/>
      <c r="MT575" s="9"/>
      <c r="MU575" s="9"/>
      <c r="MV575" s="9"/>
      <c r="MW575" s="9"/>
      <c r="MX575" s="9"/>
      <c r="MY575" s="9"/>
      <c r="MZ575" s="9"/>
      <c r="NA575" s="9"/>
      <c r="NB575" s="9"/>
      <c r="NC575" s="9"/>
      <c r="ND575" s="9"/>
      <c r="NE575" s="9"/>
      <c r="NF575" s="9"/>
      <c r="NG575" s="9"/>
      <c r="NH575" s="9"/>
      <c r="NI575" s="9"/>
      <c r="NJ575" s="9"/>
      <c r="NK575" s="9"/>
      <c r="NL575" s="9"/>
      <c r="NM575" s="9"/>
      <c r="NN575" s="9"/>
      <c r="NO575" s="9"/>
      <c r="NP575" s="9"/>
      <c r="NQ575" s="9"/>
      <c r="NR575" s="9"/>
      <c r="NS575" s="9"/>
      <c r="NT575" s="9"/>
      <c r="NU575" s="9"/>
      <c r="NV575" s="9"/>
      <c r="NW575" s="9"/>
      <c r="NX575" s="9"/>
      <c r="NY575" s="9"/>
      <c r="NZ575" s="9"/>
      <c r="OA575" s="9"/>
      <c r="OB575" s="9"/>
      <c r="OC575" s="9"/>
      <c r="OD575" s="9"/>
      <c r="OE575" s="9"/>
      <c r="OF575" s="9"/>
      <c r="OG575" s="9"/>
      <c r="OH575" s="9"/>
      <c r="OI575" s="9"/>
      <c r="OJ575" s="9"/>
      <c r="OK575" s="9"/>
      <c r="OL575" s="9"/>
      <c r="OM575" s="9"/>
      <c r="ON575" s="9"/>
      <c r="OO575" s="9"/>
      <c r="OP575" s="9"/>
      <c r="OQ575" s="9"/>
      <c r="OR575" s="9"/>
      <c r="OS575" s="9"/>
      <c r="OT575" s="9"/>
      <c r="OU575" s="9"/>
      <c r="OV575" s="9"/>
      <c r="OW575" s="9"/>
      <c r="OX575" s="9"/>
      <c r="OY575" s="9"/>
      <c r="OZ575" s="9"/>
      <c r="PA575" s="9"/>
      <c r="PB575" s="9"/>
      <c r="PC575" s="9"/>
      <c r="PD575" s="9"/>
      <c r="PE575" s="9"/>
      <c r="PF575" s="9"/>
      <c r="PG575" s="9"/>
      <c r="PH575" s="9"/>
      <c r="PI575" s="9"/>
      <c r="PJ575" s="9"/>
      <c r="PK575" s="9"/>
      <c r="PL575" s="9"/>
      <c r="PM575" s="9"/>
      <c r="PN575" s="9"/>
      <c r="PO575" s="9"/>
      <c r="PP575" s="9"/>
      <c r="PQ575" s="9"/>
      <c r="PR575" s="9"/>
      <c r="PS575" s="9"/>
      <c r="PT575" s="9"/>
      <c r="PU575" s="9"/>
      <c r="PV575" s="9"/>
      <c r="PW575" s="9"/>
      <c r="PX575" s="9"/>
      <c r="PY575" s="9"/>
      <c r="PZ575" s="9"/>
      <c r="QA575" s="9"/>
      <c r="QB575" s="9"/>
      <c r="QC575" s="9"/>
      <c r="QD575" s="9"/>
      <c r="QE575" s="9"/>
      <c r="QF575" s="9"/>
      <c r="QG575" s="9"/>
      <c r="QH575" s="9"/>
      <c r="QI575" s="9"/>
      <c r="QJ575" s="9"/>
      <c r="QK575" s="9"/>
      <c r="QL575" s="9"/>
      <c r="QM575" s="9"/>
      <c r="QN575" s="9"/>
      <c r="QO575" s="9"/>
      <c r="QP575" s="9"/>
      <c r="QQ575" s="9"/>
      <c r="QR575" s="9"/>
      <c r="QS575" s="9"/>
      <c r="QT575" s="9"/>
      <c r="QU575" s="9"/>
      <c r="QV575" s="9"/>
      <c r="QW575" s="9"/>
      <c r="QX575" s="9"/>
      <c r="QY575" s="9"/>
      <c r="QZ575" s="9"/>
      <c r="RA575" s="9"/>
      <c r="RB575" s="9"/>
      <c r="RC575" s="9"/>
      <c r="RD575" s="9"/>
      <c r="RE575" s="9"/>
      <c r="RF575" s="9"/>
      <c r="RG575" s="9"/>
      <c r="RH575" s="9"/>
      <c r="RI575" s="9"/>
      <c r="RJ575" s="9"/>
      <c r="RK575" s="9"/>
      <c r="RL575" s="9"/>
      <c r="RM575" s="9"/>
      <c r="RN575" s="9"/>
      <c r="RO575" s="9"/>
      <c r="RP575" s="9"/>
      <c r="RQ575" s="9"/>
      <c r="RR575" s="9"/>
      <c r="RS575" s="9"/>
      <c r="RT575" s="9"/>
      <c r="RU575" s="9"/>
      <c r="RV575" s="9"/>
      <c r="RW575" s="9"/>
      <c r="RX575" s="9"/>
      <c r="RY575" s="9"/>
      <c r="RZ575" s="9"/>
      <c r="SA575" s="9"/>
      <c r="SB575" s="9"/>
      <c r="SC575" s="9"/>
      <c r="SD575" s="9"/>
      <c r="SE575" s="9"/>
      <c r="SF575" s="9"/>
      <c r="SG575" s="9"/>
      <c r="SH575" s="9"/>
      <c r="SI575" s="9"/>
      <c r="SJ575" s="9"/>
      <c r="SK575" s="9"/>
      <c r="SL575" s="9"/>
      <c r="SM575" s="9"/>
      <c r="SN575" s="9"/>
      <c r="SO575" s="9"/>
      <c r="SP575" s="9"/>
      <c r="SQ575" s="9"/>
      <c r="SR575" s="9"/>
      <c r="SS575" s="9"/>
      <c r="ST575" s="9"/>
      <c r="SU575" s="9"/>
      <c r="SV575" s="9"/>
      <c r="SW575" s="9"/>
      <c r="SX575" s="9"/>
      <c r="SY575" s="9"/>
      <c r="SZ575" s="9"/>
      <c r="TA575" s="9"/>
      <c r="TB575" s="9"/>
      <c r="TC575" s="9"/>
      <c r="TD575" s="9"/>
      <c r="TE575" s="9"/>
      <c r="TF575" s="9"/>
      <c r="TG575" s="9"/>
      <c r="TH575" s="9"/>
      <c r="TI575" s="9"/>
      <c r="TJ575" s="9"/>
      <c r="TK575" s="9"/>
      <c r="TL575" s="9"/>
      <c r="TM575" s="9"/>
      <c r="TN575" s="9"/>
      <c r="TO575" s="9"/>
      <c r="TP575" s="9"/>
      <c r="TQ575" s="9"/>
      <c r="TR575" s="9"/>
      <c r="TS575" s="9"/>
      <c r="TT575" s="9"/>
      <c r="TU575" s="9"/>
      <c r="TV575" s="9"/>
      <c r="TW575" s="9"/>
      <c r="TX575" s="9"/>
      <c r="TY575" s="9"/>
      <c r="TZ575" s="9"/>
      <c r="UA575" s="9"/>
      <c r="UB575" s="9"/>
      <c r="UC575" s="9"/>
      <c r="UD575" s="9"/>
      <c r="UE575" s="9"/>
      <c r="UF575" s="9"/>
      <c r="UG575" s="9"/>
      <c r="UH575" s="9"/>
      <c r="UI575" s="9"/>
      <c r="UJ575" s="9"/>
    </row>
    <row r="576">
      <c r="A576" s="8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  <c r="IN576" s="9"/>
      <c r="IO576" s="9"/>
      <c r="IP576" s="9"/>
      <c r="IQ576" s="9"/>
      <c r="IR576" s="9"/>
      <c r="IS576" s="9"/>
      <c r="IT576" s="9"/>
      <c r="IU576" s="9"/>
      <c r="IV576" s="9"/>
      <c r="IW576" s="9"/>
      <c r="IX576" s="9"/>
      <c r="IY576" s="9"/>
      <c r="IZ576" s="9"/>
      <c r="JA576" s="9"/>
      <c r="JB576" s="9"/>
      <c r="JC576" s="9"/>
      <c r="JD576" s="9"/>
      <c r="JE576" s="9"/>
      <c r="JF576" s="9"/>
      <c r="JG576" s="9"/>
      <c r="JH576" s="9"/>
      <c r="JI576" s="9"/>
      <c r="JJ576" s="9"/>
      <c r="JK576" s="9"/>
      <c r="JL576" s="9"/>
      <c r="JM576" s="9"/>
      <c r="JN576" s="9"/>
      <c r="JO576" s="9"/>
      <c r="JP576" s="9"/>
      <c r="JQ576" s="9"/>
      <c r="JR576" s="9"/>
      <c r="JS576" s="9"/>
      <c r="JT576" s="9"/>
      <c r="JU576" s="9"/>
      <c r="JV576" s="9"/>
      <c r="JW576" s="9"/>
      <c r="JX576" s="9"/>
      <c r="JY576" s="9"/>
      <c r="JZ576" s="9"/>
      <c r="KA576" s="9"/>
      <c r="KB576" s="9"/>
      <c r="KC576" s="9"/>
      <c r="KD576" s="9"/>
      <c r="KE576" s="9"/>
      <c r="KF576" s="9"/>
      <c r="KG576" s="9"/>
      <c r="KH576" s="9"/>
      <c r="KI576" s="9"/>
      <c r="KJ576" s="9"/>
      <c r="KK576" s="9"/>
      <c r="KL576" s="9"/>
      <c r="KM576" s="9"/>
      <c r="KN576" s="9"/>
      <c r="KO576" s="9"/>
      <c r="KP576" s="9"/>
      <c r="KQ576" s="9"/>
      <c r="KR576" s="9"/>
      <c r="KS576" s="9"/>
      <c r="KT576" s="9"/>
      <c r="KU576" s="9"/>
      <c r="KV576" s="9"/>
      <c r="KW576" s="9"/>
      <c r="KX576" s="9"/>
      <c r="KY576" s="9"/>
      <c r="KZ576" s="9"/>
      <c r="LA576" s="9"/>
      <c r="LB576" s="9"/>
      <c r="LC576" s="9"/>
      <c r="LD576" s="9"/>
      <c r="LE576" s="9"/>
      <c r="LF576" s="9"/>
      <c r="LG576" s="9"/>
      <c r="LH576" s="9"/>
      <c r="LI576" s="9"/>
      <c r="LJ576" s="9"/>
      <c r="LK576" s="9"/>
      <c r="LL576" s="9"/>
      <c r="LM576" s="9"/>
      <c r="LN576" s="9"/>
      <c r="LO576" s="9"/>
      <c r="LP576" s="9"/>
      <c r="LQ576" s="9"/>
      <c r="LR576" s="9"/>
      <c r="LS576" s="9"/>
      <c r="LT576" s="9"/>
      <c r="LU576" s="9"/>
      <c r="LV576" s="9"/>
      <c r="LW576" s="9"/>
      <c r="LX576" s="9"/>
      <c r="LY576" s="9"/>
      <c r="LZ576" s="9"/>
      <c r="MA576" s="9"/>
      <c r="MB576" s="9"/>
      <c r="MC576" s="9"/>
      <c r="MD576" s="9"/>
      <c r="ME576" s="9"/>
      <c r="MF576" s="9"/>
      <c r="MG576" s="9"/>
      <c r="MH576" s="9"/>
      <c r="MI576" s="9"/>
      <c r="MJ576" s="9"/>
      <c r="MK576" s="9"/>
      <c r="ML576" s="9"/>
      <c r="MM576" s="9"/>
      <c r="MN576" s="9"/>
      <c r="MO576" s="9"/>
      <c r="MP576" s="9"/>
      <c r="MQ576" s="9"/>
      <c r="MR576" s="9"/>
      <c r="MS576" s="9"/>
      <c r="MT576" s="9"/>
      <c r="MU576" s="9"/>
      <c r="MV576" s="9"/>
      <c r="MW576" s="9"/>
      <c r="MX576" s="9"/>
      <c r="MY576" s="9"/>
      <c r="MZ576" s="9"/>
      <c r="NA576" s="9"/>
      <c r="NB576" s="9"/>
      <c r="NC576" s="9"/>
      <c r="ND576" s="9"/>
      <c r="NE576" s="9"/>
      <c r="NF576" s="9"/>
      <c r="NG576" s="9"/>
      <c r="NH576" s="9"/>
      <c r="NI576" s="9"/>
      <c r="NJ576" s="9"/>
      <c r="NK576" s="9"/>
      <c r="NL576" s="9"/>
      <c r="NM576" s="9"/>
      <c r="NN576" s="9"/>
      <c r="NO576" s="9"/>
      <c r="NP576" s="9"/>
      <c r="NQ576" s="9"/>
      <c r="NR576" s="9"/>
      <c r="NS576" s="9"/>
      <c r="NT576" s="9"/>
      <c r="NU576" s="9"/>
      <c r="NV576" s="9"/>
      <c r="NW576" s="9"/>
      <c r="NX576" s="9"/>
      <c r="NY576" s="9"/>
      <c r="NZ576" s="9"/>
      <c r="OA576" s="9"/>
      <c r="OB576" s="9"/>
      <c r="OC576" s="9"/>
      <c r="OD576" s="9"/>
      <c r="OE576" s="9"/>
      <c r="OF576" s="9"/>
      <c r="OG576" s="9"/>
      <c r="OH576" s="9"/>
      <c r="OI576" s="9"/>
      <c r="OJ576" s="9"/>
      <c r="OK576" s="9"/>
      <c r="OL576" s="9"/>
      <c r="OM576" s="9"/>
      <c r="ON576" s="9"/>
      <c r="OO576" s="9"/>
      <c r="OP576" s="9"/>
      <c r="OQ576" s="9"/>
      <c r="OR576" s="9"/>
      <c r="OS576" s="9"/>
      <c r="OT576" s="9"/>
      <c r="OU576" s="9"/>
      <c r="OV576" s="9"/>
      <c r="OW576" s="9"/>
      <c r="OX576" s="9"/>
      <c r="OY576" s="9"/>
      <c r="OZ576" s="9"/>
      <c r="PA576" s="9"/>
      <c r="PB576" s="9"/>
      <c r="PC576" s="9"/>
      <c r="PD576" s="9"/>
      <c r="PE576" s="9"/>
      <c r="PF576" s="9"/>
      <c r="PG576" s="9"/>
      <c r="PH576" s="9"/>
      <c r="PI576" s="9"/>
      <c r="PJ576" s="9"/>
      <c r="PK576" s="9"/>
      <c r="PL576" s="9"/>
      <c r="PM576" s="9"/>
      <c r="PN576" s="9"/>
      <c r="PO576" s="9"/>
      <c r="PP576" s="9"/>
      <c r="PQ576" s="9"/>
      <c r="PR576" s="9"/>
      <c r="PS576" s="9"/>
      <c r="PT576" s="9"/>
      <c r="PU576" s="9"/>
      <c r="PV576" s="9"/>
      <c r="PW576" s="9"/>
      <c r="PX576" s="9"/>
      <c r="PY576" s="9"/>
      <c r="PZ576" s="9"/>
      <c r="QA576" s="9"/>
      <c r="QB576" s="9"/>
      <c r="QC576" s="9"/>
      <c r="QD576" s="9"/>
      <c r="QE576" s="9"/>
      <c r="QF576" s="9"/>
      <c r="QG576" s="9"/>
      <c r="QH576" s="9"/>
      <c r="QI576" s="9"/>
      <c r="QJ576" s="9"/>
      <c r="QK576" s="9"/>
      <c r="QL576" s="9"/>
      <c r="QM576" s="9"/>
      <c r="QN576" s="9"/>
      <c r="QO576" s="9"/>
      <c r="QP576" s="9"/>
      <c r="QQ576" s="9"/>
      <c r="QR576" s="9"/>
      <c r="QS576" s="9"/>
      <c r="QT576" s="9"/>
      <c r="QU576" s="9"/>
      <c r="QV576" s="9"/>
      <c r="QW576" s="9"/>
      <c r="QX576" s="9"/>
      <c r="QY576" s="9"/>
      <c r="QZ576" s="9"/>
      <c r="RA576" s="9"/>
      <c r="RB576" s="9"/>
      <c r="RC576" s="9"/>
      <c r="RD576" s="9"/>
      <c r="RE576" s="9"/>
      <c r="RF576" s="9"/>
      <c r="RG576" s="9"/>
      <c r="RH576" s="9"/>
      <c r="RI576" s="9"/>
      <c r="RJ576" s="9"/>
      <c r="RK576" s="9"/>
      <c r="RL576" s="9"/>
      <c r="RM576" s="9"/>
      <c r="RN576" s="9"/>
      <c r="RO576" s="9"/>
      <c r="RP576" s="9"/>
      <c r="RQ576" s="9"/>
      <c r="RR576" s="9"/>
      <c r="RS576" s="9"/>
      <c r="RT576" s="9"/>
      <c r="RU576" s="9"/>
      <c r="RV576" s="9"/>
      <c r="RW576" s="9"/>
      <c r="RX576" s="9"/>
      <c r="RY576" s="9"/>
      <c r="RZ576" s="9"/>
      <c r="SA576" s="9"/>
      <c r="SB576" s="9"/>
      <c r="SC576" s="9"/>
      <c r="SD576" s="9"/>
      <c r="SE576" s="9"/>
      <c r="SF576" s="9"/>
      <c r="SG576" s="9"/>
      <c r="SH576" s="9"/>
      <c r="SI576" s="9"/>
      <c r="SJ576" s="9"/>
      <c r="SK576" s="9"/>
      <c r="SL576" s="9"/>
      <c r="SM576" s="9"/>
      <c r="SN576" s="9"/>
      <c r="SO576" s="9"/>
      <c r="SP576" s="9"/>
      <c r="SQ576" s="9"/>
      <c r="SR576" s="9"/>
      <c r="SS576" s="9"/>
      <c r="ST576" s="9"/>
      <c r="SU576" s="9"/>
      <c r="SV576" s="9"/>
      <c r="SW576" s="9"/>
      <c r="SX576" s="9"/>
      <c r="SY576" s="9"/>
      <c r="SZ576" s="9"/>
      <c r="TA576" s="9"/>
      <c r="TB576" s="9"/>
      <c r="TC576" s="9"/>
      <c r="TD576" s="9"/>
      <c r="TE576" s="9"/>
      <c r="TF576" s="9"/>
      <c r="TG576" s="9"/>
      <c r="TH576" s="9"/>
      <c r="TI576" s="9"/>
      <c r="TJ576" s="9"/>
      <c r="TK576" s="9"/>
      <c r="TL576" s="9"/>
      <c r="TM576" s="9"/>
      <c r="TN576" s="9"/>
      <c r="TO576" s="9"/>
      <c r="TP576" s="9"/>
      <c r="TQ576" s="9"/>
      <c r="TR576" s="9"/>
      <c r="TS576" s="9"/>
      <c r="TT576" s="9"/>
      <c r="TU576" s="9"/>
      <c r="TV576" s="9"/>
      <c r="TW576" s="9"/>
      <c r="TX576" s="9"/>
      <c r="TY576" s="9"/>
      <c r="TZ576" s="9"/>
      <c r="UA576" s="9"/>
      <c r="UB576" s="9"/>
      <c r="UC576" s="9"/>
      <c r="UD576" s="9"/>
      <c r="UE576" s="9"/>
      <c r="UF576" s="9"/>
      <c r="UG576" s="9"/>
      <c r="UH576" s="9"/>
      <c r="UI576" s="9"/>
      <c r="UJ576" s="9"/>
    </row>
    <row r="577">
      <c r="A577" s="8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  <c r="IN577" s="9"/>
      <c r="IO577" s="9"/>
      <c r="IP577" s="9"/>
      <c r="IQ577" s="9"/>
      <c r="IR577" s="9"/>
      <c r="IS577" s="9"/>
      <c r="IT577" s="9"/>
      <c r="IU577" s="9"/>
      <c r="IV577" s="9"/>
      <c r="IW577" s="9"/>
      <c r="IX577" s="9"/>
      <c r="IY577" s="9"/>
      <c r="IZ577" s="9"/>
      <c r="JA577" s="9"/>
      <c r="JB577" s="9"/>
      <c r="JC577" s="9"/>
      <c r="JD577" s="9"/>
      <c r="JE577" s="9"/>
      <c r="JF577" s="9"/>
      <c r="JG577" s="9"/>
      <c r="JH577" s="9"/>
      <c r="JI577" s="9"/>
      <c r="JJ577" s="9"/>
      <c r="JK577" s="9"/>
      <c r="JL577" s="9"/>
      <c r="JM577" s="9"/>
      <c r="JN577" s="9"/>
      <c r="JO577" s="9"/>
      <c r="JP577" s="9"/>
      <c r="JQ577" s="9"/>
      <c r="JR577" s="9"/>
      <c r="JS577" s="9"/>
      <c r="JT577" s="9"/>
      <c r="JU577" s="9"/>
      <c r="JV577" s="9"/>
      <c r="JW577" s="9"/>
      <c r="JX577" s="9"/>
      <c r="JY577" s="9"/>
      <c r="JZ577" s="9"/>
      <c r="KA577" s="9"/>
      <c r="KB577" s="9"/>
      <c r="KC577" s="9"/>
      <c r="KD577" s="9"/>
      <c r="KE577" s="9"/>
      <c r="KF577" s="9"/>
      <c r="KG577" s="9"/>
      <c r="KH577" s="9"/>
      <c r="KI577" s="9"/>
      <c r="KJ577" s="9"/>
      <c r="KK577" s="9"/>
      <c r="KL577" s="9"/>
      <c r="KM577" s="9"/>
      <c r="KN577" s="9"/>
      <c r="KO577" s="9"/>
      <c r="KP577" s="9"/>
      <c r="KQ577" s="9"/>
      <c r="KR577" s="9"/>
      <c r="KS577" s="9"/>
      <c r="KT577" s="9"/>
      <c r="KU577" s="9"/>
      <c r="KV577" s="9"/>
      <c r="KW577" s="9"/>
      <c r="KX577" s="9"/>
      <c r="KY577" s="9"/>
      <c r="KZ577" s="9"/>
      <c r="LA577" s="9"/>
      <c r="LB577" s="9"/>
      <c r="LC577" s="9"/>
      <c r="LD577" s="9"/>
      <c r="LE577" s="9"/>
      <c r="LF577" s="9"/>
      <c r="LG577" s="9"/>
      <c r="LH577" s="9"/>
      <c r="LI577" s="9"/>
      <c r="LJ577" s="9"/>
      <c r="LK577" s="9"/>
      <c r="LL577" s="9"/>
      <c r="LM577" s="9"/>
      <c r="LN577" s="9"/>
      <c r="LO577" s="9"/>
      <c r="LP577" s="9"/>
      <c r="LQ577" s="9"/>
      <c r="LR577" s="9"/>
      <c r="LS577" s="9"/>
      <c r="LT577" s="9"/>
      <c r="LU577" s="9"/>
      <c r="LV577" s="9"/>
      <c r="LW577" s="9"/>
      <c r="LX577" s="9"/>
      <c r="LY577" s="9"/>
      <c r="LZ577" s="9"/>
      <c r="MA577" s="9"/>
      <c r="MB577" s="9"/>
      <c r="MC577" s="9"/>
      <c r="MD577" s="9"/>
      <c r="ME577" s="9"/>
      <c r="MF577" s="9"/>
      <c r="MG577" s="9"/>
      <c r="MH577" s="9"/>
      <c r="MI577" s="9"/>
      <c r="MJ577" s="9"/>
      <c r="MK577" s="9"/>
      <c r="ML577" s="9"/>
      <c r="MM577" s="9"/>
      <c r="MN577" s="9"/>
      <c r="MO577" s="9"/>
      <c r="MP577" s="9"/>
      <c r="MQ577" s="9"/>
      <c r="MR577" s="9"/>
      <c r="MS577" s="9"/>
      <c r="MT577" s="9"/>
      <c r="MU577" s="9"/>
      <c r="MV577" s="9"/>
      <c r="MW577" s="9"/>
      <c r="MX577" s="9"/>
      <c r="MY577" s="9"/>
      <c r="MZ577" s="9"/>
      <c r="NA577" s="9"/>
      <c r="NB577" s="9"/>
      <c r="NC577" s="9"/>
      <c r="ND577" s="9"/>
      <c r="NE577" s="9"/>
      <c r="NF577" s="9"/>
      <c r="NG577" s="9"/>
      <c r="NH577" s="9"/>
      <c r="NI577" s="9"/>
      <c r="NJ577" s="9"/>
      <c r="NK577" s="9"/>
      <c r="NL577" s="9"/>
      <c r="NM577" s="9"/>
      <c r="NN577" s="9"/>
      <c r="NO577" s="9"/>
      <c r="NP577" s="9"/>
      <c r="NQ577" s="9"/>
      <c r="NR577" s="9"/>
      <c r="NS577" s="9"/>
      <c r="NT577" s="9"/>
      <c r="NU577" s="9"/>
      <c r="NV577" s="9"/>
      <c r="NW577" s="9"/>
      <c r="NX577" s="9"/>
      <c r="NY577" s="9"/>
      <c r="NZ577" s="9"/>
      <c r="OA577" s="9"/>
      <c r="OB577" s="9"/>
      <c r="OC577" s="9"/>
      <c r="OD577" s="9"/>
      <c r="OE577" s="9"/>
      <c r="OF577" s="9"/>
      <c r="OG577" s="9"/>
      <c r="OH577" s="9"/>
      <c r="OI577" s="9"/>
      <c r="OJ577" s="9"/>
      <c r="OK577" s="9"/>
      <c r="OL577" s="9"/>
      <c r="OM577" s="9"/>
      <c r="ON577" s="9"/>
      <c r="OO577" s="9"/>
      <c r="OP577" s="9"/>
      <c r="OQ577" s="9"/>
      <c r="OR577" s="9"/>
      <c r="OS577" s="9"/>
      <c r="OT577" s="9"/>
      <c r="OU577" s="9"/>
      <c r="OV577" s="9"/>
      <c r="OW577" s="9"/>
      <c r="OX577" s="9"/>
      <c r="OY577" s="9"/>
      <c r="OZ577" s="9"/>
      <c r="PA577" s="9"/>
      <c r="PB577" s="9"/>
      <c r="PC577" s="9"/>
      <c r="PD577" s="9"/>
      <c r="PE577" s="9"/>
      <c r="PF577" s="9"/>
      <c r="PG577" s="9"/>
      <c r="PH577" s="9"/>
      <c r="PI577" s="9"/>
      <c r="PJ577" s="9"/>
      <c r="PK577" s="9"/>
      <c r="PL577" s="9"/>
      <c r="PM577" s="9"/>
      <c r="PN577" s="9"/>
      <c r="PO577" s="9"/>
      <c r="PP577" s="9"/>
      <c r="PQ577" s="9"/>
      <c r="PR577" s="9"/>
      <c r="PS577" s="9"/>
      <c r="PT577" s="9"/>
      <c r="PU577" s="9"/>
      <c r="PV577" s="9"/>
      <c r="PW577" s="9"/>
      <c r="PX577" s="9"/>
      <c r="PY577" s="9"/>
      <c r="PZ577" s="9"/>
      <c r="QA577" s="9"/>
      <c r="QB577" s="9"/>
      <c r="QC577" s="9"/>
      <c r="QD577" s="9"/>
      <c r="QE577" s="9"/>
      <c r="QF577" s="9"/>
      <c r="QG577" s="9"/>
      <c r="QH577" s="9"/>
      <c r="QI577" s="9"/>
      <c r="QJ577" s="9"/>
      <c r="QK577" s="9"/>
      <c r="QL577" s="9"/>
      <c r="QM577" s="9"/>
      <c r="QN577" s="9"/>
      <c r="QO577" s="9"/>
      <c r="QP577" s="9"/>
      <c r="QQ577" s="9"/>
      <c r="QR577" s="9"/>
      <c r="QS577" s="9"/>
      <c r="QT577" s="9"/>
      <c r="QU577" s="9"/>
      <c r="QV577" s="9"/>
      <c r="QW577" s="9"/>
      <c r="QX577" s="9"/>
      <c r="QY577" s="9"/>
      <c r="QZ577" s="9"/>
      <c r="RA577" s="9"/>
      <c r="RB577" s="9"/>
      <c r="RC577" s="9"/>
      <c r="RD577" s="9"/>
      <c r="RE577" s="9"/>
      <c r="RF577" s="9"/>
      <c r="RG577" s="9"/>
      <c r="RH577" s="9"/>
      <c r="RI577" s="9"/>
      <c r="RJ577" s="9"/>
      <c r="RK577" s="9"/>
      <c r="RL577" s="9"/>
      <c r="RM577" s="9"/>
      <c r="RN577" s="9"/>
      <c r="RO577" s="9"/>
      <c r="RP577" s="9"/>
      <c r="RQ577" s="9"/>
      <c r="RR577" s="9"/>
      <c r="RS577" s="9"/>
      <c r="RT577" s="9"/>
      <c r="RU577" s="9"/>
      <c r="RV577" s="9"/>
      <c r="RW577" s="9"/>
      <c r="RX577" s="9"/>
      <c r="RY577" s="9"/>
      <c r="RZ577" s="9"/>
      <c r="SA577" s="9"/>
      <c r="SB577" s="9"/>
      <c r="SC577" s="9"/>
      <c r="SD577" s="9"/>
      <c r="SE577" s="9"/>
      <c r="SF577" s="9"/>
      <c r="SG577" s="9"/>
      <c r="SH577" s="9"/>
      <c r="SI577" s="9"/>
      <c r="SJ577" s="9"/>
      <c r="SK577" s="9"/>
      <c r="SL577" s="9"/>
      <c r="SM577" s="9"/>
      <c r="SN577" s="9"/>
      <c r="SO577" s="9"/>
      <c r="SP577" s="9"/>
      <c r="SQ577" s="9"/>
      <c r="SR577" s="9"/>
      <c r="SS577" s="9"/>
      <c r="ST577" s="9"/>
      <c r="SU577" s="9"/>
      <c r="SV577" s="9"/>
      <c r="SW577" s="9"/>
      <c r="SX577" s="9"/>
      <c r="SY577" s="9"/>
      <c r="SZ577" s="9"/>
      <c r="TA577" s="9"/>
      <c r="TB577" s="9"/>
      <c r="TC577" s="9"/>
      <c r="TD577" s="9"/>
      <c r="TE577" s="9"/>
      <c r="TF577" s="9"/>
      <c r="TG577" s="9"/>
      <c r="TH577" s="9"/>
      <c r="TI577" s="9"/>
      <c r="TJ577" s="9"/>
      <c r="TK577" s="9"/>
      <c r="TL577" s="9"/>
      <c r="TM577" s="9"/>
      <c r="TN577" s="9"/>
      <c r="TO577" s="9"/>
      <c r="TP577" s="9"/>
      <c r="TQ577" s="9"/>
      <c r="TR577" s="9"/>
      <c r="TS577" s="9"/>
      <c r="TT577" s="9"/>
      <c r="TU577" s="9"/>
      <c r="TV577" s="9"/>
      <c r="TW577" s="9"/>
      <c r="TX577" s="9"/>
      <c r="TY577" s="9"/>
      <c r="TZ577" s="9"/>
      <c r="UA577" s="9"/>
      <c r="UB577" s="9"/>
      <c r="UC577" s="9"/>
      <c r="UD577" s="9"/>
      <c r="UE577" s="9"/>
      <c r="UF577" s="9"/>
      <c r="UG577" s="9"/>
      <c r="UH577" s="9"/>
      <c r="UI577" s="9"/>
      <c r="UJ577" s="9"/>
    </row>
    <row r="578">
      <c r="A578" s="8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  <c r="IW578" s="9"/>
      <c r="IX578" s="9"/>
      <c r="IY578" s="9"/>
      <c r="IZ578" s="9"/>
      <c r="JA578" s="9"/>
      <c r="JB578" s="9"/>
      <c r="JC578" s="9"/>
      <c r="JD578" s="9"/>
      <c r="JE578" s="9"/>
      <c r="JF578" s="9"/>
      <c r="JG578" s="9"/>
      <c r="JH578" s="9"/>
      <c r="JI578" s="9"/>
      <c r="JJ578" s="9"/>
      <c r="JK578" s="9"/>
      <c r="JL578" s="9"/>
      <c r="JM578" s="9"/>
      <c r="JN578" s="9"/>
      <c r="JO578" s="9"/>
      <c r="JP578" s="9"/>
      <c r="JQ578" s="9"/>
      <c r="JR578" s="9"/>
      <c r="JS578" s="9"/>
      <c r="JT578" s="9"/>
      <c r="JU578" s="9"/>
      <c r="JV578" s="9"/>
      <c r="JW578" s="9"/>
      <c r="JX578" s="9"/>
      <c r="JY578" s="9"/>
      <c r="JZ578" s="9"/>
      <c r="KA578" s="9"/>
      <c r="KB578" s="9"/>
      <c r="KC578" s="9"/>
      <c r="KD578" s="9"/>
      <c r="KE578" s="9"/>
      <c r="KF578" s="9"/>
      <c r="KG578" s="9"/>
      <c r="KH578" s="9"/>
      <c r="KI578" s="9"/>
      <c r="KJ578" s="9"/>
      <c r="KK578" s="9"/>
      <c r="KL578" s="9"/>
      <c r="KM578" s="9"/>
      <c r="KN578" s="9"/>
      <c r="KO578" s="9"/>
      <c r="KP578" s="9"/>
      <c r="KQ578" s="9"/>
      <c r="KR578" s="9"/>
      <c r="KS578" s="9"/>
      <c r="KT578" s="9"/>
      <c r="KU578" s="9"/>
      <c r="KV578" s="9"/>
      <c r="KW578" s="9"/>
      <c r="KX578" s="9"/>
      <c r="KY578" s="9"/>
      <c r="KZ578" s="9"/>
      <c r="LA578" s="9"/>
      <c r="LB578" s="9"/>
      <c r="LC578" s="9"/>
      <c r="LD578" s="9"/>
      <c r="LE578" s="9"/>
      <c r="LF578" s="9"/>
      <c r="LG578" s="9"/>
      <c r="LH578" s="9"/>
      <c r="LI578" s="9"/>
      <c r="LJ578" s="9"/>
      <c r="LK578" s="9"/>
      <c r="LL578" s="9"/>
      <c r="LM578" s="9"/>
      <c r="LN578" s="9"/>
      <c r="LO578" s="9"/>
      <c r="LP578" s="9"/>
      <c r="LQ578" s="9"/>
      <c r="LR578" s="9"/>
      <c r="LS578" s="9"/>
      <c r="LT578" s="9"/>
      <c r="LU578" s="9"/>
      <c r="LV578" s="9"/>
      <c r="LW578" s="9"/>
      <c r="LX578" s="9"/>
      <c r="LY578" s="9"/>
      <c r="LZ578" s="9"/>
      <c r="MA578" s="9"/>
      <c r="MB578" s="9"/>
      <c r="MC578" s="9"/>
      <c r="MD578" s="9"/>
      <c r="ME578" s="9"/>
      <c r="MF578" s="9"/>
      <c r="MG578" s="9"/>
      <c r="MH578" s="9"/>
      <c r="MI578" s="9"/>
      <c r="MJ578" s="9"/>
      <c r="MK578" s="9"/>
      <c r="ML578" s="9"/>
      <c r="MM578" s="9"/>
      <c r="MN578" s="9"/>
      <c r="MO578" s="9"/>
      <c r="MP578" s="9"/>
      <c r="MQ578" s="9"/>
      <c r="MR578" s="9"/>
      <c r="MS578" s="9"/>
      <c r="MT578" s="9"/>
      <c r="MU578" s="9"/>
      <c r="MV578" s="9"/>
      <c r="MW578" s="9"/>
      <c r="MX578" s="9"/>
      <c r="MY578" s="9"/>
      <c r="MZ578" s="9"/>
      <c r="NA578" s="9"/>
      <c r="NB578" s="9"/>
      <c r="NC578" s="9"/>
      <c r="ND578" s="9"/>
      <c r="NE578" s="9"/>
      <c r="NF578" s="9"/>
      <c r="NG578" s="9"/>
      <c r="NH578" s="9"/>
      <c r="NI578" s="9"/>
      <c r="NJ578" s="9"/>
      <c r="NK578" s="9"/>
      <c r="NL578" s="9"/>
      <c r="NM578" s="9"/>
      <c r="NN578" s="9"/>
      <c r="NO578" s="9"/>
      <c r="NP578" s="9"/>
      <c r="NQ578" s="9"/>
      <c r="NR578" s="9"/>
      <c r="NS578" s="9"/>
      <c r="NT578" s="9"/>
      <c r="NU578" s="9"/>
      <c r="NV578" s="9"/>
      <c r="NW578" s="9"/>
      <c r="NX578" s="9"/>
      <c r="NY578" s="9"/>
      <c r="NZ578" s="9"/>
      <c r="OA578" s="9"/>
      <c r="OB578" s="9"/>
      <c r="OC578" s="9"/>
      <c r="OD578" s="9"/>
      <c r="OE578" s="9"/>
      <c r="OF578" s="9"/>
      <c r="OG578" s="9"/>
      <c r="OH578" s="9"/>
      <c r="OI578" s="9"/>
      <c r="OJ578" s="9"/>
      <c r="OK578" s="9"/>
      <c r="OL578" s="9"/>
      <c r="OM578" s="9"/>
      <c r="ON578" s="9"/>
      <c r="OO578" s="9"/>
      <c r="OP578" s="9"/>
      <c r="OQ578" s="9"/>
      <c r="OR578" s="9"/>
      <c r="OS578" s="9"/>
      <c r="OT578" s="9"/>
      <c r="OU578" s="9"/>
      <c r="OV578" s="9"/>
      <c r="OW578" s="9"/>
      <c r="OX578" s="9"/>
      <c r="OY578" s="9"/>
      <c r="OZ578" s="9"/>
      <c r="PA578" s="9"/>
      <c r="PB578" s="9"/>
      <c r="PC578" s="9"/>
      <c r="PD578" s="9"/>
      <c r="PE578" s="9"/>
      <c r="PF578" s="9"/>
      <c r="PG578" s="9"/>
      <c r="PH578" s="9"/>
      <c r="PI578" s="9"/>
      <c r="PJ578" s="9"/>
      <c r="PK578" s="9"/>
      <c r="PL578" s="9"/>
      <c r="PM578" s="9"/>
      <c r="PN578" s="9"/>
      <c r="PO578" s="9"/>
      <c r="PP578" s="9"/>
      <c r="PQ578" s="9"/>
      <c r="PR578" s="9"/>
      <c r="PS578" s="9"/>
      <c r="PT578" s="9"/>
      <c r="PU578" s="9"/>
      <c r="PV578" s="9"/>
      <c r="PW578" s="9"/>
      <c r="PX578" s="9"/>
      <c r="PY578" s="9"/>
      <c r="PZ578" s="9"/>
      <c r="QA578" s="9"/>
      <c r="QB578" s="9"/>
      <c r="QC578" s="9"/>
      <c r="QD578" s="9"/>
      <c r="QE578" s="9"/>
      <c r="QF578" s="9"/>
      <c r="QG578" s="9"/>
      <c r="QH578" s="9"/>
      <c r="QI578" s="9"/>
      <c r="QJ578" s="9"/>
      <c r="QK578" s="9"/>
      <c r="QL578" s="9"/>
      <c r="QM578" s="9"/>
      <c r="QN578" s="9"/>
      <c r="QO578" s="9"/>
      <c r="QP578" s="9"/>
      <c r="QQ578" s="9"/>
      <c r="QR578" s="9"/>
      <c r="QS578" s="9"/>
      <c r="QT578" s="9"/>
      <c r="QU578" s="9"/>
      <c r="QV578" s="9"/>
      <c r="QW578" s="9"/>
      <c r="QX578" s="9"/>
      <c r="QY578" s="9"/>
      <c r="QZ578" s="9"/>
      <c r="RA578" s="9"/>
      <c r="RB578" s="9"/>
      <c r="RC578" s="9"/>
      <c r="RD578" s="9"/>
      <c r="RE578" s="9"/>
      <c r="RF578" s="9"/>
      <c r="RG578" s="9"/>
      <c r="RH578" s="9"/>
      <c r="RI578" s="9"/>
      <c r="RJ578" s="9"/>
      <c r="RK578" s="9"/>
      <c r="RL578" s="9"/>
      <c r="RM578" s="9"/>
      <c r="RN578" s="9"/>
      <c r="RO578" s="9"/>
      <c r="RP578" s="9"/>
      <c r="RQ578" s="9"/>
      <c r="RR578" s="9"/>
      <c r="RS578" s="9"/>
      <c r="RT578" s="9"/>
      <c r="RU578" s="9"/>
      <c r="RV578" s="9"/>
      <c r="RW578" s="9"/>
      <c r="RX578" s="9"/>
      <c r="RY578" s="9"/>
      <c r="RZ578" s="9"/>
      <c r="SA578" s="9"/>
      <c r="SB578" s="9"/>
      <c r="SC578" s="9"/>
      <c r="SD578" s="9"/>
      <c r="SE578" s="9"/>
      <c r="SF578" s="9"/>
      <c r="SG578" s="9"/>
      <c r="SH578" s="9"/>
      <c r="SI578" s="9"/>
      <c r="SJ578" s="9"/>
      <c r="SK578" s="9"/>
      <c r="SL578" s="9"/>
      <c r="SM578" s="9"/>
      <c r="SN578" s="9"/>
      <c r="SO578" s="9"/>
      <c r="SP578" s="9"/>
      <c r="SQ578" s="9"/>
      <c r="SR578" s="9"/>
      <c r="SS578" s="9"/>
      <c r="ST578" s="9"/>
      <c r="SU578" s="9"/>
      <c r="SV578" s="9"/>
      <c r="SW578" s="9"/>
      <c r="SX578" s="9"/>
      <c r="SY578" s="9"/>
      <c r="SZ578" s="9"/>
      <c r="TA578" s="9"/>
      <c r="TB578" s="9"/>
      <c r="TC578" s="9"/>
      <c r="TD578" s="9"/>
      <c r="TE578" s="9"/>
      <c r="TF578" s="9"/>
      <c r="TG578" s="9"/>
      <c r="TH578" s="9"/>
      <c r="TI578" s="9"/>
      <c r="TJ578" s="9"/>
      <c r="TK578" s="9"/>
      <c r="TL578" s="9"/>
      <c r="TM578" s="9"/>
      <c r="TN578" s="9"/>
      <c r="TO578" s="9"/>
      <c r="TP578" s="9"/>
      <c r="TQ578" s="9"/>
      <c r="TR578" s="9"/>
      <c r="TS578" s="9"/>
      <c r="TT578" s="9"/>
      <c r="TU578" s="9"/>
      <c r="TV578" s="9"/>
      <c r="TW578" s="9"/>
      <c r="TX578" s="9"/>
      <c r="TY578" s="9"/>
      <c r="TZ578" s="9"/>
      <c r="UA578" s="9"/>
      <c r="UB578" s="9"/>
      <c r="UC578" s="9"/>
      <c r="UD578" s="9"/>
      <c r="UE578" s="9"/>
      <c r="UF578" s="9"/>
      <c r="UG578" s="9"/>
      <c r="UH578" s="9"/>
      <c r="UI578" s="9"/>
      <c r="UJ578" s="9"/>
    </row>
    <row r="579">
      <c r="A579" s="8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  <c r="IN579" s="9"/>
      <c r="IO579" s="9"/>
      <c r="IP579" s="9"/>
      <c r="IQ579" s="9"/>
      <c r="IR579" s="9"/>
      <c r="IS579" s="9"/>
      <c r="IT579" s="9"/>
      <c r="IU579" s="9"/>
      <c r="IV579" s="9"/>
      <c r="IW579" s="9"/>
      <c r="IX579" s="9"/>
      <c r="IY579" s="9"/>
      <c r="IZ579" s="9"/>
      <c r="JA579" s="9"/>
      <c r="JB579" s="9"/>
      <c r="JC579" s="9"/>
      <c r="JD579" s="9"/>
      <c r="JE579" s="9"/>
      <c r="JF579" s="9"/>
      <c r="JG579" s="9"/>
      <c r="JH579" s="9"/>
      <c r="JI579" s="9"/>
      <c r="JJ579" s="9"/>
      <c r="JK579" s="9"/>
      <c r="JL579" s="9"/>
      <c r="JM579" s="9"/>
      <c r="JN579" s="9"/>
      <c r="JO579" s="9"/>
      <c r="JP579" s="9"/>
      <c r="JQ579" s="9"/>
      <c r="JR579" s="9"/>
      <c r="JS579" s="9"/>
      <c r="JT579" s="9"/>
      <c r="JU579" s="9"/>
      <c r="JV579" s="9"/>
      <c r="JW579" s="9"/>
      <c r="JX579" s="9"/>
      <c r="JY579" s="9"/>
      <c r="JZ579" s="9"/>
      <c r="KA579" s="9"/>
      <c r="KB579" s="9"/>
      <c r="KC579" s="9"/>
      <c r="KD579" s="9"/>
      <c r="KE579" s="9"/>
      <c r="KF579" s="9"/>
      <c r="KG579" s="9"/>
      <c r="KH579" s="9"/>
      <c r="KI579" s="9"/>
      <c r="KJ579" s="9"/>
      <c r="KK579" s="9"/>
      <c r="KL579" s="9"/>
      <c r="KM579" s="9"/>
      <c r="KN579" s="9"/>
      <c r="KO579" s="9"/>
      <c r="KP579" s="9"/>
      <c r="KQ579" s="9"/>
      <c r="KR579" s="9"/>
      <c r="KS579" s="9"/>
      <c r="KT579" s="9"/>
      <c r="KU579" s="9"/>
      <c r="KV579" s="9"/>
      <c r="KW579" s="9"/>
      <c r="KX579" s="9"/>
      <c r="KY579" s="9"/>
      <c r="KZ579" s="9"/>
      <c r="LA579" s="9"/>
      <c r="LB579" s="9"/>
      <c r="LC579" s="9"/>
      <c r="LD579" s="9"/>
      <c r="LE579" s="9"/>
      <c r="LF579" s="9"/>
      <c r="LG579" s="9"/>
      <c r="LH579" s="9"/>
      <c r="LI579" s="9"/>
      <c r="LJ579" s="9"/>
      <c r="LK579" s="9"/>
      <c r="LL579" s="9"/>
      <c r="LM579" s="9"/>
      <c r="LN579" s="9"/>
      <c r="LO579" s="9"/>
      <c r="LP579" s="9"/>
      <c r="LQ579" s="9"/>
      <c r="LR579" s="9"/>
      <c r="LS579" s="9"/>
      <c r="LT579" s="9"/>
      <c r="LU579" s="9"/>
      <c r="LV579" s="9"/>
      <c r="LW579" s="9"/>
      <c r="LX579" s="9"/>
      <c r="LY579" s="9"/>
      <c r="LZ579" s="9"/>
      <c r="MA579" s="9"/>
      <c r="MB579" s="9"/>
      <c r="MC579" s="9"/>
      <c r="MD579" s="9"/>
      <c r="ME579" s="9"/>
      <c r="MF579" s="9"/>
      <c r="MG579" s="9"/>
      <c r="MH579" s="9"/>
      <c r="MI579" s="9"/>
      <c r="MJ579" s="9"/>
      <c r="MK579" s="9"/>
      <c r="ML579" s="9"/>
      <c r="MM579" s="9"/>
      <c r="MN579" s="9"/>
      <c r="MO579" s="9"/>
      <c r="MP579" s="9"/>
      <c r="MQ579" s="9"/>
      <c r="MR579" s="9"/>
      <c r="MS579" s="9"/>
      <c r="MT579" s="9"/>
      <c r="MU579" s="9"/>
      <c r="MV579" s="9"/>
      <c r="MW579" s="9"/>
      <c r="MX579" s="9"/>
      <c r="MY579" s="9"/>
      <c r="MZ579" s="9"/>
      <c r="NA579" s="9"/>
      <c r="NB579" s="9"/>
      <c r="NC579" s="9"/>
      <c r="ND579" s="9"/>
      <c r="NE579" s="9"/>
      <c r="NF579" s="9"/>
      <c r="NG579" s="9"/>
      <c r="NH579" s="9"/>
      <c r="NI579" s="9"/>
      <c r="NJ579" s="9"/>
      <c r="NK579" s="9"/>
      <c r="NL579" s="9"/>
      <c r="NM579" s="9"/>
      <c r="NN579" s="9"/>
      <c r="NO579" s="9"/>
      <c r="NP579" s="9"/>
      <c r="NQ579" s="9"/>
      <c r="NR579" s="9"/>
      <c r="NS579" s="9"/>
      <c r="NT579" s="9"/>
      <c r="NU579" s="9"/>
      <c r="NV579" s="9"/>
      <c r="NW579" s="9"/>
      <c r="NX579" s="9"/>
      <c r="NY579" s="9"/>
      <c r="NZ579" s="9"/>
      <c r="OA579" s="9"/>
      <c r="OB579" s="9"/>
      <c r="OC579" s="9"/>
      <c r="OD579" s="9"/>
      <c r="OE579" s="9"/>
      <c r="OF579" s="9"/>
      <c r="OG579" s="9"/>
      <c r="OH579" s="9"/>
      <c r="OI579" s="9"/>
      <c r="OJ579" s="9"/>
      <c r="OK579" s="9"/>
      <c r="OL579" s="9"/>
      <c r="OM579" s="9"/>
      <c r="ON579" s="9"/>
      <c r="OO579" s="9"/>
      <c r="OP579" s="9"/>
      <c r="OQ579" s="9"/>
      <c r="OR579" s="9"/>
      <c r="OS579" s="9"/>
      <c r="OT579" s="9"/>
      <c r="OU579" s="9"/>
      <c r="OV579" s="9"/>
      <c r="OW579" s="9"/>
      <c r="OX579" s="9"/>
      <c r="OY579" s="9"/>
      <c r="OZ579" s="9"/>
      <c r="PA579" s="9"/>
      <c r="PB579" s="9"/>
      <c r="PC579" s="9"/>
      <c r="PD579" s="9"/>
      <c r="PE579" s="9"/>
      <c r="PF579" s="9"/>
      <c r="PG579" s="9"/>
      <c r="PH579" s="9"/>
      <c r="PI579" s="9"/>
      <c r="PJ579" s="9"/>
      <c r="PK579" s="9"/>
      <c r="PL579" s="9"/>
      <c r="PM579" s="9"/>
      <c r="PN579" s="9"/>
      <c r="PO579" s="9"/>
      <c r="PP579" s="9"/>
      <c r="PQ579" s="9"/>
      <c r="PR579" s="9"/>
      <c r="PS579" s="9"/>
      <c r="PT579" s="9"/>
      <c r="PU579" s="9"/>
      <c r="PV579" s="9"/>
      <c r="PW579" s="9"/>
      <c r="PX579" s="9"/>
      <c r="PY579" s="9"/>
      <c r="PZ579" s="9"/>
      <c r="QA579" s="9"/>
      <c r="QB579" s="9"/>
      <c r="QC579" s="9"/>
      <c r="QD579" s="9"/>
      <c r="QE579" s="9"/>
      <c r="QF579" s="9"/>
      <c r="QG579" s="9"/>
      <c r="QH579" s="9"/>
      <c r="QI579" s="9"/>
      <c r="QJ579" s="9"/>
      <c r="QK579" s="9"/>
      <c r="QL579" s="9"/>
      <c r="QM579" s="9"/>
      <c r="QN579" s="9"/>
      <c r="QO579" s="9"/>
      <c r="QP579" s="9"/>
      <c r="QQ579" s="9"/>
      <c r="QR579" s="9"/>
      <c r="QS579" s="9"/>
      <c r="QT579" s="9"/>
      <c r="QU579" s="9"/>
      <c r="QV579" s="9"/>
      <c r="QW579" s="9"/>
      <c r="QX579" s="9"/>
      <c r="QY579" s="9"/>
      <c r="QZ579" s="9"/>
      <c r="RA579" s="9"/>
      <c r="RB579" s="9"/>
      <c r="RC579" s="9"/>
      <c r="RD579" s="9"/>
      <c r="RE579" s="9"/>
      <c r="RF579" s="9"/>
      <c r="RG579" s="9"/>
      <c r="RH579" s="9"/>
      <c r="RI579" s="9"/>
      <c r="RJ579" s="9"/>
      <c r="RK579" s="9"/>
      <c r="RL579" s="9"/>
      <c r="RM579" s="9"/>
      <c r="RN579" s="9"/>
      <c r="RO579" s="9"/>
      <c r="RP579" s="9"/>
      <c r="RQ579" s="9"/>
      <c r="RR579" s="9"/>
      <c r="RS579" s="9"/>
      <c r="RT579" s="9"/>
      <c r="RU579" s="9"/>
      <c r="RV579" s="9"/>
      <c r="RW579" s="9"/>
      <c r="RX579" s="9"/>
      <c r="RY579" s="9"/>
      <c r="RZ579" s="9"/>
      <c r="SA579" s="9"/>
      <c r="SB579" s="9"/>
      <c r="SC579" s="9"/>
      <c r="SD579" s="9"/>
      <c r="SE579" s="9"/>
      <c r="SF579" s="9"/>
      <c r="SG579" s="9"/>
      <c r="SH579" s="9"/>
      <c r="SI579" s="9"/>
      <c r="SJ579" s="9"/>
      <c r="SK579" s="9"/>
      <c r="SL579" s="9"/>
      <c r="SM579" s="9"/>
      <c r="SN579" s="9"/>
      <c r="SO579" s="9"/>
      <c r="SP579" s="9"/>
      <c r="SQ579" s="9"/>
      <c r="SR579" s="9"/>
      <c r="SS579" s="9"/>
      <c r="ST579" s="9"/>
      <c r="SU579" s="9"/>
      <c r="SV579" s="9"/>
      <c r="SW579" s="9"/>
      <c r="SX579" s="9"/>
      <c r="SY579" s="9"/>
      <c r="SZ579" s="9"/>
      <c r="TA579" s="9"/>
      <c r="TB579" s="9"/>
      <c r="TC579" s="9"/>
      <c r="TD579" s="9"/>
      <c r="TE579" s="9"/>
      <c r="TF579" s="9"/>
      <c r="TG579" s="9"/>
      <c r="TH579" s="9"/>
      <c r="TI579" s="9"/>
      <c r="TJ579" s="9"/>
      <c r="TK579" s="9"/>
      <c r="TL579" s="9"/>
      <c r="TM579" s="9"/>
      <c r="TN579" s="9"/>
      <c r="TO579" s="9"/>
      <c r="TP579" s="9"/>
      <c r="TQ579" s="9"/>
      <c r="TR579" s="9"/>
      <c r="TS579" s="9"/>
      <c r="TT579" s="9"/>
      <c r="TU579" s="9"/>
      <c r="TV579" s="9"/>
      <c r="TW579" s="9"/>
      <c r="TX579" s="9"/>
      <c r="TY579" s="9"/>
      <c r="TZ579" s="9"/>
      <c r="UA579" s="9"/>
      <c r="UB579" s="9"/>
      <c r="UC579" s="9"/>
      <c r="UD579" s="9"/>
      <c r="UE579" s="9"/>
      <c r="UF579" s="9"/>
      <c r="UG579" s="9"/>
      <c r="UH579" s="9"/>
      <c r="UI579" s="9"/>
      <c r="UJ579" s="9"/>
    </row>
    <row r="580">
      <c r="A580" s="8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  <c r="IW580" s="9"/>
      <c r="IX580" s="9"/>
      <c r="IY580" s="9"/>
      <c r="IZ580" s="9"/>
      <c r="JA580" s="9"/>
      <c r="JB580" s="9"/>
      <c r="JC580" s="9"/>
      <c r="JD580" s="9"/>
      <c r="JE580" s="9"/>
      <c r="JF580" s="9"/>
      <c r="JG580" s="9"/>
      <c r="JH580" s="9"/>
      <c r="JI580" s="9"/>
      <c r="JJ580" s="9"/>
      <c r="JK580" s="9"/>
      <c r="JL580" s="9"/>
      <c r="JM580" s="9"/>
      <c r="JN580" s="9"/>
      <c r="JO580" s="9"/>
      <c r="JP580" s="9"/>
      <c r="JQ580" s="9"/>
      <c r="JR580" s="9"/>
      <c r="JS580" s="9"/>
      <c r="JT580" s="9"/>
      <c r="JU580" s="9"/>
      <c r="JV580" s="9"/>
      <c r="JW580" s="9"/>
      <c r="JX580" s="9"/>
      <c r="JY580" s="9"/>
      <c r="JZ580" s="9"/>
      <c r="KA580" s="9"/>
      <c r="KB580" s="9"/>
      <c r="KC580" s="9"/>
      <c r="KD580" s="9"/>
      <c r="KE580" s="9"/>
      <c r="KF580" s="9"/>
      <c r="KG580" s="9"/>
      <c r="KH580" s="9"/>
      <c r="KI580" s="9"/>
      <c r="KJ580" s="9"/>
      <c r="KK580" s="9"/>
      <c r="KL580" s="9"/>
      <c r="KM580" s="9"/>
      <c r="KN580" s="9"/>
      <c r="KO580" s="9"/>
      <c r="KP580" s="9"/>
      <c r="KQ580" s="9"/>
      <c r="KR580" s="9"/>
      <c r="KS580" s="9"/>
      <c r="KT580" s="9"/>
      <c r="KU580" s="9"/>
      <c r="KV580" s="9"/>
      <c r="KW580" s="9"/>
      <c r="KX580" s="9"/>
      <c r="KY580" s="9"/>
      <c r="KZ580" s="9"/>
      <c r="LA580" s="9"/>
      <c r="LB580" s="9"/>
      <c r="LC580" s="9"/>
      <c r="LD580" s="9"/>
      <c r="LE580" s="9"/>
      <c r="LF580" s="9"/>
      <c r="LG580" s="9"/>
      <c r="LH580" s="9"/>
      <c r="LI580" s="9"/>
      <c r="LJ580" s="9"/>
      <c r="LK580" s="9"/>
      <c r="LL580" s="9"/>
      <c r="LM580" s="9"/>
      <c r="LN580" s="9"/>
      <c r="LO580" s="9"/>
      <c r="LP580" s="9"/>
      <c r="LQ580" s="9"/>
      <c r="LR580" s="9"/>
      <c r="LS580" s="9"/>
      <c r="LT580" s="9"/>
      <c r="LU580" s="9"/>
      <c r="LV580" s="9"/>
      <c r="LW580" s="9"/>
      <c r="LX580" s="9"/>
      <c r="LY580" s="9"/>
      <c r="LZ580" s="9"/>
      <c r="MA580" s="9"/>
      <c r="MB580" s="9"/>
      <c r="MC580" s="9"/>
      <c r="MD580" s="9"/>
      <c r="ME580" s="9"/>
      <c r="MF580" s="9"/>
      <c r="MG580" s="9"/>
      <c r="MH580" s="9"/>
      <c r="MI580" s="9"/>
      <c r="MJ580" s="9"/>
      <c r="MK580" s="9"/>
      <c r="ML580" s="9"/>
      <c r="MM580" s="9"/>
      <c r="MN580" s="9"/>
      <c r="MO580" s="9"/>
      <c r="MP580" s="9"/>
      <c r="MQ580" s="9"/>
      <c r="MR580" s="9"/>
      <c r="MS580" s="9"/>
      <c r="MT580" s="9"/>
      <c r="MU580" s="9"/>
      <c r="MV580" s="9"/>
      <c r="MW580" s="9"/>
      <c r="MX580" s="9"/>
      <c r="MY580" s="9"/>
      <c r="MZ580" s="9"/>
      <c r="NA580" s="9"/>
      <c r="NB580" s="9"/>
      <c r="NC580" s="9"/>
      <c r="ND580" s="9"/>
      <c r="NE580" s="9"/>
      <c r="NF580" s="9"/>
      <c r="NG580" s="9"/>
      <c r="NH580" s="9"/>
      <c r="NI580" s="9"/>
      <c r="NJ580" s="9"/>
      <c r="NK580" s="9"/>
      <c r="NL580" s="9"/>
      <c r="NM580" s="9"/>
      <c r="NN580" s="9"/>
      <c r="NO580" s="9"/>
      <c r="NP580" s="9"/>
      <c r="NQ580" s="9"/>
      <c r="NR580" s="9"/>
      <c r="NS580" s="9"/>
      <c r="NT580" s="9"/>
      <c r="NU580" s="9"/>
      <c r="NV580" s="9"/>
      <c r="NW580" s="9"/>
      <c r="NX580" s="9"/>
      <c r="NY580" s="9"/>
      <c r="NZ580" s="9"/>
      <c r="OA580" s="9"/>
      <c r="OB580" s="9"/>
      <c r="OC580" s="9"/>
      <c r="OD580" s="9"/>
      <c r="OE580" s="9"/>
      <c r="OF580" s="9"/>
      <c r="OG580" s="9"/>
      <c r="OH580" s="9"/>
      <c r="OI580" s="9"/>
      <c r="OJ580" s="9"/>
      <c r="OK580" s="9"/>
      <c r="OL580" s="9"/>
      <c r="OM580" s="9"/>
      <c r="ON580" s="9"/>
      <c r="OO580" s="9"/>
      <c r="OP580" s="9"/>
      <c r="OQ580" s="9"/>
      <c r="OR580" s="9"/>
      <c r="OS580" s="9"/>
      <c r="OT580" s="9"/>
      <c r="OU580" s="9"/>
      <c r="OV580" s="9"/>
      <c r="OW580" s="9"/>
      <c r="OX580" s="9"/>
      <c r="OY580" s="9"/>
      <c r="OZ580" s="9"/>
      <c r="PA580" s="9"/>
      <c r="PB580" s="9"/>
      <c r="PC580" s="9"/>
      <c r="PD580" s="9"/>
      <c r="PE580" s="9"/>
      <c r="PF580" s="9"/>
      <c r="PG580" s="9"/>
      <c r="PH580" s="9"/>
      <c r="PI580" s="9"/>
      <c r="PJ580" s="9"/>
      <c r="PK580" s="9"/>
      <c r="PL580" s="9"/>
      <c r="PM580" s="9"/>
      <c r="PN580" s="9"/>
      <c r="PO580" s="9"/>
      <c r="PP580" s="9"/>
      <c r="PQ580" s="9"/>
      <c r="PR580" s="9"/>
      <c r="PS580" s="9"/>
      <c r="PT580" s="9"/>
      <c r="PU580" s="9"/>
      <c r="PV580" s="9"/>
      <c r="PW580" s="9"/>
      <c r="PX580" s="9"/>
      <c r="PY580" s="9"/>
      <c r="PZ580" s="9"/>
      <c r="QA580" s="9"/>
      <c r="QB580" s="9"/>
      <c r="QC580" s="9"/>
      <c r="QD580" s="9"/>
      <c r="QE580" s="9"/>
      <c r="QF580" s="9"/>
      <c r="QG580" s="9"/>
      <c r="QH580" s="9"/>
      <c r="QI580" s="9"/>
      <c r="QJ580" s="9"/>
      <c r="QK580" s="9"/>
      <c r="QL580" s="9"/>
      <c r="QM580" s="9"/>
      <c r="QN580" s="9"/>
      <c r="QO580" s="9"/>
      <c r="QP580" s="9"/>
      <c r="QQ580" s="9"/>
      <c r="QR580" s="9"/>
      <c r="QS580" s="9"/>
      <c r="QT580" s="9"/>
      <c r="QU580" s="9"/>
      <c r="QV580" s="9"/>
      <c r="QW580" s="9"/>
      <c r="QX580" s="9"/>
      <c r="QY580" s="9"/>
      <c r="QZ580" s="9"/>
      <c r="RA580" s="9"/>
      <c r="RB580" s="9"/>
      <c r="RC580" s="9"/>
      <c r="RD580" s="9"/>
      <c r="RE580" s="9"/>
      <c r="RF580" s="9"/>
      <c r="RG580" s="9"/>
      <c r="RH580" s="9"/>
      <c r="RI580" s="9"/>
      <c r="RJ580" s="9"/>
      <c r="RK580" s="9"/>
      <c r="RL580" s="9"/>
      <c r="RM580" s="9"/>
      <c r="RN580" s="9"/>
      <c r="RO580" s="9"/>
      <c r="RP580" s="9"/>
      <c r="RQ580" s="9"/>
      <c r="RR580" s="9"/>
      <c r="RS580" s="9"/>
      <c r="RT580" s="9"/>
      <c r="RU580" s="9"/>
      <c r="RV580" s="9"/>
      <c r="RW580" s="9"/>
      <c r="RX580" s="9"/>
      <c r="RY580" s="9"/>
      <c r="RZ580" s="9"/>
      <c r="SA580" s="9"/>
      <c r="SB580" s="9"/>
      <c r="SC580" s="9"/>
      <c r="SD580" s="9"/>
      <c r="SE580" s="9"/>
      <c r="SF580" s="9"/>
      <c r="SG580" s="9"/>
      <c r="SH580" s="9"/>
      <c r="SI580" s="9"/>
      <c r="SJ580" s="9"/>
      <c r="SK580" s="9"/>
      <c r="SL580" s="9"/>
      <c r="SM580" s="9"/>
      <c r="SN580" s="9"/>
      <c r="SO580" s="9"/>
      <c r="SP580" s="9"/>
      <c r="SQ580" s="9"/>
      <c r="SR580" s="9"/>
      <c r="SS580" s="9"/>
      <c r="ST580" s="9"/>
      <c r="SU580" s="9"/>
      <c r="SV580" s="9"/>
      <c r="SW580" s="9"/>
      <c r="SX580" s="9"/>
      <c r="SY580" s="9"/>
      <c r="SZ580" s="9"/>
      <c r="TA580" s="9"/>
      <c r="TB580" s="9"/>
      <c r="TC580" s="9"/>
      <c r="TD580" s="9"/>
      <c r="TE580" s="9"/>
      <c r="TF580" s="9"/>
      <c r="TG580" s="9"/>
      <c r="TH580" s="9"/>
      <c r="TI580" s="9"/>
      <c r="TJ580" s="9"/>
      <c r="TK580" s="9"/>
      <c r="TL580" s="9"/>
      <c r="TM580" s="9"/>
      <c r="TN580" s="9"/>
      <c r="TO580" s="9"/>
      <c r="TP580" s="9"/>
      <c r="TQ580" s="9"/>
      <c r="TR580" s="9"/>
      <c r="TS580" s="9"/>
      <c r="TT580" s="9"/>
      <c r="TU580" s="9"/>
      <c r="TV580" s="9"/>
      <c r="TW580" s="9"/>
      <c r="TX580" s="9"/>
      <c r="TY580" s="9"/>
      <c r="TZ580" s="9"/>
      <c r="UA580" s="9"/>
      <c r="UB580" s="9"/>
      <c r="UC580" s="9"/>
      <c r="UD580" s="9"/>
      <c r="UE580" s="9"/>
      <c r="UF580" s="9"/>
      <c r="UG580" s="9"/>
      <c r="UH580" s="9"/>
      <c r="UI580" s="9"/>
      <c r="UJ580" s="9"/>
    </row>
    <row r="581">
      <c r="A581" s="8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  <c r="IN581" s="9"/>
      <c r="IO581" s="9"/>
      <c r="IP581" s="9"/>
      <c r="IQ581" s="9"/>
      <c r="IR581" s="9"/>
      <c r="IS581" s="9"/>
      <c r="IT581" s="9"/>
      <c r="IU581" s="9"/>
      <c r="IV581" s="9"/>
      <c r="IW581" s="9"/>
      <c r="IX581" s="9"/>
      <c r="IY581" s="9"/>
      <c r="IZ581" s="9"/>
      <c r="JA581" s="9"/>
      <c r="JB581" s="9"/>
      <c r="JC581" s="9"/>
      <c r="JD581" s="9"/>
      <c r="JE581" s="9"/>
      <c r="JF581" s="9"/>
      <c r="JG581" s="9"/>
      <c r="JH581" s="9"/>
      <c r="JI581" s="9"/>
      <c r="JJ581" s="9"/>
      <c r="JK581" s="9"/>
      <c r="JL581" s="9"/>
      <c r="JM581" s="9"/>
      <c r="JN581" s="9"/>
      <c r="JO581" s="9"/>
      <c r="JP581" s="9"/>
      <c r="JQ581" s="9"/>
      <c r="JR581" s="9"/>
      <c r="JS581" s="9"/>
      <c r="JT581" s="9"/>
      <c r="JU581" s="9"/>
      <c r="JV581" s="9"/>
      <c r="JW581" s="9"/>
      <c r="JX581" s="9"/>
      <c r="JY581" s="9"/>
      <c r="JZ581" s="9"/>
      <c r="KA581" s="9"/>
      <c r="KB581" s="9"/>
      <c r="KC581" s="9"/>
      <c r="KD581" s="9"/>
      <c r="KE581" s="9"/>
      <c r="KF581" s="9"/>
      <c r="KG581" s="9"/>
      <c r="KH581" s="9"/>
      <c r="KI581" s="9"/>
      <c r="KJ581" s="9"/>
      <c r="KK581" s="9"/>
      <c r="KL581" s="9"/>
      <c r="KM581" s="9"/>
      <c r="KN581" s="9"/>
      <c r="KO581" s="9"/>
      <c r="KP581" s="9"/>
      <c r="KQ581" s="9"/>
      <c r="KR581" s="9"/>
      <c r="KS581" s="9"/>
      <c r="KT581" s="9"/>
      <c r="KU581" s="9"/>
      <c r="KV581" s="9"/>
      <c r="KW581" s="9"/>
      <c r="KX581" s="9"/>
      <c r="KY581" s="9"/>
      <c r="KZ581" s="9"/>
      <c r="LA581" s="9"/>
      <c r="LB581" s="9"/>
      <c r="LC581" s="9"/>
      <c r="LD581" s="9"/>
      <c r="LE581" s="9"/>
      <c r="LF581" s="9"/>
      <c r="LG581" s="9"/>
      <c r="LH581" s="9"/>
      <c r="LI581" s="9"/>
      <c r="LJ581" s="9"/>
      <c r="LK581" s="9"/>
      <c r="LL581" s="9"/>
      <c r="LM581" s="9"/>
      <c r="LN581" s="9"/>
      <c r="LO581" s="9"/>
      <c r="LP581" s="9"/>
      <c r="LQ581" s="9"/>
      <c r="LR581" s="9"/>
      <c r="LS581" s="9"/>
      <c r="LT581" s="9"/>
      <c r="LU581" s="9"/>
      <c r="LV581" s="9"/>
      <c r="LW581" s="9"/>
      <c r="LX581" s="9"/>
      <c r="LY581" s="9"/>
      <c r="LZ581" s="9"/>
      <c r="MA581" s="9"/>
      <c r="MB581" s="9"/>
      <c r="MC581" s="9"/>
      <c r="MD581" s="9"/>
      <c r="ME581" s="9"/>
      <c r="MF581" s="9"/>
      <c r="MG581" s="9"/>
      <c r="MH581" s="9"/>
      <c r="MI581" s="9"/>
      <c r="MJ581" s="9"/>
      <c r="MK581" s="9"/>
      <c r="ML581" s="9"/>
      <c r="MM581" s="9"/>
      <c r="MN581" s="9"/>
      <c r="MO581" s="9"/>
      <c r="MP581" s="9"/>
      <c r="MQ581" s="9"/>
      <c r="MR581" s="9"/>
      <c r="MS581" s="9"/>
      <c r="MT581" s="9"/>
      <c r="MU581" s="9"/>
      <c r="MV581" s="9"/>
      <c r="MW581" s="9"/>
      <c r="MX581" s="9"/>
      <c r="MY581" s="9"/>
      <c r="MZ581" s="9"/>
      <c r="NA581" s="9"/>
      <c r="NB581" s="9"/>
      <c r="NC581" s="9"/>
      <c r="ND581" s="9"/>
      <c r="NE581" s="9"/>
      <c r="NF581" s="9"/>
      <c r="NG581" s="9"/>
      <c r="NH581" s="9"/>
      <c r="NI581" s="9"/>
      <c r="NJ581" s="9"/>
      <c r="NK581" s="9"/>
      <c r="NL581" s="9"/>
      <c r="NM581" s="9"/>
      <c r="NN581" s="9"/>
      <c r="NO581" s="9"/>
      <c r="NP581" s="9"/>
      <c r="NQ581" s="9"/>
      <c r="NR581" s="9"/>
      <c r="NS581" s="9"/>
      <c r="NT581" s="9"/>
      <c r="NU581" s="9"/>
      <c r="NV581" s="9"/>
      <c r="NW581" s="9"/>
      <c r="NX581" s="9"/>
      <c r="NY581" s="9"/>
      <c r="NZ581" s="9"/>
      <c r="OA581" s="9"/>
      <c r="OB581" s="9"/>
      <c r="OC581" s="9"/>
      <c r="OD581" s="9"/>
      <c r="OE581" s="9"/>
      <c r="OF581" s="9"/>
      <c r="OG581" s="9"/>
      <c r="OH581" s="9"/>
      <c r="OI581" s="9"/>
      <c r="OJ581" s="9"/>
      <c r="OK581" s="9"/>
      <c r="OL581" s="9"/>
      <c r="OM581" s="9"/>
      <c r="ON581" s="9"/>
      <c r="OO581" s="9"/>
      <c r="OP581" s="9"/>
      <c r="OQ581" s="9"/>
      <c r="OR581" s="9"/>
      <c r="OS581" s="9"/>
      <c r="OT581" s="9"/>
      <c r="OU581" s="9"/>
      <c r="OV581" s="9"/>
      <c r="OW581" s="9"/>
      <c r="OX581" s="9"/>
      <c r="OY581" s="9"/>
      <c r="OZ581" s="9"/>
      <c r="PA581" s="9"/>
      <c r="PB581" s="9"/>
      <c r="PC581" s="9"/>
      <c r="PD581" s="9"/>
      <c r="PE581" s="9"/>
      <c r="PF581" s="9"/>
      <c r="PG581" s="9"/>
      <c r="PH581" s="9"/>
      <c r="PI581" s="9"/>
      <c r="PJ581" s="9"/>
      <c r="PK581" s="9"/>
      <c r="PL581" s="9"/>
      <c r="PM581" s="9"/>
      <c r="PN581" s="9"/>
      <c r="PO581" s="9"/>
      <c r="PP581" s="9"/>
      <c r="PQ581" s="9"/>
      <c r="PR581" s="9"/>
      <c r="PS581" s="9"/>
      <c r="PT581" s="9"/>
      <c r="PU581" s="9"/>
      <c r="PV581" s="9"/>
      <c r="PW581" s="9"/>
      <c r="PX581" s="9"/>
      <c r="PY581" s="9"/>
      <c r="PZ581" s="9"/>
      <c r="QA581" s="9"/>
      <c r="QB581" s="9"/>
      <c r="QC581" s="9"/>
      <c r="QD581" s="9"/>
      <c r="QE581" s="9"/>
      <c r="QF581" s="9"/>
      <c r="QG581" s="9"/>
      <c r="QH581" s="9"/>
      <c r="QI581" s="9"/>
      <c r="QJ581" s="9"/>
      <c r="QK581" s="9"/>
      <c r="QL581" s="9"/>
      <c r="QM581" s="9"/>
      <c r="QN581" s="9"/>
      <c r="QO581" s="9"/>
      <c r="QP581" s="9"/>
      <c r="QQ581" s="9"/>
      <c r="QR581" s="9"/>
      <c r="QS581" s="9"/>
      <c r="QT581" s="9"/>
      <c r="QU581" s="9"/>
      <c r="QV581" s="9"/>
      <c r="QW581" s="9"/>
      <c r="QX581" s="9"/>
      <c r="QY581" s="9"/>
      <c r="QZ581" s="9"/>
      <c r="RA581" s="9"/>
      <c r="RB581" s="9"/>
      <c r="RC581" s="9"/>
      <c r="RD581" s="9"/>
      <c r="RE581" s="9"/>
      <c r="RF581" s="9"/>
      <c r="RG581" s="9"/>
      <c r="RH581" s="9"/>
      <c r="RI581" s="9"/>
      <c r="RJ581" s="9"/>
      <c r="RK581" s="9"/>
      <c r="RL581" s="9"/>
      <c r="RM581" s="9"/>
      <c r="RN581" s="9"/>
      <c r="RO581" s="9"/>
      <c r="RP581" s="9"/>
      <c r="RQ581" s="9"/>
      <c r="RR581" s="9"/>
      <c r="RS581" s="9"/>
      <c r="RT581" s="9"/>
      <c r="RU581" s="9"/>
      <c r="RV581" s="9"/>
      <c r="RW581" s="9"/>
      <c r="RX581" s="9"/>
      <c r="RY581" s="9"/>
      <c r="RZ581" s="9"/>
      <c r="SA581" s="9"/>
      <c r="SB581" s="9"/>
      <c r="SC581" s="9"/>
      <c r="SD581" s="9"/>
      <c r="SE581" s="9"/>
      <c r="SF581" s="9"/>
      <c r="SG581" s="9"/>
      <c r="SH581" s="9"/>
      <c r="SI581" s="9"/>
      <c r="SJ581" s="9"/>
      <c r="SK581" s="9"/>
      <c r="SL581" s="9"/>
      <c r="SM581" s="9"/>
      <c r="SN581" s="9"/>
      <c r="SO581" s="9"/>
      <c r="SP581" s="9"/>
      <c r="SQ581" s="9"/>
      <c r="SR581" s="9"/>
      <c r="SS581" s="9"/>
      <c r="ST581" s="9"/>
      <c r="SU581" s="9"/>
      <c r="SV581" s="9"/>
      <c r="SW581" s="9"/>
      <c r="SX581" s="9"/>
      <c r="SY581" s="9"/>
      <c r="SZ581" s="9"/>
      <c r="TA581" s="9"/>
      <c r="TB581" s="9"/>
      <c r="TC581" s="9"/>
      <c r="TD581" s="9"/>
      <c r="TE581" s="9"/>
      <c r="TF581" s="9"/>
      <c r="TG581" s="9"/>
      <c r="TH581" s="9"/>
      <c r="TI581" s="9"/>
      <c r="TJ581" s="9"/>
      <c r="TK581" s="9"/>
      <c r="TL581" s="9"/>
      <c r="TM581" s="9"/>
      <c r="TN581" s="9"/>
      <c r="TO581" s="9"/>
      <c r="TP581" s="9"/>
      <c r="TQ581" s="9"/>
      <c r="TR581" s="9"/>
      <c r="TS581" s="9"/>
      <c r="TT581" s="9"/>
      <c r="TU581" s="9"/>
      <c r="TV581" s="9"/>
      <c r="TW581" s="9"/>
      <c r="TX581" s="9"/>
      <c r="TY581" s="9"/>
      <c r="TZ581" s="9"/>
      <c r="UA581" s="9"/>
      <c r="UB581" s="9"/>
      <c r="UC581" s="9"/>
      <c r="UD581" s="9"/>
      <c r="UE581" s="9"/>
      <c r="UF581" s="9"/>
      <c r="UG581" s="9"/>
      <c r="UH581" s="9"/>
      <c r="UI581" s="9"/>
      <c r="UJ581" s="9"/>
    </row>
    <row r="582">
      <c r="A582" s="8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  <c r="IW582" s="9"/>
      <c r="IX582" s="9"/>
      <c r="IY582" s="9"/>
      <c r="IZ582" s="9"/>
      <c r="JA582" s="9"/>
      <c r="JB582" s="9"/>
      <c r="JC582" s="9"/>
      <c r="JD582" s="9"/>
      <c r="JE582" s="9"/>
      <c r="JF582" s="9"/>
      <c r="JG582" s="9"/>
      <c r="JH582" s="9"/>
      <c r="JI582" s="9"/>
      <c r="JJ582" s="9"/>
      <c r="JK582" s="9"/>
      <c r="JL582" s="9"/>
      <c r="JM582" s="9"/>
      <c r="JN582" s="9"/>
      <c r="JO582" s="9"/>
      <c r="JP582" s="9"/>
      <c r="JQ582" s="9"/>
      <c r="JR582" s="9"/>
      <c r="JS582" s="9"/>
      <c r="JT582" s="9"/>
      <c r="JU582" s="9"/>
      <c r="JV582" s="9"/>
      <c r="JW582" s="9"/>
      <c r="JX582" s="9"/>
      <c r="JY582" s="9"/>
      <c r="JZ582" s="9"/>
      <c r="KA582" s="9"/>
      <c r="KB582" s="9"/>
      <c r="KC582" s="9"/>
      <c r="KD582" s="9"/>
      <c r="KE582" s="9"/>
      <c r="KF582" s="9"/>
      <c r="KG582" s="9"/>
      <c r="KH582" s="9"/>
      <c r="KI582" s="9"/>
      <c r="KJ582" s="9"/>
      <c r="KK582" s="9"/>
      <c r="KL582" s="9"/>
      <c r="KM582" s="9"/>
      <c r="KN582" s="9"/>
      <c r="KO582" s="9"/>
      <c r="KP582" s="9"/>
      <c r="KQ582" s="9"/>
      <c r="KR582" s="9"/>
      <c r="KS582" s="9"/>
      <c r="KT582" s="9"/>
      <c r="KU582" s="9"/>
      <c r="KV582" s="9"/>
      <c r="KW582" s="9"/>
      <c r="KX582" s="9"/>
      <c r="KY582" s="9"/>
      <c r="KZ582" s="9"/>
      <c r="LA582" s="9"/>
      <c r="LB582" s="9"/>
      <c r="LC582" s="9"/>
      <c r="LD582" s="9"/>
      <c r="LE582" s="9"/>
      <c r="LF582" s="9"/>
      <c r="LG582" s="9"/>
      <c r="LH582" s="9"/>
      <c r="LI582" s="9"/>
      <c r="LJ582" s="9"/>
      <c r="LK582" s="9"/>
      <c r="LL582" s="9"/>
      <c r="LM582" s="9"/>
      <c r="LN582" s="9"/>
      <c r="LO582" s="9"/>
      <c r="LP582" s="9"/>
      <c r="LQ582" s="9"/>
      <c r="LR582" s="9"/>
      <c r="LS582" s="9"/>
      <c r="LT582" s="9"/>
      <c r="LU582" s="9"/>
      <c r="LV582" s="9"/>
      <c r="LW582" s="9"/>
      <c r="LX582" s="9"/>
      <c r="LY582" s="9"/>
      <c r="LZ582" s="9"/>
      <c r="MA582" s="9"/>
      <c r="MB582" s="9"/>
      <c r="MC582" s="9"/>
      <c r="MD582" s="9"/>
      <c r="ME582" s="9"/>
      <c r="MF582" s="9"/>
      <c r="MG582" s="9"/>
      <c r="MH582" s="9"/>
      <c r="MI582" s="9"/>
      <c r="MJ582" s="9"/>
      <c r="MK582" s="9"/>
      <c r="ML582" s="9"/>
      <c r="MM582" s="9"/>
      <c r="MN582" s="9"/>
      <c r="MO582" s="9"/>
      <c r="MP582" s="9"/>
      <c r="MQ582" s="9"/>
      <c r="MR582" s="9"/>
      <c r="MS582" s="9"/>
      <c r="MT582" s="9"/>
      <c r="MU582" s="9"/>
      <c r="MV582" s="9"/>
      <c r="MW582" s="9"/>
      <c r="MX582" s="9"/>
      <c r="MY582" s="9"/>
      <c r="MZ582" s="9"/>
      <c r="NA582" s="9"/>
      <c r="NB582" s="9"/>
      <c r="NC582" s="9"/>
      <c r="ND582" s="9"/>
      <c r="NE582" s="9"/>
      <c r="NF582" s="9"/>
      <c r="NG582" s="9"/>
      <c r="NH582" s="9"/>
      <c r="NI582" s="9"/>
      <c r="NJ582" s="9"/>
      <c r="NK582" s="9"/>
      <c r="NL582" s="9"/>
      <c r="NM582" s="9"/>
      <c r="NN582" s="9"/>
      <c r="NO582" s="9"/>
      <c r="NP582" s="9"/>
      <c r="NQ582" s="9"/>
      <c r="NR582" s="9"/>
      <c r="NS582" s="9"/>
      <c r="NT582" s="9"/>
      <c r="NU582" s="9"/>
      <c r="NV582" s="9"/>
      <c r="NW582" s="9"/>
      <c r="NX582" s="9"/>
      <c r="NY582" s="9"/>
      <c r="NZ582" s="9"/>
      <c r="OA582" s="9"/>
      <c r="OB582" s="9"/>
      <c r="OC582" s="9"/>
      <c r="OD582" s="9"/>
      <c r="OE582" s="9"/>
      <c r="OF582" s="9"/>
      <c r="OG582" s="9"/>
      <c r="OH582" s="9"/>
      <c r="OI582" s="9"/>
      <c r="OJ582" s="9"/>
      <c r="OK582" s="9"/>
      <c r="OL582" s="9"/>
      <c r="OM582" s="9"/>
      <c r="ON582" s="9"/>
      <c r="OO582" s="9"/>
      <c r="OP582" s="9"/>
      <c r="OQ582" s="9"/>
      <c r="OR582" s="9"/>
      <c r="OS582" s="9"/>
      <c r="OT582" s="9"/>
      <c r="OU582" s="9"/>
      <c r="OV582" s="9"/>
      <c r="OW582" s="9"/>
      <c r="OX582" s="9"/>
      <c r="OY582" s="9"/>
      <c r="OZ582" s="9"/>
      <c r="PA582" s="9"/>
      <c r="PB582" s="9"/>
      <c r="PC582" s="9"/>
      <c r="PD582" s="9"/>
      <c r="PE582" s="9"/>
      <c r="PF582" s="9"/>
      <c r="PG582" s="9"/>
      <c r="PH582" s="9"/>
      <c r="PI582" s="9"/>
      <c r="PJ582" s="9"/>
      <c r="PK582" s="9"/>
      <c r="PL582" s="9"/>
      <c r="PM582" s="9"/>
      <c r="PN582" s="9"/>
      <c r="PO582" s="9"/>
      <c r="PP582" s="9"/>
      <c r="PQ582" s="9"/>
      <c r="PR582" s="9"/>
      <c r="PS582" s="9"/>
      <c r="PT582" s="9"/>
      <c r="PU582" s="9"/>
      <c r="PV582" s="9"/>
      <c r="PW582" s="9"/>
      <c r="PX582" s="9"/>
      <c r="PY582" s="9"/>
      <c r="PZ582" s="9"/>
      <c r="QA582" s="9"/>
      <c r="QB582" s="9"/>
      <c r="QC582" s="9"/>
      <c r="QD582" s="9"/>
      <c r="QE582" s="9"/>
      <c r="QF582" s="9"/>
      <c r="QG582" s="9"/>
      <c r="QH582" s="9"/>
      <c r="QI582" s="9"/>
      <c r="QJ582" s="9"/>
      <c r="QK582" s="9"/>
      <c r="QL582" s="9"/>
      <c r="QM582" s="9"/>
      <c r="QN582" s="9"/>
      <c r="QO582" s="9"/>
      <c r="QP582" s="9"/>
      <c r="QQ582" s="9"/>
      <c r="QR582" s="9"/>
      <c r="QS582" s="9"/>
      <c r="QT582" s="9"/>
      <c r="QU582" s="9"/>
      <c r="QV582" s="9"/>
      <c r="QW582" s="9"/>
      <c r="QX582" s="9"/>
      <c r="QY582" s="9"/>
      <c r="QZ582" s="9"/>
      <c r="RA582" s="9"/>
      <c r="RB582" s="9"/>
      <c r="RC582" s="9"/>
      <c r="RD582" s="9"/>
      <c r="RE582" s="9"/>
      <c r="RF582" s="9"/>
      <c r="RG582" s="9"/>
      <c r="RH582" s="9"/>
      <c r="RI582" s="9"/>
      <c r="RJ582" s="9"/>
      <c r="RK582" s="9"/>
      <c r="RL582" s="9"/>
      <c r="RM582" s="9"/>
      <c r="RN582" s="9"/>
      <c r="RO582" s="9"/>
      <c r="RP582" s="9"/>
      <c r="RQ582" s="9"/>
      <c r="RR582" s="9"/>
      <c r="RS582" s="9"/>
      <c r="RT582" s="9"/>
      <c r="RU582" s="9"/>
      <c r="RV582" s="9"/>
      <c r="RW582" s="9"/>
      <c r="RX582" s="9"/>
      <c r="RY582" s="9"/>
      <c r="RZ582" s="9"/>
      <c r="SA582" s="9"/>
      <c r="SB582" s="9"/>
      <c r="SC582" s="9"/>
      <c r="SD582" s="9"/>
      <c r="SE582" s="9"/>
      <c r="SF582" s="9"/>
      <c r="SG582" s="9"/>
      <c r="SH582" s="9"/>
      <c r="SI582" s="9"/>
      <c r="SJ582" s="9"/>
      <c r="SK582" s="9"/>
      <c r="SL582" s="9"/>
      <c r="SM582" s="9"/>
      <c r="SN582" s="9"/>
      <c r="SO582" s="9"/>
      <c r="SP582" s="9"/>
      <c r="SQ582" s="9"/>
      <c r="SR582" s="9"/>
      <c r="SS582" s="9"/>
      <c r="ST582" s="9"/>
      <c r="SU582" s="9"/>
      <c r="SV582" s="9"/>
      <c r="SW582" s="9"/>
      <c r="SX582" s="9"/>
      <c r="SY582" s="9"/>
      <c r="SZ582" s="9"/>
      <c r="TA582" s="9"/>
      <c r="TB582" s="9"/>
      <c r="TC582" s="9"/>
      <c r="TD582" s="9"/>
      <c r="TE582" s="9"/>
      <c r="TF582" s="9"/>
      <c r="TG582" s="9"/>
      <c r="TH582" s="9"/>
      <c r="TI582" s="9"/>
      <c r="TJ582" s="9"/>
      <c r="TK582" s="9"/>
      <c r="TL582" s="9"/>
      <c r="TM582" s="9"/>
      <c r="TN582" s="9"/>
      <c r="TO582" s="9"/>
      <c r="TP582" s="9"/>
      <c r="TQ582" s="9"/>
      <c r="TR582" s="9"/>
      <c r="TS582" s="9"/>
      <c r="TT582" s="9"/>
      <c r="TU582" s="9"/>
      <c r="TV582" s="9"/>
      <c r="TW582" s="9"/>
      <c r="TX582" s="9"/>
      <c r="TY582" s="9"/>
      <c r="TZ582" s="9"/>
      <c r="UA582" s="9"/>
      <c r="UB582" s="9"/>
      <c r="UC582" s="9"/>
      <c r="UD582" s="9"/>
      <c r="UE582" s="9"/>
      <c r="UF582" s="9"/>
      <c r="UG582" s="9"/>
      <c r="UH582" s="9"/>
      <c r="UI582" s="9"/>
      <c r="UJ582" s="9"/>
    </row>
    <row r="583">
      <c r="A583" s="8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  <c r="IN583" s="9"/>
      <c r="IO583" s="9"/>
      <c r="IP583" s="9"/>
      <c r="IQ583" s="9"/>
      <c r="IR583" s="9"/>
      <c r="IS583" s="9"/>
      <c r="IT583" s="9"/>
      <c r="IU583" s="9"/>
      <c r="IV583" s="9"/>
      <c r="IW583" s="9"/>
      <c r="IX583" s="9"/>
      <c r="IY583" s="9"/>
      <c r="IZ583" s="9"/>
      <c r="JA583" s="9"/>
      <c r="JB583" s="9"/>
      <c r="JC583" s="9"/>
      <c r="JD583" s="9"/>
      <c r="JE583" s="9"/>
      <c r="JF583" s="9"/>
      <c r="JG583" s="9"/>
      <c r="JH583" s="9"/>
      <c r="JI583" s="9"/>
      <c r="JJ583" s="9"/>
      <c r="JK583" s="9"/>
      <c r="JL583" s="9"/>
      <c r="JM583" s="9"/>
      <c r="JN583" s="9"/>
      <c r="JO583" s="9"/>
      <c r="JP583" s="9"/>
      <c r="JQ583" s="9"/>
      <c r="JR583" s="9"/>
      <c r="JS583" s="9"/>
      <c r="JT583" s="9"/>
      <c r="JU583" s="9"/>
      <c r="JV583" s="9"/>
      <c r="JW583" s="9"/>
      <c r="JX583" s="9"/>
      <c r="JY583" s="9"/>
      <c r="JZ583" s="9"/>
      <c r="KA583" s="9"/>
      <c r="KB583" s="9"/>
      <c r="KC583" s="9"/>
      <c r="KD583" s="9"/>
      <c r="KE583" s="9"/>
      <c r="KF583" s="9"/>
      <c r="KG583" s="9"/>
      <c r="KH583" s="9"/>
      <c r="KI583" s="9"/>
      <c r="KJ583" s="9"/>
      <c r="KK583" s="9"/>
      <c r="KL583" s="9"/>
      <c r="KM583" s="9"/>
      <c r="KN583" s="9"/>
      <c r="KO583" s="9"/>
      <c r="KP583" s="9"/>
      <c r="KQ583" s="9"/>
      <c r="KR583" s="9"/>
      <c r="KS583" s="9"/>
      <c r="KT583" s="9"/>
      <c r="KU583" s="9"/>
      <c r="KV583" s="9"/>
      <c r="KW583" s="9"/>
      <c r="KX583" s="9"/>
      <c r="KY583" s="9"/>
      <c r="KZ583" s="9"/>
      <c r="LA583" s="9"/>
      <c r="LB583" s="9"/>
      <c r="LC583" s="9"/>
      <c r="LD583" s="9"/>
      <c r="LE583" s="9"/>
      <c r="LF583" s="9"/>
      <c r="LG583" s="9"/>
      <c r="LH583" s="9"/>
      <c r="LI583" s="9"/>
      <c r="LJ583" s="9"/>
      <c r="LK583" s="9"/>
      <c r="LL583" s="9"/>
      <c r="LM583" s="9"/>
      <c r="LN583" s="9"/>
      <c r="LO583" s="9"/>
      <c r="LP583" s="9"/>
      <c r="LQ583" s="9"/>
      <c r="LR583" s="9"/>
      <c r="LS583" s="9"/>
      <c r="LT583" s="9"/>
      <c r="LU583" s="9"/>
      <c r="LV583" s="9"/>
      <c r="LW583" s="9"/>
      <c r="LX583" s="9"/>
      <c r="LY583" s="9"/>
      <c r="LZ583" s="9"/>
      <c r="MA583" s="9"/>
      <c r="MB583" s="9"/>
      <c r="MC583" s="9"/>
      <c r="MD583" s="9"/>
      <c r="ME583" s="9"/>
      <c r="MF583" s="9"/>
      <c r="MG583" s="9"/>
      <c r="MH583" s="9"/>
      <c r="MI583" s="9"/>
      <c r="MJ583" s="9"/>
      <c r="MK583" s="9"/>
      <c r="ML583" s="9"/>
      <c r="MM583" s="9"/>
      <c r="MN583" s="9"/>
      <c r="MO583" s="9"/>
      <c r="MP583" s="9"/>
      <c r="MQ583" s="9"/>
      <c r="MR583" s="9"/>
      <c r="MS583" s="9"/>
      <c r="MT583" s="9"/>
      <c r="MU583" s="9"/>
      <c r="MV583" s="9"/>
      <c r="MW583" s="9"/>
      <c r="MX583" s="9"/>
      <c r="MY583" s="9"/>
      <c r="MZ583" s="9"/>
      <c r="NA583" s="9"/>
      <c r="NB583" s="9"/>
      <c r="NC583" s="9"/>
      <c r="ND583" s="9"/>
      <c r="NE583" s="9"/>
      <c r="NF583" s="9"/>
      <c r="NG583" s="9"/>
      <c r="NH583" s="9"/>
      <c r="NI583" s="9"/>
      <c r="NJ583" s="9"/>
      <c r="NK583" s="9"/>
      <c r="NL583" s="9"/>
      <c r="NM583" s="9"/>
      <c r="NN583" s="9"/>
      <c r="NO583" s="9"/>
      <c r="NP583" s="9"/>
      <c r="NQ583" s="9"/>
      <c r="NR583" s="9"/>
      <c r="NS583" s="9"/>
      <c r="NT583" s="9"/>
      <c r="NU583" s="9"/>
      <c r="NV583" s="9"/>
      <c r="NW583" s="9"/>
      <c r="NX583" s="9"/>
      <c r="NY583" s="9"/>
      <c r="NZ583" s="9"/>
      <c r="OA583" s="9"/>
      <c r="OB583" s="9"/>
      <c r="OC583" s="9"/>
      <c r="OD583" s="9"/>
      <c r="OE583" s="9"/>
      <c r="OF583" s="9"/>
      <c r="OG583" s="9"/>
      <c r="OH583" s="9"/>
      <c r="OI583" s="9"/>
      <c r="OJ583" s="9"/>
      <c r="OK583" s="9"/>
      <c r="OL583" s="9"/>
      <c r="OM583" s="9"/>
      <c r="ON583" s="9"/>
      <c r="OO583" s="9"/>
      <c r="OP583" s="9"/>
      <c r="OQ583" s="9"/>
      <c r="OR583" s="9"/>
      <c r="OS583" s="9"/>
      <c r="OT583" s="9"/>
      <c r="OU583" s="9"/>
      <c r="OV583" s="9"/>
      <c r="OW583" s="9"/>
      <c r="OX583" s="9"/>
      <c r="OY583" s="9"/>
      <c r="OZ583" s="9"/>
      <c r="PA583" s="9"/>
      <c r="PB583" s="9"/>
      <c r="PC583" s="9"/>
      <c r="PD583" s="9"/>
      <c r="PE583" s="9"/>
      <c r="PF583" s="9"/>
      <c r="PG583" s="9"/>
      <c r="PH583" s="9"/>
      <c r="PI583" s="9"/>
      <c r="PJ583" s="9"/>
      <c r="PK583" s="9"/>
      <c r="PL583" s="9"/>
      <c r="PM583" s="9"/>
      <c r="PN583" s="9"/>
      <c r="PO583" s="9"/>
      <c r="PP583" s="9"/>
      <c r="PQ583" s="9"/>
      <c r="PR583" s="9"/>
      <c r="PS583" s="9"/>
      <c r="PT583" s="9"/>
      <c r="PU583" s="9"/>
      <c r="PV583" s="9"/>
      <c r="PW583" s="9"/>
      <c r="PX583" s="9"/>
      <c r="PY583" s="9"/>
      <c r="PZ583" s="9"/>
      <c r="QA583" s="9"/>
      <c r="QB583" s="9"/>
      <c r="QC583" s="9"/>
      <c r="QD583" s="9"/>
      <c r="QE583" s="9"/>
      <c r="QF583" s="9"/>
      <c r="QG583" s="9"/>
      <c r="QH583" s="9"/>
      <c r="QI583" s="9"/>
      <c r="QJ583" s="9"/>
      <c r="QK583" s="9"/>
      <c r="QL583" s="9"/>
      <c r="QM583" s="9"/>
      <c r="QN583" s="9"/>
      <c r="QO583" s="9"/>
      <c r="QP583" s="9"/>
      <c r="QQ583" s="9"/>
      <c r="QR583" s="9"/>
      <c r="QS583" s="9"/>
      <c r="QT583" s="9"/>
      <c r="QU583" s="9"/>
      <c r="QV583" s="9"/>
      <c r="QW583" s="9"/>
      <c r="QX583" s="9"/>
      <c r="QY583" s="9"/>
      <c r="QZ583" s="9"/>
      <c r="RA583" s="9"/>
      <c r="RB583" s="9"/>
      <c r="RC583" s="9"/>
      <c r="RD583" s="9"/>
      <c r="RE583" s="9"/>
      <c r="RF583" s="9"/>
      <c r="RG583" s="9"/>
      <c r="RH583" s="9"/>
      <c r="RI583" s="9"/>
      <c r="RJ583" s="9"/>
      <c r="RK583" s="9"/>
      <c r="RL583" s="9"/>
      <c r="RM583" s="9"/>
      <c r="RN583" s="9"/>
      <c r="RO583" s="9"/>
      <c r="RP583" s="9"/>
      <c r="RQ583" s="9"/>
      <c r="RR583" s="9"/>
      <c r="RS583" s="9"/>
      <c r="RT583" s="9"/>
      <c r="RU583" s="9"/>
      <c r="RV583" s="9"/>
      <c r="RW583" s="9"/>
      <c r="RX583" s="9"/>
      <c r="RY583" s="9"/>
      <c r="RZ583" s="9"/>
      <c r="SA583" s="9"/>
      <c r="SB583" s="9"/>
      <c r="SC583" s="9"/>
      <c r="SD583" s="9"/>
      <c r="SE583" s="9"/>
      <c r="SF583" s="9"/>
      <c r="SG583" s="9"/>
      <c r="SH583" s="9"/>
      <c r="SI583" s="9"/>
      <c r="SJ583" s="9"/>
      <c r="SK583" s="9"/>
      <c r="SL583" s="9"/>
      <c r="SM583" s="9"/>
      <c r="SN583" s="9"/>
      <c r="SO583" s="9"/>
      <c r="SP583" s="9"/>
      <c r="SQ583" s="9"/>
      <c r="SR583" s="9"/>
      <c r="SS583" s="9"/>
      <c r="ST583" s="9"/>
      <c r="SU583" s="9"/>
      <c r="SV583" s="9"/>
      <c r="SW583" s="9"/>
      <c r="SX583" s="9"/>
      <c r="SY583" s="9"/>
      <c r="SZ583" s="9"/>
      <c r="TA583" s="9"/>
      <c r="TB583" s="9"/>
      <c r="TC583" s="9"/>
      <c r="TD583" s="9"/>
      <c r="TE583" s="9"/>
      <c r="TF583" s="9"/>
      <c r="TG583" s="9"/>
      <c r="TH583" s="9"/>
      <c r="TI583" s="9"/>
      <c r="TJ583" s="9"/>
      <c r="TK583" s="9"/>
      <c r="TL583" s="9"/>
      <c r="TM583" s="9"/>
      <c r="TN583" s="9"/>
      <c r="TO583" s="9"/>
      <c r="TP583" s="9"/>
      <c r="TQ583" s="9"/>
      <c r="TR583" s="9"/>
      <c r="TS583" s="9"/>
      <c r="TT583" s="9"/>
      <c r="TU583" s="9"/>
      <c r="TV583" s="9"/>
      <c r="TW583" s="9"/>
      <c r="TX583" s="9"/>
      <c r="TY583" s="9"/>
      <c r="TZ583" s="9"/>
      <c r="UA583" s="9"/>
      <c r="UB583" s="9"/>
      <c r="UC583" s="9"/>
      <c r="UD583" s="9"/>
      <c r="UE583" s="9"/>
      <c r="UF583" s="9"/>
      <c r="UG583" s="9"/>
      <c r="UH583" s="9"/>
      <c r="UI583" s="9"/>
      <c r="UJ583" s="9"/>
    </row>
    <row r="584">
      <c r="A584" s="8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  <c r="IN584" s="9"/>
      <c r="IO584" s="9"/>
      <c r="IP584" s="9"/>
      <c r="IQ584" s="9"/>
      <c r="IR584" s="9"/>
      <c r="IS584" s="9"/>
      <c r="IT584" s="9"/>
      <c r="IU584" s="9"/>
      <c r="IV584" s="9"/>
      <c r="IW584" s="9"/>
      <c r="IX584" s="9"/>
      <c r="IY584" s="9"/>
      <c r="IZ584" s="9"/>
      <c r="JA584" s="9"/>
      <c r="JB584" s="9"/>
      <c r="JC584" s="9"/>
      <c r="JD584" s="9"/>
      <c r="JE584" s="9"/>
      <c r="JF584" s="9"/>
      <c r="JG584" s="9"/>
      <c r="JH584" s="9"/>
      <c r="JI584" s="9"/>
      <c r="JJ584" s="9"/>
      <c r="JK584" s="9"/>
      <c r="JL584" s="9"/>
      <c r="JM584" s="9"/>
      <c r="JN584" s="9"/>
      <c r="JO584" s="9"/>
      <c r="JP584" s="9"/>
      <c r="JQ584" s="9"/>
      <c r="JR584" s="9"/>
      <c r="JS584" s="9"/>
      <c r="JT584" s="9"/>
      <c r="JU584" s="9"/>
      <c r="JV584" s="9"/>
      <c r="JW584" s="9"/>
      <c r="JX584" s="9"/>
      <c r="JY584" s="9"/>
      <c r="JZ584" s="9"/>
      <c r="KA584" s="9"/>
      <c r="KB584" s="9"/>
      <c r="KC584" s="9"/>
      <c r="KD584" s="9"/>
      <c r="KE584" s="9"/>
      <c r="KF584" s="9"/>
      <c r="KG584" s="9"/>
      <c r="KH584" s="9"/>
      <c r="KI584" s="9"/>
      <c r="KJ584" s="9"/>
      <c r="KK584" s="9"/>
      <c r="KL584" s="9"/>
      <c r="KM584" s="9"/>
      <c r="KN584" s="9"/>
      <c r="KO584" s="9"/>
      <c r="KP584" s="9"/>
      <c r="KQ584" s="9"/>
      <c r="KR584" s="9"/>
      <c r="KS584" s="9"/>
      <c r="KT584" s="9"/>
      <c r="KU584" s="9"/>
      <c r="KV584" s="9"/>
      <c r="KW584" s="9"/>
      <c r="KX584" s="9"/>
      <c r="KY584" s="9"/>
      <c r="KZ584" s="9"/>
      <c r="LA584" s="9"/>
      <c r="LB584" s="9"/>
      <c r="LC584" s="9"/>
      <c r="LD584" s="9"/>
      <c r="LE584" s="9"/>
      <c r="LF584" s="9"/>
      <c r="LG584" s="9"/>
      <c r="LH584" s="9"/>
      <c r="LI584" s="9"/>
      <c r="LJ584" s="9"/>
      <c r="LK584" s="9"/>
      <c r="LL584" s="9"/>
      <c r="LM584" s="9"/>
      <c r="LN584" s="9"/>
      <c r="LO584" s="9"/>
      <c r="LP584" s="9"/>
      <c r="LQ584" s="9"/>
      <c r="LR584" s="9"/>
      <c r="LS584" s="9"/>
      <c r="LT584" s="9"/>
      <c r="LU584" s="9"/>
      <c r="LV584" s="9"/>
      <c r="LW584" s="9"/>
      <c r="LX584" s="9"/>
      <c r="LY584" s="9"/>
      <c r="LZ584" s="9"/>
      <c r="MA584" s="9"/>
      <c r="MB584" s="9"/>
      <c r="MC584" s="9"/>
      <c r="MD584" s="9"/>
      <c r="ME584" s="9"/>
      <c r="MF584" s="9"/>
      <c r="MG584" s="9"/>
      <c r="MH584" s="9"/>
      <c r="MI584" s="9"/>
      <c r="MJ584" s="9"/>
      <c r="MK584" s="9"/>
      <c r="ML584" s="9"/>
      <c r="MM584" s="9"/>
      <c r="MN584" s="9"/>
      <c r="MO584" s="9"/>
      <c r="MP584" s="9"/>
      <c r="MQ584" s="9"/>
      <c r="MR584" s="9"/>
      <c r="MS584" s="9"/>
      <c r="MT584" s="9"/>
      <c r="MU584" s="9"/>
      <c r="MV584" s="9"/>
      <c r="MW584" s="9"/>
      <c r="MX584" s="9"/>
      <c r="MY584" s="9"/>
      <c r="MZ584" s="9"/>
      <c r="NA584" s="9"/>
      <c r="NB584" s="9"/>
      <c r="NC584" s="9"/>
      <c r="ND584" s="9"/>
      <c r="NE584" s="9"/>
      <c r="NF584" s="9"/>
      <c r="NG584" s="9"/>
      <c r="NH584" s="9"/>
      <c r="NI584" s="9"/>
      <c r="NJ584" s="9"/>
      <c r="NK584" s="9"/>
      <c r="NL584" s="9"/>
      <c r="NM584" s="9"/>
      <c r="NN584" s="9"/>
      <c r="NO584" s="9"/>
      <c r="NP584" s="9"/>
      <c r="NQ584" s="9"/>
      <c r="NR584" s="9"/>
      <c r="NS584" s="9"/>
      <c r="NT584" s="9"/>
      <c r="NU584" s="9"/>
      <c r="NV584" s="9"/>
      <c r="NW584" s="9"/>
      <c r="NX584" s="9"/>
      <c r="NY584" s="9"/>
      <c r="NZ584" s="9"/>
      <c r="OA584" s="9"/>
      <c r="OB584" s="9"/>
      <c r="OC584" s="9"/>
      <c r="OD584" s="9"/>
      <c r="OE584" s="9"/>
      <c r="OF584" s="9"/>
      <c r="OG584" s="9"/>
      <c r="OH584" s="9"/>
      <c r="OI584" s="9"/>
      <c r="OJ584" s="9"/>
      <c r="OK584" s="9"/>
      <c r="OL584" s="9"/>
      <c r="OM584" s="9"/>
      <c r="ON584" s="9"/>
      <c r="OO584" s="9"/>
      <c r="OP584" s="9"/>
      <c r="OQ584" s="9"/>
      <c r="OR584" s="9"/>
      <c r="OS584" s="9"/>
      <c r="OT584" s="9"/>
      <c r="OU584" s="9"/>
      <c r="OV584" s="9"/>
      <c r="OW584" s="9"/>
      <c r="OX584" s="9"/>
      <c r="OY584" s="9"/>
      <c r="OZ584" s="9"/>
      <c r="PA584" s="9"/>
      <c r="PB584" s="9"/>
      <c r="PC584" s="9"/>
      <c r="PD584" s="9"/>
      <c r="PE584" s="9"/>
      <c r="PF584" s="9"/>
      <c r="PG584" s="9"/>
      <c r="PH584" s="9"/>
      <c r="PI584" s="9"/>
      <c r="PJ584" s="9"/>
      <c r="PK584" s="9"/>
      <c r="PL584" s="9"/>
      <c r="PM584" s="9"/>
      <c r="PN584" s="9"/>
      <c r="PO584" s="9"/>
      <c r="PP584" s="9"/>
      <c r="PQ584" s="9"/>
      <c r="PR584" s="9"/>
      <c r="PS584" s="9"/>
      <c r="PT584" s="9"/>
      <c r="PU584" s="9"/>
      <c r="PV584" s="9"/>
      <c r="PW584" s="9"/>
      <c r="PX584" s="9"/>
      <c r="PY584" s="9"/>
      <c r="PZ584" s="9"/>
      <c r="QA584" s="9"/>
      <c r="QB584" s="9"/>
      <c r="QC584" s="9"/>
      <c r="QD584" s="9"/>
      <c r="QE584" s="9"/>
      <c r="QF584" s="9"/>
      <c r="QG584" s="9"/>
      <c r="QH584" s="9"/>
      <c r="QI584" s="9"/>
      <c r="QJ584" s="9"/>
      <c r="QK584" s="9"/>
      <c r="QL584" s="9"/>
      <c r="QM584" s="9"/>
      <c r="QN584" s="9"/>
      <c r="QO584" s="9"/>
      <c r="QP584" s="9"/>
      <c r="QQ584" s="9"/>
      <c r="QR584" s="9"/>
      <c r="QS584" s="9"/>
      <c r="QT584" s="9"/>
      <c r="QU584" s="9"/>
      <c r="QV584" s="9"/>
      <c r="QW584" s="9"/>
      <c r="QX584" s="9"/>
      <c r="QY584" s="9"/>
      <c r="QZ584" s="9"/>
      <c r="RA584" s="9"/>
      <c r="RB584" s="9"/>
      <c r="RC584" s="9"/>
      <c r="RD584" s="9"/>
      <c r="RE584" s="9"/>
      <c r="RF584" s="9"/>
      <c r="RG584" s="9"/>
      <c r="RH584" s="9"/>
      <c r="RI584" s="9"/>
      <c r="RJ584" s="9"/>
      <c r="RK584" s="9"/>
      <c r="RL584" s="9"/>
      <c r="RM584" s="9"/>
      <c r="RN584" s="9"/>
      <c r="RO584" s="9"/>
      <c r="RP584" s="9"/>
      <c r="RQ584" s="9"/>
      <c r="RR584" s="9"/>
      <c r="RS584" s="9"/>
      <c r="RT584" s="9"/>
      <c r="RU584" s="9"/>
      <c r="RV584" s="9"/>
      <c r="RW584" s="9"/>
      <c r="RX584" s="9"/>
      <c r="RY584" s="9"/>
      <c r="RZ584" s="9"/>
      <c r="SA584" s="9"/>
      <c r="SB584" s="9"/>
      <c r="SC584" s="9"/>
      <c r="SD584" s="9"/>
      <c r="SE584" s="9"/>
      <c r="SF584" s="9"/>
      <c r="SG584" s="9"/>
      <c r="SH584" s="9"/>
      <c r="SI584" s="9"/>
      <c r="SJ584" s="9"/>
      <c r="SK584" s="9"/>
      <c r="SL584" s="9"/>
      <c r="SM584" s="9"/>
      <c r="SN584" s="9"/>
      <c r="SO584" s="9"/>
      <c r="SP584" s="9"/>
      <c r="SQ584" s="9"/>
      <c r="SR584" s="9"/>
      <c r="SS584" s="9"/>
      <c r="ST584" s="9"/>
      <c r="SU584" s="9"/>
      <c r="SV584" s="9"/>
      <c r="SW584" s="9"/>
      <c r="SX584" s="9"/>
      <c r="SY584" s="9"/>
      <c r="SZ584" s="9"/>
      <c r="TA584" s="9"/>
      <c r="TB584" s="9"/>
      <c r="TC584" s="9"/>
      <c r="TD584" s="9"/>
      <c r="TE584" s="9"/>
      <c r="TF584" s="9"/>
      <c r="TG584" s="9"/>
      <c r="TH584" s="9"/>
      <c r="TI584" s="9"/>
      <c r="TJ584" s="9"/>
      <c r="TK584" s="9"/>
      <c r="TL584" s="9"/>
      <c r="TM584" s="9"/>
      <c r="TN584" s="9"/>
      <c r="TO584" s="9"/>
      <c r="TP584" s="9"/>
      <c r="TQ584" s="9"/>
      <c r="TR584" s="9"/>
      <c r="TS584" s="9"/>
      <c r="TT584" s="9"/>
      <c r="TU584" s="9"/>
      <c r="TV584" s="9"/>
      <c r="TW584" s="9"/>
      <c r="TX584" s="9"/>
      <c r="TY584" s="9"/>
      <c r="TZ584" s="9"/>
      <c r="UA584" s="9"/>
      <c r="UB584" s="9"/>
      <c r="UC584" s="9"/>
      <c r="UD584" s="9"/>
      <c r="UE584" s="9"/>
      <c r="UF584" s="9"/>
      <c r="UG584" s="9"/>
      <c r="UH584" s="9"/>
      <c r="UI584" s="9"/>
      <c r="UJ584" s="9"/>
    </row>
    <row r="585">
      <c r="A585" s="8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9"/>
      <c r="IA585" s="9"/>
      <c r="IB585" s="9"/>
      <c r="IC585" s="9"/>
      <c r="ID585" s="9"/>
      <c r="IE585" s="9"/>
      <c r="IF585" s="9"/>
      <c r="IG585" s="9"/>
      <c r="IH585" s="9"/>
      <c r="II585" s="9"/>
      <c r="IJ585" s="9"/>
      <c r="IK585" s="9"/>
      <c r="IL585" s="9"/>
      <c r="IM585" s="9"/>
      <c r="IN585" s="9"/>
      <c r="IO585" s="9"/>
      <c r="IP585" s="9"/>
      <c r="IQ585" s="9"/>
      <c r="IR585" s="9"/>
      <c r="IS585" s="9"/>
      <c r="IT585" s="9"/>
      <c r="IU585" s="9"/>
      <c r="IV585" s="9"/>
      <c r="IW585" s="9"/>
      <c r="IX585" s="9"/>
      <c r="IY585" s="9"/>
      <c r="IZ585" s="9"/>
      <c r="JA585" s="9"/>
      <c r="JB585" s="9"/>
      <c r="JC585" s="9"/>
      <c r="JD585" s="9"/>
      <c r="JE585" s="9"/>
      <c r="JF585" s="9"/>
      <c r="JG585" s="9"/>
      <c r="JH585" s="9"/>
      <c r="JI585" s="9"/>
      <c r="JJ585" s="9"/>
      <c r="JK585" s="9"/>
      <c r="JL585" s="9"/>
      <c r="JM585" s="9"/>
      <c r="JN585" s="9"/>
      <c r="JO585" s="9"/>
      <c r="JP585" s="9"/>
      <c r="JQ585" s="9"/>
      <c r="JR585" s="9"/>
      <c r="JS585" s="9"/>
      <c r="JT585" s="9"/>
      <c r="JU585" s="9"/>
      <c r="JV585" s="9"/>
      <c r="JW585" s="9"/>
      <c r="JX585" s="9"/>
      <c r="JY585" s="9"/>
      <c r="JZ585" s="9"/>
      <c r="KA585" s="9"/>
      <c r="KB585" s="9"/>
      <c r="KC585" s="9"/>
      <c r="KD585" s="9"/>
      <c r="KE585" s="9"/>
      <c r="KF585" s="9"/>
      <c r="KG585" s="9"/>
      <c r="KH585" s="9"/>
      <c r="KI585" s="9"/>
      <c r="KJ585" s="9"/>
      <c r="KK585" s="9"/>
      <c r="KL585" s="9"/>
      <c r="KM585" s="9"/>
      <c r="KN585" s="9"/>
      <c r="KO585" s="9"/>
      <c r="KP585" s="9"/>
      <c r="KQ585" s="9"/>
      <c r="KR585" s="9"/>
      <c r="KS585" s="9"/>
      <c r="KT585" s="9"/>
      <c r="KU585" s="9"/>
      <c r="KV585" s="9"/>
      <c r="KW585" s="9"/>
      <c r="KX585" s="9"/>
      <c r="KY585" s="9"/>
      <c r="KZ585" s="9"/>
      <c r="LA585" s="9"/>
      <c r="LB585" s="9"/>
      <c r="LC585" s="9"/>
      <c r="LD585" s="9"/>
      <c r="LE585" s="9"/>
      <c r="LF585" s="9"/>
      <c r="LG585" s="9"/>
      <c r="LH585" s="9"/>
      <c r="LI585" s="9"/>
      <c r="LJ585" s="9"/>
      <c r="LK585" s="9"/>
      <c r="LL585" s="9"/>
      <c r="LM585" s="9"/>
      <c r="LN585" s="9"/>
      <c r="LO585" s="9"/>
      <c r="LP585" s="9"/>
      <c r="LQ585" s="9"/>
      <c r="LR585" s="9"/>
      <c r="LS585" s="9"/>
      <c r="LT585" s="9"/>
      <c r="LU585" s="9"/>
      <c r="LV585" s="9"/>
      <c r="LW585" s="9"/>
      <c r="LX585" s="9"/>
      <c r="LY585" s="9"/>
      <c r="LZ585" s="9"/>
      <c r="MA585" s="9"/>
      <c r="MB585" s="9"/>
      <c r="MC585" s="9"/>
      <c r="MD585" s="9"/>
      <c r="ME585" s="9"/>
      <c r="MF585" s="9"/>
      <c r="MG585" s="9"/>
      <c r="MH585" s="9"/>
      <c r="MI585" s="9"/>
      <c r="MJ585" s="9"/>
      <c r="MK585" s="9"/>
      <c r="ML585" s="9"/>
      <c r="MM585" s="9"/>
      <c r="MN585" s="9"/>
      <c r="MO585" s="9"/>
      <c r="MP585" s="9"/>
      <c r="MQ585" s="9"/>
      <c r="MR585" s="9"/>
      <c r="MS585" s="9"/>
      <c r="MT585" s="9"/>
      <c r="MU585" s="9"/>
      <c r="MV585" s="9"/>
      <c r="MW585" s="9"/>
      <c r="MX585" s="9"/>
      <c r="MY585" s="9"/>
      <c r="MZ585" s="9"/>
      <c r="NA585" s="9"/>
      <c r="NB585" s="9"/>
      <c r="NC585" s="9"/>
      <c r="ND585" s="9"/>
      <c r="NE585" s="9"/>
      <c r="NF585" s="9"/>
      <c r="NG585" s="9"/>
      <c r="NH585" s="9"/>
      <c r="NI585" s="9"/>
      <c r="NJ585" s="9"/>
      <c r="NK585" s="9"/>
      <c r="NL585" s="9"/>
      <c r="NM585" s="9"/>
      <c r="NN585" s="9"/>
      <c r="NO585" s="9"/>
      <c r="NP585" s="9"/>
      <c r="NQ585" s="9"/>
      <c r="NR585" s="9"/>
      <c r="NS585" s="9"/>
      <c r="NT585" s="9"/>
      <c r="NU585" s="9"/>
      <c r="NV585" s="9"/>
      <c r="NW585" s="9"/>
      <c r="NX585" s="9"/>
      <c r="NY585" s="9"/>
      <c r="NZ585" s="9"/>
      <c r="OA585" s="9"/>
      <c r="OB585" s="9"/>
      <c r="OC585" s="9"/>
      <c r="OD585" s="9"/>
      <c r="OE585" s="9"/>
      <c r="OF585" s="9"/>
      <c r="OG585" s="9"/>
      <c r="OH585" s="9"/>
      <c r="OI585" s="9"/>
      <c r="OJ585" s="9"/>
      <c r="OK585" s="9"/>
      <c r="OL585" s="9"/>
      <c r="OM585" s="9"/>
      <c r="ON585" s="9"/>
      <c r="OO585" s="9"/>
      <c r="OP585" s="9"/>
      <c r="OQ585" s="9"/>
      <c r="OR585" s="9"/>
      <c r="OS585" s="9"/>
      <c r="OT585" s="9"/>
      <c r="OU585" s="9"/>
      <c r="OV585" s="9"/>
      <c r="OW585" s="9"/>
      <c r="OX585" s="9"/>
      <c r="OY585" s="9"/>
      <c r="OZ585" s="9"/>
      <c r="PA585" s="9"/>
      <c r="PB585" s="9"/>
      <c r="PC585" s="9"/>
      <c r="PD585" s="9"/>
      <c r="PE585" s="9"/>
      <c r="PF585" s="9"/>
      <c r="PG585" s="9"/>
      <c r="PH585" s="9"/>
      <c r="PI585" s="9"/>
      <c r="PJ585" s="9"/>
      <c r="PK585" s="9"/>
      <c r="PL585" s="9"/>
      <c r="PM585" s="9"/>
      <c r="PN585" s="9"/>
      <c r="PO585" s="9"/>
      <c r="PP585" s="9"/>
      <c r="PQ585" s="9"/>
      <c r="PR585" s="9"/>
      <c r="PS585" s="9"/>
      <c r="PT585" s="9"/>
      <c r="PU585" s="9"/>
      <c r="PV585" s="9"/>
      <c r="PW585" s="9"/>
      <c r="PX585" s="9"/>
      <c r="PY585" s="9"/>
      <c r="PZ585" s="9"/>
      <c r="QA585" s="9"/>
      <c r="QB585" s="9"/>
      <c r="QC585" s="9"/>
      <c r="QD585" s="9"/>
      <c r="QE585" s="9"/>
      <c r="QF585" s="9"/>
      <c r="QG585" s="9"/>
      <c r="QH585" s="9"/>
      <c r="QI585" s="9"/>
      <c r="QJ585" s="9"/>
      <c r="QK585" s="9"/>
      <c r="QL585" s="9"/>
      <c r="QM585" s="9"/>
      <c r="QN585" s="9"/>
      <c r="QO585" s="9"/>
      <c r="QP585" s="9"/>
      <c r="QQ585" s="9"/>
      <c r="QR585" s="9"/>
      <c r="QS585" s="9"/>
      <c r="QT585" s="9"/>
      <c r="QU585" s="9"/>
      <c r="QV585" s="9"/>
      <c r="QW585" s="9"/>
      <c r="QX585" s="9"/>
      <c r="QY585" s="9"/>
      <c r="QZ585" s="9"/>
      <c r="RA585" s="9"/>
      <c r="RB585" s="9"/>
      <c r="RC585" s="9"/>
      <c r="RD585" s="9"/>
      <c r="RE585" s="9"/>
      <c r="RF585" s="9"/>
      <c r="RG585" s="9"/>
      <c r="RH585" s="9"/>
      <c r="RI585" s="9"/>
      <c r="RJ585" s="9"/>
      <c r="RK585" s="9"/>
      <c r="RL585" s="9"/>
      <c r="RM585" s="9"/>
      <c r="RN585" s="9"/>
      <c r="RO585" s="9"/>
      <c r="RP585" s="9"/>
      <c r="RQ585" s="9"/>
      <c r="RR585" s="9"/>
      <c r="RS585" s="9"/>
      <c r="RT585" s="9"/>
      <c r="RU585" s="9"/>
      <c r="RV585" s="9"/>
      <c r="RW585" s="9"/>
      <c r="RX585" s="9"/>
      <c r="RY585" s="9"/>
      <c r="RZ585" s="9"/>
      <c r="SA585" s="9"/>
      <c r="SB585" s="9"/>
      <c r="SC585" s="9"/>
      <c r="SD585" s="9"/>
      <c r="SE585" s="9"/>
      <c r="SF585" s="9"/>
      <c r="SG585" s="9"/>
      <c r="SH585" s="9"/>
      <c r="SI585" s="9"/>
      <c r="SJ585" s="9"/>
      <c r="SK585" s="9"/>
      <c r="SL585" s="9"/>
      <c r="SM585" s="9"/>
      <c r="SN585" s="9"/>
      <c r="SO585" s="9"/>
      <c r="SP585" s="9"/>
      <c r="SQ585" s="9"/>
      <c r="SR585" s="9"/>
      <c r="SS585" s="9"/>
      <c r="ST585" s="9"/>
      <c r="SU585" s="9"/>
      <c r="SV585" s="9"/>
      <c r="SW585" s="9"/>
      <c r="SX585" s="9"/>
      <c r="SY585" s="9"/>
      <c r="SZ585" s="9"/>
      <c r="TA585" s="9"/>
      <c r="TB585" s="9"/>
      <c r="TC585" s="9"/>
      <c r="TD585" s="9"/>
      <c r="TE585" s="9"/>
      <c r="TF585" s="9"/>
      <c r="TG585" s="9"/>
      <c r="TH585" s="9"/>
      <c r="TI585" s="9"/>
      <c r="TJ585" s="9"/>
      <c r="TK585" s="9"/>
      <c r="TL585" s="9"/>
      <c r="TM585" s="9"/>
      <c r="TN585" s="9"/>
      <c r="TO585" s="9"/>
      <c r="TP585" s="9"/>
      <c r="TQ585" s="9"/>
      <c r="TR585" s="9"/>
      <c r="TS585" s="9"/>
      <c r="TT585" s="9"/>
      <c r="TU585" s="9"/>
      <c r="TV585" s="9"/>
      <c r="TW585" s="9"/>
      <c r="TX585" s="9"/>
      <c r="TY585" s="9"/>
      <c r="TZ585" s="9"/>
      <c r="UA585" s="9"/>
      <c r="UB585" s="9"/>
      <c r="UC585" s="9"/>
      <c r="UD585" s="9"/>
      <c r="UE585" s="9"/>
      <c r="UF585" s="9"/>
      <c r="UG585" s="9"/>
      <c r="UH585" s="9"/>
      <c r="UI585" s="9"/>
      <c r="UJ585" s="9"/>
    </row>
    <row r="586">
      <c r="A586" s="8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  <c r="IW586" s="9"/>
      <c r="IX586" s="9"/>
      <c r="IY586" s="9"/>
      <c r="IZ586" s="9"/>
      <c r="JA586" s="9"/>
      <c r="JB586" s="9"/>
      <c r="JC586" s="9"/>
      <c r="JD586" s="9"/>
      <c r="JE586" s="9"/>
      <c r="JF586" s="9"/>
      <c r="JG586" s="9"/>
      <c r="JH586" s="9"/>
      <c r="JI586" s="9"/>
      <c r="JJ586" s="9"/>
      <c r="JK586" s="9"/>
      <c r="JL586" s="9"/>
      <c r="JM586" s="9"/>
      <c r="JN586" s="9"/>
      <c r="JO586" s="9"/>
      <c r="JP586" s="9"/>
      <c r="JQ586" s="9"/>
      <c r="JR586" s="9"/>
      <c r="JS586" s="9"/>
      <c r="JT586" s="9"/>
      <c r="JU586" s="9"/>
      <c r="JV586" s="9"/>
      <c r="JW586" s="9"/>
      <c r="JX586" s="9"/>
      <c r="JY586" s="9"/>
      <c r="JZ586" s="9"/>
      <c r="KA586" s="9"/>
      <c r="KB586" s="9"/>
      <c r="KC586" s="9"/>
      <c r="KD586" s="9"/>
      <c r="KE586" s="9"/>
      <c r="KF586" s="9"/>
      <c r="KG586" s="9"/>
      <c r="KH586" s="9"/>
      <c r="KI586" s="9"/>
      <c r="KJ586" s="9"/>
      <c r="KK586" s="9"/>
      <c r="KL586" s="9"/>
      <c r="KM586" s="9"/>
      <c r="KN586" s="9"/>
      <c r="KO586" s="9"/>
      <c r="KP586" s="9"/>
      <c r="KQ586" s="9"/>
      <c r="KR586" s="9"/>
      <c r="KS586" s="9"/>
      <c r="KT586" s="9"/>
      <c r="KU586" s="9"/>
      <c r="KV586" s="9"/>
      <c r="KW586" s="9"/>
      <c r="KX586" s="9"/>
      <c r="KY586" s="9"/>
      <c r="KZ586" s="9"/>
      <c r="LA586" s="9"/>
      <c r="LB586" s="9"/>
      <c r="LC586" s="9"/>
      <c r="LD586" s="9"/>
      <c r="LE586" s="9"/>
      <c r="LF586" s="9"/>
      <c r="LG586" s="9"/>
      <c r="LH586" s="9"/>
      <c r="LI586" s="9"/>
      <c r="LJ586" s="9"/>
      <c r="LK586" s="9"/>
      <c r="LL586" s="9"/>
      <c r="LM586" s="9"/>
      <c r="LN586" s="9"/>
      <c r="LO586" s="9"/>
      <c r="LP586" s="9"/>
      <c r="LQ586" s="9"/>
      <c r="LR586" s="9"/>
      <c r="LS586" s="9"/>
      <c r="LT586" s="9"/>
      <c r="LU586" s="9"/>
      <c r="LV586" s="9"/>
      <c r="LW586" s="9"/>
      <c r="LX586" s="9"/>
      <c r="LY586" s="9"/>
      <c r="LZ586" s="9"/>
      <c r="MA586" s="9"/>
      <c r="MB586" s="9"/>
      <c r="MC586" s="9"/>
      <c r="MD586" s="9"/>
      <c r="ME586" s="9"/>
      <c r="MF586" s="9"/>
      <c r="MG586" s="9"/>
      <c r="MH586" s="9"/>
      <c r="MI586" s="9"/>
      <c r="MJ586" s="9"/>
      <c r="MK586" s="9"/>
      <c r="ML586" s="9"/>
      <c r="MM586" s="9"/>
      <c r="MN586" s="9"/>
      <c r="MO586" s="9"/>
      <c r="MP586" s="9"/>
      <c r="MQ586" s="9"/>
      <c r="MR586" s="9"/>
      <c r="MS586" s="9"/>
      <c r="MT586" s="9"/>
      <c r="MU586" s="9"/>
      <c r="MV586" s="9"/>
      <c r="MW586" s="9"/>
      <c r="MX586" s="9"/>
      <c r="MY586" s="9"/>
      <c r="MZ586" s="9"/>
      <c r="NA586" s="9"/>
      <c r="NB586" s="9"/>
      <c r="NC586" s="9"/>
      <c r="ND586" s="9"/>
      <c r="NE586" s="9"/>
      <c r="NF586" s="9"/>
      <c r="NG586" s="9"/>
      <c r="NH586" s="9"/>
      <c r="NI586" s="9"/>
      <c r="NJ586" s="9"/>
      <c r="NK586" s="9"/>
      <c r="NL586" s="9"/>
      <c r="NM586" s="9"/>
      <c r="NN586" s="9"/>
      <c r="NO586" s="9"/>
      <c r="NP586" s="9"/>
      <c r="NQ586" s="9"/>
      <c r="NR586" s="9"/>
      <c r="NS586" s="9"/>
      <c r="NT586" s="9"/>
      <c r="NU586" s="9"/>
      <c r="NV586" s="9"/>
      <c r="NW586" s="9"/>
      <c r="NX586" s="9"/>
      <c r="NY586" s="9"/>
      <c r="NZ586" s="9"/>
      <c r="OA586" s="9"/>
      <c r="OB586" s="9"/>
      <c r="OC586" s="9"/>
      <c r="OD586" s="9"/>
      <c r="OE586" s="9"/>
      <c r="OF586" s="9"/>
      <c r="OG586" s="9"/>
      <c r="OH586" s="9"/>
      <c r="OI586" s="9"/>
      <c r="OJ586" s="9"/>
      <c r="OK586" s="9"/>
      <c r="OL586" s="9"/>
      <c r="OM586" s="9"/>
      <c r="ON586" s="9"/>
      <c r="OO586" s="9"/>
      <c r="OP586" s="9"/>
      <c r="OQ586" s="9"/>
      <c r="OR586" s="9"/>
      <c r="OS586" s="9"/>
      <c r="OT586" s="9"/>
      <c r="OU586" s="9"/>
      <c r="OV586" s="9"/>
      <c r="OW586" s="9"/>
      <c r="OX586" s="9"/>
      <c r="OY586" s="9"/>
      <c r="OZ586" s="9"/>
      <c r="PA586" s="9"/>
      <c r="PB586" s="9"/>
      <c r="PC586" s="9"/>
      <c r="PD586" s="9"/>
      <c r="PE586" s="9"/>
      <c r="PF586" s="9"/>
      <c r="PG586" s="9"/>
      <c r="PH586" s="9"/>
      <c r="PI586" s="9"/>
      <c r="PJ586" s="9"/>
      <c r="PK586" s="9"/>
      <c r="PL586" s="9"/>
      <c r="PM586" s="9"/>
      <c r="PN586" s="9"/>
      <c r="PO586" s="9"/>
      <c r="PP586" s="9"/>
      <c r="PQ586" s="9"/>
      <c r="PR586" s="9"/>
      <c r="PS586" s="9"/>
      <c r="PT586" s="9"/>
      <c r="PU586" s="9"/>
      <c r="PV586" s="9"/>
      <c r="PW586" s="9"/>
      <c r="PX586" s="9"/>
      <c r="PY586" s="9"/>
      <c r="PZ586" s="9"/>
      <c r="QA586" s="9"/>
      <c r="QB586" s="9"/>
      <c r="QC586" s="9"/>
      <c r="QD586" s="9"/>
      <c r="QE586" s="9"/>
      <c r="QF586" s="9"/>
      <c r="QG586" s="9"/>
      <c r="QH586" s="9"/>
      <c r="QI586" s="9"/>
      <c r="QJ586" s="9"/>
      <c r="QK586" s="9"/>
      <c r="QL586" s="9"/>
      <c r="QM586" s="9"/>
      <c r="QN586" s="9"/>
      <c r="QO586" s="9"/>
      <c r="QP586" s="9"/>
      <c r="QQ586" s="9"/>
      <c r="QR586" s="9"/>
      <c r="QS586" s="9"/>
      <c r="QT586" s="9"/>
      <c r="QU586" s="9"/>
      <c r="QV586" s="9"/>
      <c r="QW586" s="9"/>
      <c r="QX586" s="9"/>
      <c r="QY586" s="9"/>
      <c r="QZ586" s="9"/>
      <c r="RA586" s="9"/>
      <c r="RB586" s="9"/>
      <c r="RC586" s="9"/>
      <c r="RD586" s="9"/>
      <c r="RE586" s="9"/>
      <c r="RF586" s="9"/>
      <c r="RG586" s="9"/>
      <c r="RH586" s="9"/>
      <c r="RI586" s="9"/>
      <c r="RJ586" s="9"/>
      <c r="RK586" s="9"/>
      <c r="RL586" s="9"/>
      <c r="RM586" s="9"/>
      <c r="RN586" s="9"/>
      <c r="RO586" s="9"/>
      <c r="RP586" s="9"/>
      <c r="RQ586" s="9"/>
      <c r="RR586" s="9"/>
      <c r="RS586" s="9"/>
      <c r="RT586" s="9"/>
      <c r="RU586" s="9"/>
      <c r="RV586" s="9"/>
      <c r="RW586" s="9"/>
      <c r="RX586" s="9"/>
      <c r="RY586" s="9"/>
      <c r="RZ586" s="9"/>
      <c r="SA586" s="9"/>
      <c r="SB586" s="9"/>
      <c r="SC586" s="9"/>
      <c r="SD586" s="9"/>
      <c r="SE586" s="9"/>
      <c r="SF586" s="9"/>
      <c r="SG586" s="9"/>
      <c r="SH586" s="9"/>
      <c r="SI586" s="9"/>
      <c r="SJ586" s="9"/>
      <c r="SK586" s="9"/>
      <c r="SL586" s="9"/>
      <c r="SM586" s="9"/>
      <c r="SN586" s="9"/>
      <c r="SO586" s="9"/>
      <c r="SP586" s="9"/>
      <c r="SQ586" s="9"/>
      <c r="SR586" s="9"/>
      <c r="SS586" s="9"/>
      <c r="ST586" s="9"/>
      <c r="SU586" s="9"/>
      <c r="SV586" s="9"/>
      <c r="SW586" s="9"/>
      <c r="SX586" s="9"/>
      <c r="SY586" s="9"/>
      <c r="SZ586" s="9"/>
      <c r="TA586" s="9"/>
      <c r="TB586" s="9"/>
      <c r="TC586" s="9"/>
      <c r="TD586" s="9"/>
      <c r="TE586" s="9"/>
      <c r="TF586" s="9"/>
      <c r="TG586" s="9"/>
      <c r="TH586" s="9"/>
      <c r="TI586" s="9"/>
      <c r="TJ586" s="9"/>
      <c r="TK586" s="9"/>
      <c r="TL586" s="9"/>
      <c r="TM586" s="9"/>
      <c r="TN586" s="9"/>
      <c r="TO586" s="9"/>
      <c r="TP586" s="9"/>
      <c r="TQ586" s="9"/>
      <c r="TR586" s="9"/>
      <c r="TS586" s="9"/>
      <c r="TT586" s="9"/>
      <c r="TU586" s="9"/>
      <c r="TV586" s="9"/>
      <c r="TW586" s="9"/>
      <c r="TX586" s="9"/>
      <c r="TY586" s="9"/>
      <c r="TZ586" s="9"/>
      <c r="UA586" s="9"/>
      <c r="UB586" s="9"/>
      <c r="UC586" s="9"/>
      <c r="UD586" s="9"/>
      <c r="UE586" s="9"/>
      <c r="UF586" s="9"/>
      <c r="UG586" s="9"/>
      <c r="UH586" s="9"/>
      <c r="UI586" s="9"/>
      <c r="UJ586" s="9"/>
    </row>
    <row r="587">
      <c r="A587" s="8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  <c r="IC587" s="9"/>
      <c r="ID587" s="9"/>
      <c r="IE587" s="9"/>
      <c r="IF587" s="9"/>
      <c r="IG587" s="9"/>
      <c r="IH587" s="9"/>
      <c r="II587" s="9"/>
      <c r="IJ587" s="9"/>
      <c r="IK587" s="9"/>
      <c r="IL587" s="9"/>
      <c r="IM587" s="9"/>
      <c r="IN587" s="9"/>
      <c r="IO587" s="9"/>
      <c r="IP587" s="9"/>
      <c r="IQ587" s="9"/>
      <c r="IR587" s="9"/>
      <c r="IS587" s="9"/>
      <c r="IT587" s="9"/>
      <c r="IU587" s="9"/>
      <c r="IV587" s="9"/>
      <c r="IW587" s="9"/>
      <c r="IX587" s="9"/>
      <c r="IY587" s="9"/>
      <c r="IZ587" s="9"/>
      <c r="JA587" s="9"/>
      <c r="JB587" s="9"/>
      <c r="JC587" s="9"/>
      <c r="JD587" s="9"/>
      <c r="JE587" s="9"/>
      <c r="JF587" s="9"/>
      <c r="JG587" s="9"/>
      <c r="JH587" s="9"/>
      <c r="JI587" s="9"/>
      <c r="JJ587" s="9"/>
      <c r="JK587" s="9"/>
      <c r="JL587" s="9"/>
      <c r="JM587" s="9"/>
      <c r="JN587" s="9"/>
      <c r="JO587" s="9"/>
      <c r="JP587" s="9"/>
      <c r="JQ587" s="9"/>
      <c r="JR587" s="9"/>
      <c r="JS587" s="9"/>
      <c r="JT587" s="9"/>
      <c r="JU587" s="9"/>
      <c r="JV587" s="9"/>
      <c r="JW587" s="9"/>
      <c r="JX587" s="9"/>
      <c r="JY587" s="9"/>
      <c r="JZ587" s="9"/>
      <c r="KA587" s="9"/>
      <c r="KB587" s="9"/>
      <c r="KC587" s="9"/>
      <c r="KD587" s="9"/>
      <c r="KE587" s="9"/>
      <c r="KF587" s="9"/>
      <c r="KG587" s="9"/>
      <c r="KH587" s="9"/>
      <c r="KI587" s="9"/>
      <c r="KJ587" s="9"/>
      <c r="KK587" s="9"/>
      <c r="KL587" s="9"/>
      <c r="KM587" s="9"/>
      <c r="KN587" s="9"/>
      <c r="KO587" s="9"/>
      <c r="KP587" s="9"/>
      <c r="KQ587" s="9"/>
      <c r="KR587" s="9"/>
      <c r="KS587" s="9"/>
      <c r="KT587" s="9"/>
      <c r="KU587" s="9"/>
      <c r="KV587" s="9"/>
      <c r="KW587" s="9"/>
      <c r="KX587" s="9"/>
      <c r="KY587" s="9"/>
      <c r="KZ587" s="9"/>
      <c r="LA587" s="9"/>
      <c r="LB587" s="9"/>
      <c r="LC587" s="9"/>
      <c r="LD587" s="9"/>
      <c r="LE587" s="9"/>
      <c r="LF587" s="9"/>
      <c r="LG587" s="9"/>
      <c r="LH587" s="9"/>
      <c r="LI587" s="9"/>
      <c r="LJ587" s="9"/>
      <c r="LK587" s="9"/>
      <c r="LL587" s="9"/>
      <c r="LM587" s="9"/>
      <c r="LN587" s="9"/>
      <c r="LO587" s="9"/>
      <c r="LP587" s="9"/>
      <c r="LQ587" s="9"/>
      <c r="LR587" s="9"/>
      <c r="LS587" s="9"/>
      <c r="LT587" s="9"/>
      <c r="LU587" s="9"/>
      <c r="LV587" s="9"/>
      <c r="LW587" s="9"/>
      <c r="LX587" s="9"/>
      <c r="LY587" s="9"/>
      <c r="LZ587" s="9"/>
      <c r="MA587" s="9"/>
      <c r="MB587" s="9"/>
      <c r="MC587" s="9"/>
      <c r="MD587" s="9"/>
      <c r="ME587" s="9"/>
      <c r="MF587" s="9"/>
      <c r="MG587" s="9"/>
      <c r="MH587" s="9"/>
      <c r="MI587" s="9"/>
      <c r="MJ587" s="9"/>
      <c r="MK587" s="9"/>
      <c r="ML587" s="9"/>
      <c r="MM587" s="9"/>
      <c r="MN587" s="9"/>
      <c r="MO587" s="9"/>
      <c r="MP587" s="9"/>
      <c r="MQ587" s="9"/>
      <c r="MR587" s="9"/>
      <c r="MS587" s="9"/>
      <c r="MT587" s="9"/>
      <c r="MU587" s="9"/>
      <c r="MV587" s="9"/>
      <c r="MW587" s="9"/>
      <c r="MX587" s="9"/>
      <c r="MY587" s="9"/>
      <c r="MZ587" s="9"/>
      <c r="NA587" s="9"/>
      <c r="NB587" s="9"/>
      <c r="NC587" s="9"/>
      <c r="ND587" s="9"/>
      <c r="NE587" s="9"/>
      <c r="NF587" s="9"/>
      <c r="NG587" s="9"/>
      <c r="NH587" s="9"/>
      <c r="NI587" s="9"/>
      <c r="NJ587" s="9"/>
      <c r="NK587" s="9"/>
      <c r="NL587" s="9"/>
      <c r="NM587" s="9"/>
      <c r="NN587" s="9"/>
      <c r="NO587" s="9"/>
      <c r="NP587" s="9"/>
      <c r="NQ587" s="9"/>
      <c r="NR587" s="9"/>
      <c r="NS587" s="9"/>
      <c r="NT587" s="9"/>
      <c r="NU587" s="9"/>
      <c r="NV587" s="9"/>
      <c r="NW587" s="9"/>
      <c r="NX587" s="9"/>
      <c r="NY587" s="9"/>
      <c r="NZ587" s="9"/>
      <c r="OA587" s="9"/>
      <c r="OB587" s="9"/>
      <c r="OC587" s="9"/>
      <c r="OD587" s="9"/>
      <c r="OE587" s="9"/>
      <c r="OF587" s="9"/>
      <c r="OG587" s="9"/>
      <c r="OH587" s="9"/>
      <c r="OI587" s="9"/>
      <c r="OJ587" s="9"/>
      <c r="OK587" s="9"/>
      <c r="OL587" s="9"/>
      <c r="OM587" s="9"/>
      <c r="ON587" s="9"/>
      <c r="OO587" s="9"/>
      <c r="OP587" s="9"/>
      <c r="OQ587" s="9"/>
      <c r="OR587" s="9"/>
      <c r="OS587" s="9"/>
      <c r="OT587" s="9"/>
      <c r="OU587" s="9"/>
      <c r="OV587" s="9"/>
      <c r="OW587" s="9"/>
      <c r="OX587" s="9"/>
      <c r="OY587" s="9"/>
      <c r="OZ587" s="9"/>
      <c r="PA587" s="9"/>
      <c r="PB587" s="9"/>
      <c r="PC587" s="9"/>
      <c r="PD587" s="9"/>
      <c r="PE587" s="9"/>
      <c r="PF587" s="9"/>
      <c r="PG587" s="9"/>
      <c r="PH587" s="9"/>
      <c r="PI587" s="9"/>
      <c r="PJ587" s="9"/>
      <c r="PK587" s="9"/>
      <c r="PL587" s="9"/>
      <c r="PM587" s="9"/>
      <c r="PN587" s="9"/>
      <c r="PO587" s="9"/>
      <c r="PP587" s="9"/>
      <c r="PQ587" s="9"/>
      <c r="PR587" s="9"/>
      <c r="PS587" s="9"/>
      <c r="PT587" s="9"/>
      <c r="PU587" s="9"/>
      <c r="PV587" s="9"/>
      <c r="PW587" s="9"/>
      <c r="PX587" s="9"/>
      <c r="PY587" s="9"/>
      <c r="PZ587" s="9"/>
      <c r="QA587" s="9"/>
      <c r="QB587" s="9"/>
      <c r="QC587" s="9"/>
      <c r="QD587" s="9"/>
      <c r="QE587" s="9"/>
      <c r="QF587" s="9"/>
      <c r="QG587" s="9"/>
      <c r="QH587" s="9"/>
      <c r="QI587" s="9"/>
      <c r="QJ587" s="9"/>
      <c r="QK587" s="9"/>
      <c r="QL587" s="9"/>
      <c r="QM587" s="9"/>
      <c r="QN587" s="9"/>
      <c r="QO587" s="9"/>
      <c r="QP587" s="9"/>
      <c r="QQ587" s="9"/>
      <c r="QR587" s="9"/>
      <c r="QS587" s="9"/>
      <c r="QT587" s="9"/>
      <c r="QU587" s="9"/>
      <c r="QV587" s="9"/>
      <c r="QW587" s="9"/>
      <c r="QX587" s="9"/>
      <c r="QY587" s="9"/>
      <c r="QZ587" s="9"/>
      <c r="RA587" s="9"/>
      <c r="RB587" s="9"/>
      <c r="RC587" s="9"/>
      <c r="RD587" s="9"/>
      <c r="RE587" s="9"/>
      <c r="RF587" s="9"/>
      <c r="RG587" s="9"/>
      <c r="RH587" s="9"/>
      <c r="RI587" s="9"/>
      <c r="RJ587" s="9"/>
      <c r="RK587" s="9"/>
      <c r="RL587" s="9"/>
      <c r="RM587" s="9"/>
      <c r="RN587" s="9"/>
      <c r="RO587" s="9"/>
      <c r="RP587" s="9"/>
      <c r="RQ587" s="9"/>
      <c r="RR587" s="9"/>
      <c r="RS587" s="9"/>
      <c r="RT587" s="9"/>
      <c r="RU587" s="9"/>
      <c r="RV587" s="9"/>
      <c r="RW587" s="9"/>
      <c r="RX587" s="9"/>
      <c r="RY587" s="9"/>
      <c r="RZ587" s="9"/>
      <c r="SA587" s="9"/>
      <c r="SB587" s="9"/>
      <c r="SC587" s="9"/>
      <c r="SD587" s="9"/>
      <c r="SE587" s="9"/>
      <c r="SF587" s="9"/>
      <c r="SG587" s="9"/>
      <c r="SH587" s="9"/>
      <c r="SI587" s="9"/>
      <c r="SJ587" s="9"/>
      <c r="SK587" s="9"/>
      <c r="SL587" s="9"/>
      <c r="SM587" s="9"/>
      <c r="SN587" s="9"/>
      <c r="SO587" s="9"/>
      <c r="SP587" s="9"/>
      <c r="SQ587" s="9"/>
      <c r="SR587" s="9"/>
      <c r="SS587" s="9"/>
      <c r="ST587" s="9"/>
      <c r="SU587" s="9"/>
      <c r="SV587" s="9"/>
      <c r="SW587" s="9"/>
      <c r="SX587" s="9"/>
      <c r="SY587" s="9"/>
      <c r="SZ587" s="9"/>
      <c r="TA587" s="9"/>
      <c r="TB587" s="9"/>
      <c r="TC587" s="9"/>
      <c r="TD587" s="9"/>
      <c r="TE587" s="9"/>
      <c r="TF587" s="9"/>
      <c r="TG587" s="9"/>
      <c r="TH587" s="9"/>
      <c r="TI587" s="9"/>
      <c r="TJ587" s="9"/>
      <c r="TK587" s="9"/>
      <c r="TL587" s="9"/>
      <c r="TM587" s="9"/>
      <c r="TN587" s="9"/>
      <c r="TO587" s="9"/>
      <c r="TP587" s="9"/>
      <c r="TQ587" s="9"/>
      <c r="TR587" s="9"/>
      <c r="TS587" s="9"/>
      <c r="TT587" s="9"/>
      <c r="TU587" s="9"/>
      <c r="TV587" s="9"/>
      <c r="TW587" s="9"/>
      <c r="TX587" s="9"/>
      <c r="TY587" s="9"/>
      <c r="TZ587" s="9"/>
      <c r="UA587" s="9"/>
      <c r="UB587" s="9"/>
      <c r="UC587" s="9"/>
      <c r="UD587" s="9"/>
      <c r="UE587" s="9"/>
      <c r="UF587" s="9"/>
      <c r="UG587" s="9"/>
      <c r="UH587" s="9"/>
      <c r="UI587" s="9"/>
      <c r="UJ587" s="9"/>
    </row>
    <row r="588">
      <c r="A588" s="8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  <c r="HO588" s="9"/>
      <c r="HP588" s="9"/>
      <c r="HQ588" s="9"/>
      <c r="HR588" s="9"/>
      <c r="HS588" s="9"/>
      <c r="HT588" s="9"/>
      <c r="HU588" s="9"/>
      <c r="HV588" s="9"/>
      <c r="HW588" s="9"/>
      <c r="HX588" s="9"/>
      <c r="HY588" s="9"/>
      <c r="HZ588" s="9"/>
      <c r="IA588" s="9"/>
      <c r="IB588" s="9"/>
      <c r="IC588" s="9"/>
      <c r="ID588" s="9"/>
      <c r="IE588" s="9"/>
      <c r="IF588" s="9"/>
      <c r="IG588" s="9"/>
      <c r="IH588" s="9"/>
      <c r="II588" s="9"/>
      <c r="IJ588" s="9"/>
      <c r="IK588" s="9"/>
      <c r="IL588" s="9"/>
      <c r="IM588" s="9"/>
      <c r="IN588" s="9"/>
      <c r="IO588" s="9"/>
      <c r="IP588" s="9"/>
      <c r="IQ588" s="9"/>
      <c r="IR588" s="9"/>
      <c r="IS588" s="9"/>
      <c r="IT588" s="9"/>
      <c r="IU588" s="9"/>
      <c r="IV588" s="9"/>
      <c r="IW588" s="9"/>
      <c r="IX588" s="9"/>
      <c r="IY588" s="9"/>
      <c r="IZ588" s="9"/>
      <c r="JA588" s="9"/>
      <c r="JB588" s="9"/>
      <c r="JC588" s="9"/>
      <c r="JD588" s="9"/>
      <c r="JE588" s="9"/>
      <c r="JF588" s="9"/>
      <c r="JG588" s="9"/>
      <c r="JH588" s="9"/>
      <c r="JI588" s="9"/>
      <c r="JJ588" s="9"/>
      <c r="JK588" s="9"/>
      <c r="JL588" s="9"/>
      <c r="JM588" s="9"/>
      <c r="JN588" s="9"/>
      <c r="JO588" s="9"/>
      <c r="JP588" s="9"/>
      <c r="JQ588" s="9"/>
      <c r="JR588" s="9"/>
      <c r="JS588" s="9"/>
      <c r="JT588" s="9"/>
      <c r="JU588" s="9"/>
      <c r="JV588" s="9"/>
      <c r="JW588" s="9"/>
      <c r="JX588" s="9"/>
      <c r="JY588" s="9"/>
      <c r="JZ588" s="9"/>
      <c r="KA588" s="9"/>
      <c r="KB588" s="9"/>
      <c r="KC588" s="9"/>
      <c r="KD588" s="9"/>
      <c r="KE588" s="9"/>
      <c r="KF588" s="9"/>
      <c r="KG588" s="9"/>
      <c r="KH588" s="9"/>
      <c r="KI588" s="9"/>
      <c r="KJ588" s="9"/>
      <c r="KK588" s="9"/>
      <c r="KL588" s="9"/>
      <c r="KM588" s="9"/>
      <c r="KN588" s="9"/>
      <c r="KO588" s="9"/>
      <c r="KP588" s="9"/>
      <c r="KQ588" s="9"/>
      <c r="KR588" s="9"/>
      <c r="KS588" s="9"/>
      <c r="KT588" s="9"/>
      <c r="KU588" s="9"/>
      <c r="KV588" s="9"/>
      <c r="KW588" s="9"/>
      <c r="KX588" s="9"/>
      <c r="KY588" s="9"/>
      <c r="KZ588" s="9"/>
      <c r="LA588" s="9"/>
      <c r="LB588" s="9"/>
      <c r="LC588" s="9"/>
      <c r="LD588" s="9"/>
      <c r="LE588" s="9"/>
      <c r="LF588" s="9"/>
      <c r="LG588" s="9"/>
      <c r="LH588" s="9"/>
      <c r="LI588" s="9"/>
      <c r="LJ588" s="9"/>
      <c r="LK588" s="9"/>
      <c r="LL588" s="9"/>
      <c r="LM588" s="9"/>
      <c r="LN588" s="9"/>
      <c r="LO588" s="9"/>
      <c r="LP588" s="9"/>
      <c r="LQ588" s="9"/>
      <c r="LR588" s="9"/>
      <c r="LS588" s="9"/>
      <c r="LT588" s="9"/>
      <c r="LU588" s="9"/>
      <c r="LV588" s="9"/>
      <c r="LW588" s="9"/>
      <c r="LX588" s="9"/>
      <c r="LY588" s="9"/>
      <c r="LZ588" s="9"/>
      <c r="MA588" s="9"/>
      <c r="MB588" s="9"/>
      <c r="MC588" s="9"/>
      <c r="MD588" s="9"/>
      <c r="ME588" s="9"/>
      <c r="MF588" s="9"/>
      <c r="MG588" s="9"/>
      <c r="MH588" s="9"/>
      <c r="MI588" s="9"/>
      <c r="MJ588" s="9"/>
      <c r="MK588" s="9"/>
      <c r="ML588" s="9"/>
      <c r="MM588" s="9"/>
      <c r="MN588" s="9"/>
      <c r="MO588" s="9"/>
      <c r="MP588" s="9"/>
      <c r="MQ588" s="9"/>
      <c r="MR588" s="9"/>
      <c r="MS588" s="9"/>
      <c r="MT588" s="9"/>
      <c r="MU588" s="9"/>
      <c r="MV588" s="9"/>
      <c r="MW588" s="9"/>
      <c r="MX588" s="9"/>
      <c r="MY588" s="9"/>
      <c r="MZ588" s="9"/>
      <c r="NA588" s="9"/>
      <c r="NB588" s="9"/>
      <c r="NC588" s="9"/>
      <c r="ND588" s="9"/>
      <c r="NE588" s="9"/>
      <c r="NF588" s="9"/>
      <c r="NG588" s="9"/>
      <c r="NH588" s="9"/>
      <c r="NI588" s="9"/>
      <c r="NJ588" s="9"/>
      <c r="NK588" s="9"/>
      <c r="NL588" s="9"/>
      <c r="NM588" s="9"/>
      <c r="NN588" s="9"/>
      <c r="NO588" s="9"/>
      <c r="NP588" s="9"/>
      <c r="NQ588" s="9"/>
      <c r="NR588" s="9"/>
      <c r="NS588" s="9"/>
      <c r="NT588" s="9"/>
      <c r="NU588" s="9"/>
      <c r="NV588" s="9"/>
      <c r="NW588" s="9"/>
      <c r="NX588" s="9"/>
      <c r="NY588" s="9"/>
      <c r="NZ588" s="9"/>
      <c r="OA588" s="9"/>
      <c r="OB588" s="9"/>
      <c r="OC588" s="9"/>
      <c r="OD588" s="9"/>
      <c r="OE588" s="9"/>
      <c r="OF588" s="9"/>
      <c r="OG588" s="9"/>
      <c r="OH588" s="9"/>
      <c r="OI588" s="9"/>
      <c r="OJ588" s="9"/>
      <c r="OK588" s="9"/>
      <c r="OL588" s="9"/>
      <c r="OM588" s="9"/>
      <c r="ON588" s="9"/>
      <c r="OO588" s="9"/>
      <c r="OP588" s="9"/>
      <c r="OQ588" s="9"/>
      <c r="OR588" s="9"/>
      <c r="OS588" s="9"/>
      <c r="OT588" s="9"/>
      <c r="OU588" s="9"/>
      <c r="OV588" s="9"/>
      <c r="OW588" s="9"/>
      <c r="OX588" s="9"/>
      <c r="OY588" s="9"/>
      <c r="OZ588" s="9"/>
      <c r="PA588" s="9"/>
      <c r="PB588" s="9"/>
      <c r="PC588" s="9"/>
      <c r="PD588" s="9"/>
      <c r="PE588" s="9"/>
      <c r="PF588" s="9"/>
      <c r="PG588" s="9"/>
      <c r="PH588" s="9"/>
      <c r="PI588" s="9"/>
      <c r="PJ588" s="9"/>
      <c r="PK588" s="9"/>
      <c r="PL588" s="9"/>
      <c r="PM588" s="9"/>
      <c r="PN588" s="9"/>
      <c r="PO588" s="9"/>
      <c r="PP588" s="9"/>
      <c r="PQ588" s="9"/>
      <c r="PR588" s="9"/>
      <c r="PS588" s="9"/>
      <c r="PT588" s="9"/>
      <c r="PU588" s="9"/>
      <c r="PV588" s="9"/>
      <c r="PW588" s="9"/>
      <c r="PX588" s="9"/>
      <c r="PY588" s="9"/>
      <c r="PZ588" s="9"/>
      <c r="QA588" s="9"/>
      <c r="QB588" s="9"/>
      <c r="QC588" s="9"/>
      <c r="QD588" s="9"/>
      <c r="QE588" s="9"/>
      <c r="QF588" s="9"/>
      <c r="QG588" s="9"/>
      <c r="QH588" s="9"/>
      <c r="QI588" s="9"/>
      <c r="QJ588" s="9"/>
      <c r="QK588" s="9"/>
      <c r="QL588" s="9"/>
      <c r="QM588" s="9"/>
      <c r="QN588" s="9"/>
      <c r="QO588" s="9"/>
      <c r="QP588" s="9"/>
      <c r="QQ588" s="9"/>
      <c r="QR588" s="9"/>
      <c r="QS588" s="9"/>
      <c r="QT588" s="9"/>
      <c r="QU588" s="9"/>
      <c r="QV588" s="9"/>
      <c r="QW588" s="9"/>
      <c r="QX588" s="9"/>
      <c r="QY588" s="9"/>
      <c r="QZ588" s="9"/>
      <c r="RA588" s="9"/>
      <c r="RB588" s="9"/>
      <c r="RC588" s="9"/>
      <c r="RD588" s="9"/>
      <c r="RE588" s="9"/>
      <c r="RF588" s="9"/>
      <c r="RG588" s="9"/>
      <c r="RH588" s="9"/>
      <c r="RI588" s="9"/>
      <c r="RJ588" s="9"/>
      <c r="RK588" s="9"/>
      <c r="RL588" s="9"/>
      <c r="RM588" s="9"/>
      <c r="RN588" s="9"/>
      <c r="RO588" s="9"/>
      <c r="RP588" s="9"/>
      <c r="RQ588" s="9"/>
      <c r="RR588" s="9"/>
      <c r="RS588" s="9"/>
      <c r="RT588" s="9"/>
      <c r="RU588" s="9"/>
      <c r="RV588" s="9"/>
      <c r="RW588" s="9"/>
      <c r="RX588" s="9"/>
      <c r="RY588" s="9"/>
      <c r="RZ588" s="9"/>
      <c r="SA588" s="9"/>
      <c r="SB588" s="9"/>
      <c r="SC588" s="9"/>
      <c r="SD588" s="9"/>
      <c r="SE588" s="9"/>
      <c r="SF588" s="9"/>
      <c r="SG588" s="9"/>
      <c r="SH588" s="9"/>
      <c r="SI588" s="9"/>
      <c r="SJ588" s="9"/>
      <c r="SK588" s="9"/>
      <c r="SL588" s="9"/>
      <c r="SM588" s="9"/>
      <c r="SN588" s="9"/>
      <c r="SO588" s="9"/>
      <c r="SP588" s="9"/>
      <c r="SQ588" s="9"/>
      <c r="SR588" s="9"/>
      <c r="SS588" s="9"/>
      <c r="ST588" s="9"/>
      <c r="SU588" s="9"/>
      <c r="SV588" s="9"/>
      <c r="SW588" s="9"/>
      <c r="SX588" s="9"/>
      <c r="SY588" s="9"/>
      <c r="SZ588" s="9"/>
      <c r="TA588" s="9"/>
      <c r="TB588" s="9"/>
      <c r="TC588" s="9"/>
      <c r="TD588" s="9"/>
      <c r="TE588" s="9"/>
      <c r="TF588" s="9"/>
      <c r="TG588" s="9"/>
      <c r="TH588" s="9"/>
      <c r="TI588" s="9"/>
      <c r="TJ588" s="9"/>
      <c r="TK588" s="9"/>
      <c r="TL588" s="9"/>
      <c r="TM588" s="9"/>
      <c r="TN588" s="9"/>
      <c r="TO588" s="9"/>
      <c r="TP588" s="9"/>
      <c r="TQ588" s="9"/>
      <c r="TR588" s="9"/>
      <c r="TS588" s="9"/>
      <c r="TT588" s="9"/>
      <c r="TU588" s="9"/>
      <c r="TV588" s="9"/>
      <c r="TW588" s="9"/>
      <c r="TX588" s="9"/>
      <c r="TY588" s="9"/>
      <c r="TZ588" s="9"/>
      <c r="UA588" s="9"/>
      <c r="UB588" s="9"/>
      <c r="UC588" s="9"/>
      <c r="UD588" s="9"/>
      <c r="UE588" s="9"/>
      <c r="UF588" s="9"/>
      <c r="UG588" s="9"/>
      <c r="UH588" s="9"/>
      <c r="UI588" s="9"/>
      <c r="UJ588" s="9"/>
    </row>
    <row r="589">
      <c r="A589" s="8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  <c r="IC589" s="9"/>
      <c r="ID589" s="9"/>
      <c r="IE589" s="9"/>
      <c r="IF589" s="9"/>
      <c r="IG589" s="9"/>
      <c r="IH589" s="9"/>
      <c r="II589" s="9"/>
      <c r="IJ589" s="9"/>
      <c r="IK589" s="9"/>
      <c r="IL589" s="9"/>
      <c r="IM589" s="9"/>
      <c r="IN589" s="9"/>
      <c r="IO589" s="9"/>
      <c r="IP589" s="9"/>
      <c r="IQ589" s="9"/>
      <c r="IR589" s="9"/>
      <c r="IS589" s="9"/>
      <c r="IT589" s="9"/>
      <c r="IU589" s="9"/>
      <c r="IV589" s="9"/>
      <c r="IW589" s="9"/>
      <c r="IX589" s="9"/>
      <c r="IY589" s="9"/>
      <c r="IZ589" s="9"/>
      <c r="JA589" s="9"/>
      <c r="JB589" s="9"/>
      <c r="JC589" s="9"/>
      <c r="JD589" s="9"/>
      <c r="JE589" s="9"/>
      <c r="JF589" s="9"/>
      <c r="JG589" s="9"/>
      <c r="JH589" s="9"/>
      <c r="JI589" s="9"/>
      <c r="JJ589" s="9"/>
      <c r="JK589" s="9"/>
      <c r="JL589" s="9"/>
      <c r="JM589" s="9"/>
      <c r="JN589" s="9"/>
      <c r="JO589" s="9"/>
      <c r="JP589" s="9"/>
      <c r="JQ589" s="9"/>
      <c r="JR589" s="9"/>
      <c r="JS589" s="9"/>
      <c r="JT589" s="9"/>
      <c r="JU589" s="9"/>
      <c r="JV589" s="9"/>
      <c r="JW589" s="9"/>
      <c r="JX589" s="9"/>
      <c r="JY589" s="9"/>
      <c r="JZ589" s="9"/>
      <c r="KA589" s="9"/>
      <c r="KB589" s="9"/>
      <c r="KC589" s="9"/>
      <c r="KD589" s="9"/>
      <c r="KE589" s="9"/>
      <c r="KF589" s="9"/>
      <c r="KG589" s="9"/>
      <c r="KH589" s="9"/>
      <c r="KI589" s="9"/>
      <c r="KJ589" s="9"/>
      <c r="KK589" s="9"/>
      <c r="KL589" s="9"/>
      <c r="KM589" s="9"/>
      <c r="KN589" s="9"/>
      <c r="KO589" s="9"/>
      <c r="KP589" s="9"/>
      <c r="KQ589" s="9"/>
      <c r="KR589" s="9"/>
      <c r="KS589" s="9"/>
      <c r="KT589" s="9"/>
      <c r="KU589" s="9"/>
      <c r="KV589" s="9"/>
      <c r="KW589" s="9"/>
      <c r="KX589" s="9"/>
      <c r="KY589" s="9"/>
      <c r="KZ589" s="9"/>
      <c r="LA589" s="9"/>
      <c r="LB589" s="9"/>
      <c r="LC589" s="9"/>
      <c r="LD589" s="9"/>
      <c r="LE589" s="9"/>
      <c r="LF589" s="9"/>
      <c r="LG589" s="9"/>
      <c r="LH589" s="9"/>
      <c r="LI589" s="9"/>
      <c r="LJ589" s="9"/>
      <c r="LK589" s="9"/>
      <c r="LL589" s="9"/>
      <c r="LM589" s="9"/>
      <c r="LN589" s="9"/>
      <c r="LO589" s="9"/>
      <c r="LP589" s="9"/>
      <c r="LQ589" s="9"/>
      <c r="LR589" s="9"/>
      <c r="LS589" s="9"/>
      <c r="LT589" s="9"/>
      <c r="LU589" s="9"/>
      <c r="LV589" s="9"/>
      <c r="LW589" s="9"/>
      <c r="LX589" s="9"/>
      <c r="LY589" s="9"/>
      <c r="LZ589" s="9"/>
      <c r="MA589" s="9"/>
      <c r="MB589" s="9"/>
      <c r="MC589" s="9"/>
      <c r="MD589" s="9"/>
      <c r="ME589" s="9"/>
      <c r="MF589" s="9"/>
      <c r="MG589" s="9"/>
      <c r="MH589" s="9"/>
      <c r="MI589" s="9"/>
      <c r="MJ589" s="9"/>
      <c r="MK589" s="9"/>
      <c r="ML589" s="9"/>
      <c r="MM589" s="9"/>
      <c r="MN589" s="9"/>
      <c r="MO589" s="9"/>
      <c r="MP589" s="9"/>
      <c r="MQ589" s="9"/>
      <c r="MR589" s="9"/>
      <c r="MS589" s="9"/>
      <c r="MT589" s="9"/>
      <c r="MU589" s="9"/>
      <c r="MV589" s="9"/>
      <c r="MW589" s="9"/>
      <c r="MX589" s="9"/>
      <c r="MY589" s="9"/>
      <c r="MZ589" s="9"/>
      <c r="NA589" s="9"/>
      <c r="NB589" s="9"/>
      <c r="NC589" s="9"/>
      <c r="ND589" s="9"/>
      <c r="NE589" s="9"/>
      <c r="NF589" s="9"/>
      <c r="NG589" s="9"/>
      <c r="NH589" s="9"/>
      <c r="NI589" s="9"/>
      <c r="NJ589" s="9"/>
      <c r="NK589" s="9"/>
      <c r="NL589" s="9"/>
      <c r="NM589" s="9"/>
      <c r="NN589" s="9"/>
      <c r="NO589" s="9"/>
      <c r="NP589" s="9"/>
      <c r="NQ589" s="9"/>
      <c r="NR589" s="9"/>
      <c r="NS589" s="9"/>
      <c r="NT589" s="9"/>
      <c r="NU589" s="9"/>
      <c r="NV589" s="9"/>
      <c r="NW589" s="9"/>
      <c r="NX589" s="9"/>
      <c r="NY589" s="9"/>
      <c r="NZ589" s="9"/>
      <c r="OA589" s="9"/>
      <c r="OB589" s="9"/>
      <c r="OC589" s="9"/>
      <c r="OD589" s="9"/>
      <c r="OE589" s="9"/>
      <c r="OF589" s="9"/>
      <c r="OG589" s="9"/>
      <c r="OH589" s="9"/>
      <c r="OI589" s="9"/>
      <c r="OJ589" s="9"/>
      <c r="OK589" s="9"/>
      <c r="OL589" s="9"/>
      <c r="OM589" s="9"/>
      <c r="ON589" s="9"/>
      <c r="OO589" s="9"/>
      <c r="OP589" s="9"/>
      <c r="OQ589" s="9"/>
      <c r="OR589" s="9"/>
      <c r="OS589" s="9"/>
      <c r="OT589" s="9"/>
      <c r="OU589" s="9"/>
      <c r="OV589" s="9"/>
      <c r="OW589" s="9"/>
      <c r="OX589" s="9"/>
      <c r="OY589" s="9"/>
      <c r="OZ589" s="9"/>
      <c r="PA589" s="9"/>
      <c r="PB589" s="9"/>
      <c r="PC589" s="9"/>
      <c r="PD589" s="9"/>
      <c r="PE589" s="9"/>
      <c r="PF589" s="9"/>
      <c r="PG589" s="9"/>
      <c r="PH589" s="9"/>
      <c r="PI589" s="9"/>
      <c r="PJ589" s="9"/>
      <c r="PK589" s="9"/>
      <c r="PL589" s="9"/>
      <c r="PM589" s="9"/>
      <c r="PN589" s="9"/>
      <c r="PO589" s="9"/>
      <c r="PP589" s="9"/>
      <c r="PQ589" s="9"/>
      <c r="PR589" s="9"/>
      <c r="PS589" s="9"/>
      <c r="PT589" s="9"/>
      <c r="PU589" s="9"/>
      <c r="PV589" s="9"/>
      <c r="PW589" s="9"/>
      <c r="PX589" s="9"/>
      <c r="PY589" s="9"/>
      <c r="PZ589" s="9"/>
      <c r="QA589" s="9"/>
      <c r="QB589" s="9"/>
      <c r="QC589" s="9"/>
      <c r="QD589" s="9"/>
      <c r="QE589" s="9"/>
      <c r="QF589" s="9"/>
      <c r="QG589" s="9"/>
      <c r="QH589" s="9"/>
      <c r="QI589" s="9"/>
      <c r="QJ589" s="9"/>
      <c r="QK589" s="9"/>
      <c r="QL589" s="9"/>
      <c r="QM589" s="9"/>
      <c r="QN589" s="9"/>
      <c r="QO589" s="9"/>
      <c r="QP589" s="9"/>
      <c r="QQ589" s="9"/>
      <c r="QR589" s="9"/>
      <c r="QS589" s="9"/>
      <c r="QT589" s="9"/>
      <c r="QU589" s="9"/>
      <c r="QV589" s="9"/>
      <c r="QW589" s="9"/>
      <c r="QX589" s="9"/>
      <c r="QY589" s="9"/>
      <c r="QZ589" s="9"/>
      <c r="RA589" s="9"/>
      <c r="RB589" s="9"/>
      <c r="RC589" s="9"/>
      <c r="RD589" s="9"/>
      <c r="RE589" s="9"/>
      <c r="RF589" s="9"/>
      <c r="RG589" s="9"/>
      <c r="RH589" s="9"/>
      <c r="RI589" s="9"/>
      <c r="RJ589" s="9"/>
      <c r="RK589" s="9"/>
      <c r="RL589" s="9"/>
      <c r="RM589" s="9"/>
      <c r="RN589" s="9"/>
      <c r="RO589" s="9"/>
      <c r="RP589" s="9"/>
      <c r="RQ589" s="9"/>
      <c r="RR589" s="9"/>
      <c r="RS589" s="9"/>
      <c r="RT589" s="9"/>
      <c r="RU589" s="9"/>
      <c r="RV589" s="9"/>
      <c r="RW589" s="9"/>
      <c r="RX589" s="9"/>
      <c r="RY589" s="9"/>
      <c r="RZ589" s="9"/>
      <c r="SA589" s="9"/>
      <c r="SB589" s="9"/>
      <c r="SC589" s="9"/>
      <c r="SD589" s="9"/>
      <c r="SE589" s="9"/>
      <c r="SF589" s="9"/>
      <c r="SG589" s="9"/>
      <c r="SH589" s="9"/>
      <c r="SI589" s="9"/>
      <c r="SJ589" s="9"/>
      <c r="SK589" s="9"/>
      <c r="SL589" s="9"/>
      <c r="SM589" s="9"/>
      <c r="SN589" s="9"/>
      <c r="SO589" s="9"/>
      <c r="SP589" s="9"/>
      <c r="SQ589" s="9"/>
      <c r="SR589" s="9"/>
      <c r="SS589" s="9"/>
      <c r="ST589" s="9"/>
      <c r="SU589" s="9"/>
      <c r="SV589" s="9"/>
      <c r="SW589" s="9"/>
      <c r="SX589" s="9"/>
      <c r="SY589" s="9"/>
      <c r="SZ589" s="9"/>
      <c r="TA589" s="9"/>
      <c r="TB589" s="9"/>
      <c r="TC589" s="9"/>
      <c r="TD589" s="9"/>
      <c r="TE589" s="9"/>
      <c r="TF589" s="9"/>
      <c r="TG589" s="9"/>
      <c r="TH589" s="9"/>
      <c r="TI589" s="9"/>
      <c r="TJ589" s="9"/>
      <c r="TK589" s="9"/>
      <c r="TL589" s="9"/>
      <c r="TM589" s="9"/>
      <c r="TN589" s="9"/>
      <c r="TO589" s="9"/>
      <c r="TP589" s="9"/>
      <c r="TQ589" s="9"/>
      <c r="TR589" s="9"/>
      <c r="TS589" s="9"/>
      <c r="TT589" s="9"/>
      <c r="TU589" s="9"/>
      <c r="TV589" s="9"/>
      <c r="TW589" s="9"/>
      <c r="TX589" s="9"/>
      <c r="TY589" s="9"/>
      <c r="TZ589" s="9"/>
      <c r="UA589" s="9"/>
      <c r="UB589" s="9"/>
      <c r="UC589" s="9"/>
      <c r="UD589" s="9"/>
      <c r="UE589" s="9"/>
      <c r="UF589" s="9"/>
      <c r="UG589" s="9"/>
      <c r="UH589" s="9"/>
      <c r="UI589" s="9"/>
      <c r="UJ589" s="9"/>
    </row>
    <row r="590">
      <c r="A590" s="8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9"/>
      <c r="IA590" s="9"/>
      <c r="IB590" s="9"/>
      <c r="IC590" s="9"/>
      <c r="ID590" s="9"/>
      <c r="IE590" s="9"/>
      <c r="IF590" s="9"/>
      <c r="IG590" s="9"/>
      <c r="IH590" s="9"/>
      <c r="II590" s="9"/>
      <c r="IJ590" s="9"/>
      <c r="IK590" s="9"/>
      <c r="IL590" s="9"/>
      <c r="IM590" s="9"/>
      <c r="IN590" s="9"/>
      <c r="IO590" s="9"/>
      <c r="IP590" s="9"/>
      <c r="IQ590" s="9"/>
      <c r="IR590" s="9"/>
      <c r="IS590" s="9"/>
      <c r="IT590" s="9"/>
      <c r="IU590" s="9"/>
      <c r="IV590" s="9"/>
      <c r="IW590" s="9"/>
      <c r="IX590" s="9"/>
      <c r="IY590" s="9"/>
      <c r="IZ590" s="9"/>
      <c r="JA590" s="9"/>
      <c r="JB590" s="9"/>
      <c r="JC590" s="9"/>
      <c r="JD590" s="9"/>
      <c r="JE590" s="9"/>
      <c r="JF590" s="9"/>
      <c r="JG590" s="9"/>
      <c r="JH590" s="9"/>
      <c r="JI590" s="9"/>
      <c r="JJ590" s="9"/>
      <c r="JK590" s="9"/>
      <c r="JL590" s="9"/>
      <c r="JM590" s="9"/>
      <c r="JN590" s="9"/>
      <c r="JO590" s="9"/>
      <c r="JP590" s="9"/>
      <c r="JQ590" s="9"/>
      <c r="JR590" s="9"/>
      <c r="JS590" s="9"/>
      <c r="JT590" s="9"/>
      <c r="JU590" s="9"/>
      <c r="JV590" s="9"/>
      <c r="JW590" s="9"/>
      <c r="JX590" s="9"/>
      <c r="JY590" s="9"/>
      <c r="JZ590" s="9"/>
      <c r="KA590" s="9"/>
      <c r="KB590" s="9"/>
      <c r="KC590" s="9"/>
      <c r="KD590" s="9"/>
      <c r="KE590" s="9"/>
      <c r="KF590" s="9"/>
      <c r="KG590" s="9"/>
      <c r="KH590" s="9"/>
      <c r="KI590" s="9"/>
      <c r="KJ590" s="9"/>
      <c r="KK590" s="9"/>
      <c r="KL590" s="9"/>
      <c r="KM590" s="9"/>
      <c r="KN590" s="9"/>
      <c r="KO590" s="9"/>
      <c r="KP590" s="9"/>
      <c r="KQ590" s="9"/>
      <c r="KR590" s="9"/>
      <c r="KS590" s="9"/>
      <c r="KT590" s="9"/>
      <c r="KU590" s="9"/>
      <c r="KV590" s="9"/>
      <c r="KW590" s="9"/>
      <c r="KX590" s="9"/>
      <c r="KY590" s="9"/>
      <c r="KZ590" s="9"/>
      <c r="LA590" s="9"/>
      <c r="LB590" s="9"/>
      <c r="LC590" s="9"/>
      <c r="LD590" s="9"/>
      <c r="LE590" s="9"/>
      <c r="LF590" s="9"/>
      <c r="LG590" s="9"/>
      <c r="LH590" s="9"/>
      <c r="LI590" s="9"/>
      <c r="LJ590" s="9"/>
      <c r="LK590" s="9"/>
      <c r="LL590" s="9"/>
      <c r="LM590" s="9"/>
      <c r="LN590" s="9"/>
      <c r="LO590" s="9"/>
      <c r="LP590" s="9"/>
      <c r="LQ590" s="9"/>
      <c r="LR590" s="9"/>
      <c r="LS590" s="9"/>
      <c r="LT590" s="9"/>
      <c r="LU590" s="9"/>
      <c r="LV590" s="9"/>
      <c r="LW590" s="9"/>
      <c r="LX590" s="9"/>
      <c r="LY590" s="9"/>
      <c r="LZ590" s="9"/>
      <c r="MA590" s="9"/>
      <c r="MB590" s="9"/>
      <c r="MC590" s="9"/>
      <c r="MD590" s="9"/>
      <c r="ME590" s="9"/>
      <c r="MF590" s="9"/>
      <c r="MG590" s="9"/>
      <c r="MH590" s="9"/>
      <c r="MI590" s="9"/>
      <c r="MJ590" s="9"/>
      <c r="MK590" s="9"/>
      <c r="ML590" s="9"/>
      <c r="MM590" s="9"/>
      <c r="MN590" s="9"/>
      <c r="MO590" s="9"/>
      <c r="MP590" s="9"/>
      <c r="MQ590" s="9"/>
      <c r="MR590" s="9"/>
      <c r="MS590" s="9"/>
      <c r="MT590" s="9"/>
      <c r="MU590" s="9"/>
      <c r="MV590" s="9"/>
      <c r="MW590" s="9"/>
      <c r="MX590" s="9"/>
      <c r="MY590" s="9"/>
      <c r="MZ590" s="9"/>
      <c r="NA590" s="9"/>
      <c r="NB590" s="9"/>
      <c r="NC590" s="9"/>
      <c r="ND590" s="9"/>
      <c r="NE590" s="9"/>
      <c r="NF590" s="9"/>
      <c r="NG590" s="9"/>
      <c r="NH590" s="9"/>
      <c r="NI590" s="9"/>
      <c r="NJ590" s="9"/>
      <c r="NK590" s="9"/>
      <c r="NL590" s="9"/>
      <c r="NM590" s="9"/>
      <c r="NN590" s="9"/>
      <c r="NO590" s="9"/>
      <c r="NP590" s="9"/>
      <c r="NQ590" s="9"/>
      <c r="NR590" s="9"/>
      <c r="NS590" s="9"/>
      <c r="NT590" s="9"/>
      <c r="NU590" s="9"/>
      <c r="NV590" s="9"/>
      <c r="NW590" s="9"/>
      <c r="NX590" s="9"/>
      <c r="NY590" s="9"/>
      <c r="NZ590" s="9"/>
      <c r="OA590" s="9"/>
      <c r="OB590" s="9"/>
      <c r="OC590" s="9"/>
      <c r="OD590" s="9"/>
      <c r="OE590" s="9"/>
      <c r="OF590" s="9"/>
      <c r="OG590" s="9"/>
      <c r="OH590" s="9"/>
      <c r="OI590" s="9"/>
      <c r="OJ590" s="9"/>
      <c r="OK590" s="9"/>
      <c r="OL590" s="9"/>
      <c r="OM590" s="9"/>
      <c r="ON590" s="9"/>
      <c r="OO590" s="9"/>
      <c r="OP590" s="9"/>
      <c r="OQ590" s="9"/>
      <c r="OR590" s="9"/>
      <c r="OS590" s="9"/>
      <c r="OT590" s="9"/>
      <c r="OU590" s="9"/>
      <c r="OV590" s="9"/>
      <c r="OW590" s="9"/>
      <c r="OX590" s="9"/>
      <c r="OY590" s="9"/>
      <c r="OZ590" s="9"/>
      <c r="PA590" s="9"/>
      <c r="PB590" s="9"/>
      <c r="PC590" s="9"/>
      <c r="PD590" s="9"/>
      <c r="PE590" s="9"/>
      <c r="PF590" s="9"/>
      <c r="PG590" s="9"/>
      <c r="PH590" s="9"/>
      <c r="PI590" s="9"/>
      <c r="PJ590" s="9"/>
      <c r="PK590" s="9"/>
      <c r="PL590" s="9"/>
      <c r="PM590" s="9"/>
      <c r="PN590" s="9"/>
      <c r="PO590" s="9"/>
      <c r="PP590" s="9"/>
      <c r="PQ590" s="9"/>
      <c r="PR590" s="9"/>
      <c r="PS590" s="9"/>
      <c r="PT590" s="9"/>
      <c r="PU590" s="9"/>
      <c r="PV590" s="9"/>
      <c r="PW590" s="9"/>
      <c r="PX590" s="9"/>
      <c r="PY590" s="9"/>
      <c r="PZ590" s="9"/>
      <c r="QA590" s="9"/>
      <c r="QB590" s="9"/>
      <c r="QC590" s="9"/>
      <c r="QD590" s="9"/>
      <c r="QE590" s="9"/>
      <c r="QF590" s="9"/>
      <c r="QG590" s="9"/>
      <c r="QH590" s="9"/>
      <c r="QI590" s="9"/>
      <c r="QJ590" s="9"/>
      <c r="QK590" s="9"/>
      <c r="QL590" s="9"/>
      <c r="QM590" s="9"/>
      <c r="QN590" s="9"/>
      <c r="QO590" s="9"/>
      <c r="QP590" s="9"/>
      <c r="QQ590" s="9"/>
      <c r="QR590" s="9"/>
      <c r="QS590" s="9"/>
      <c r="QT590" s="9"/>
      <c r="QU590" s="9"/>
      <c r="QV590" s="9"/>
      <c r="QW590" s="9"/>
      <c r="QX590" s="9"/>
      <c r="QY590" s="9"/>
      <c r="QZ590" s="9"/>
      <c r="RA590" s="9"/>
      <c r="RB590" s="9"/>
      <c r="RC590" s="9"/>
      <c r="RD590" s="9"/>
      <c r="RE590" s="9"/>
      <c r="RF590" s="9"/>
      <c r="RG590" s="9"/>
      <c r="RH590" s="9"/>
      <c r="RI590" s="9"/>
      <c r="RJ590" s="9"/>
      <c r="RK590" s="9"/>
      <c r="RL590" s="9"/>
      <c r="RM590" s="9"/>
      <c r="RN590" s="9"/>
      <c r="RO590" s="9"/>
      <c r="RP590" s="9"/>
      <c r="RQ590" s="9"/>
      <c r="RR590" s="9"/>
      <c r="RS590" s="9"/>
      <c r="RT590" s="9"/>
      <c r="RU590" s="9"/>
      <c r="RV590" s="9"/>
      <c r="RW590" s="9"/>
      <c r="RX590" s="9"/>
      <c r="RY590" s="9"/>
      <c r="RZ590" s="9"/>
      <c r="SA590" s="9"/>
      <c r="SB590" s="9"/>
      <c r="SC590" s="9"/>
      <c r="SD590" s="9"/>
      <c r="SE590" s="9"/>
      <c r="SF590" s="9"/>
      <c r="SG590" s="9"/>
      <c r="SH590" s="9"/>
      <c r="SI590" s="9"/>
      <c r="SJ590" s="9"/>
      <c r="SK590" s="9"/>
      <c r="SL590" s="9"/>
      <c r="SM590" s="9"/>
      <c r="SN590" s="9"/>
      <c r="SO590" s="9"/>
      <c r="SP590" s="9"/>
      <c r="SQ590" s="9"/>
      <c r="SR590" s="9"/>
      <c r="SS590" s="9"/>
      <c r="ST590" s="9"/>
      <c r="SU590" s="9"/>
      <c r="SV590" s="9"/>
      <c r="SW590" s="9"/>
      <c r="SX590" s="9"/>
      <c r="SY590" s="9"/>
      <c r="SZ590" s="9"/>
      <c r="TA590" s="9"/>
      <c r="TB590" s="9"/>
      <c r="TC590" s="9"/>
      <c r="TD590" s="9"/>
      <c r="TE590" s="9"/>
      <c r="TF590" s="9"/>
      <c r="TG590" s="9"/>
      <c r="TH590" s="9"/>
      <c r="TI590" s="9"/>
      <c r="TJ590" s="9"/>
      <c r="TK590" s="9"/>
      <c r="TL590" s="9"/>
      <c r="TM590" s="9"/>
      <c r="TN590" s="9"/>
      <c r="TO590" s="9"/>
      <c r="TP590" s="9"/>
      <c r="TQ590" s="9"/>
      <c r="TR590" s="9"/>
      <c r="TS590" s="9"/>
      <c r="TT590" s="9"/>
      <c r="TU590" s="9"/>
      <c r="TV590" s="9"/>
      <c r="TW590" s="9"/>
      <c r="TX590" s="9"/>
      <c r="TY590" s="9"/>
      <c r="TZ590" s="9"/>
      <c r="UA590" s="9"/>
      <c r="UB590" s="9"/>
      <c r="UC590" s="9"/>
      <c r="UD590" s="9"/>
      <c r="UE590" s="9"/>
      <c r="UF590" s="9"/>
      <c r="UG590" s="9"/>
      <c r="UH590" s="9"/>
      <c r="UI590" s="9"/>
      <c r="UJ590" s="9"/>
    </row>
    <row r="591">
      <c r="A591" s="8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  <c r="HZ591" s="9"/>
      <c r="IA591" s="9"/>
      <c r="IB591" s="9"/>
      <c r="IC591" s="9"/>
      <c r="ID591" s="9"/>
      <c r="IE591" s="9"/>
      <c r="IF591" s="9"/>
      <c r="IG591" s="9"/>
      <c r="IH591" s="9"/>
      <c r="II591" s="9"/>
      <c r="IJ591" s="9"/>
      <c r="IK591" s="9"/>
      <c r="IL591" s="9"/>
      <c r="IM591" s="9"/>
      <c r="IN591" s="9"/>
      <c r="IO591" s="9"/>
      <c r="IP591" s="9"/>
      <c r="IQ591" s="9"/>
      <c r="IR591" s="9"/>
      <c r="IS591" s="9"/>
      <c r="IT591" s="9"/>
      <c r="IU591" s="9"/>
      <c r="IV591" s="9"/>
      <c r="IW591" s="9"/>
      <c r="IX591" s="9"/>
      <c r="IY591" s="9"/>
      <c r="IZ591" s="9"/>
      <c r="JA591" s="9"/>
      <c r="JB591" s="9"/>
      <c r="JC591" s="9"/>
      <c r="JD591" s="9"/>
      <c r="JE591" s="9"/>
      <c r="JF591" s="9"/>
      <c r="JG591" s="9"/>
      <c r="JH591" s="9"/>
      <c r="JI591" s="9"/>
      <c r="JJ591" s="9"/>
      <c r="JK591" s="9"/>
      <c r="JL591" s="9"/>
      <c r="JM591" s="9"/>
      <c r="JN591" s="9"/>
      <c r="JO591" s="9"/>
      <c r="JP591" s="9"/>
      <c r="JQ591" s="9"/>
      <c r="JR591" s="9"/>
      <c r="JS591" s="9"/>
      <c r="JT591" s="9"/>
      <c r="JU591" s="9"/>
      <c r="JV591" s="9"/>
      <c r="JW591" s="9"/>
      <c r="JX591" s="9"/>
      <c r="JY591" s="9"/>
      <c r="JZ591" s="9"/>
      <c r="KA591" s="9"/>
      <c r="KB591" s="9"/>
      <c r="KC591" s="9"/>
      <c r="KD591" s="9"/>
      <c r="KE591" s="9"/>
      <c r="KF591" s="9"/>
      <c r="KG591" s="9"/>
      <c r="KH591" s="9"/>
      <c r="KI591" s="9"/>
      <c r="KJ591" s="9"/>
      <c r="KK591" s="9"/>
      <c r="KL591" s="9"/>
      <c r="KM591" s="9"/>
      <c r="KN591" s="9"/>
      <c r="KO591" s="9"/>
      <c r="KP591" s="9"/>
      <c r="KQ591" s="9"/>
      <c r="KR591" s="9"/>
      <c r="KS591" s="9"/>
      <c r="KT591" s="9"/>
      <c r="KU591" s="9"/>
      <c r="KV591" s="9"/>
      <c r="KW591" s="9"/>
      <c r="KX591" s="9"/>
      <c r="KY591" s="9"/>
      <c r="KZ591" s="9"/>
      <c r="LA591" s="9"/>
      <c r="LB591" s="9"/>
      <c r="LC591" s="9"/>
      <c r="LD591" s="9"/>
      <c r="LE591" s="9"/>
      <c r="LF591" s="9"/>
      <c r="LG591" s="9"/>
      <c r="LH591" s="9"/>
      <c r="LI591" s="9"/>
      <c r="LJ591" s="9"/>
      <c r="LK591" s="9"/>
      <c r="LL591" s="9"/>
      <c r="LM591" s="9"/>
      <c r="LN591" s="9"/>
      <c r="LO591" s="9"/>
      <c r="LP591" s="9"/>
      <c r="LQ591" s="9"/>
      <c r="LR591" s="9"/>
      <c r="LS591" s="9"/>
      <c r="LT591" s="9"/>
      <c r="LU591" s="9"/>
      <c r="LV591" s="9"/>
      <c r="LW591" s="9"/>
      <c r="LX591" s="9"/>
      <c r="LY591" s="9"/>
      <c r="LZ591" s="9"/>
      <c r="MA591" s="9"/>
      <c r="MB591" s="9"/>
      <c r="MC591" s="9"/>
      <c r="MD591" s="9"/>
      <c r="ME591" s="9"/>
      <c r="MF591" s="9"/>
      <c r="MG591" s="9"/>
      <c r="MH591" s="9"/>
      <c r="MI591" s="9"/>
      <c r="MJ591" s="9"/>
      <c r="MK591" s="9"/>
      <c r="ML591" s="9"/>
      <c r="MM591" s="9"/>
      <c r="MN591" s="9"/>
      <c r="MO591" s="9"/>
      <c r="MP591" s="9"/>
      <c r="MQ591" s="9"/>
      <c r="MR591" s="9"/>
      <c r="MS591" s="9"/>
      <c r="MT591" s="9"/>
      <c r="MU591" s="9"/>
      <c r="MV591" s="9"/>
      <c r="MW591" s="9"/>
      <c r="MX591" s="9"/>
      <c r="MY591" s="9"/>
      <c r="MZ591" s="9"/>
      <c r="NA591" s="9"/>
      <c r="NB591" s="9"/>
      <c r="NC591" s="9"/>
      <c r="ND591" s="9"/>
      <c r="NE591" s="9"/>
      <c r="NF591" s="9"/>
      <c r="NG591" s="9"/>
      <c r="NH591" s="9"/>
      <c r="NI591" s="9"/>
      <c r="NJ591" s="9"/>
      <c r="NK591" s="9"/>
      <c r="NL591" s="9"/>
      <c r="NM591" s="9"/>
      <c r="NN591" s="9"/>
      <c r="NO591" s="9"/>
      <c r="NP591" s="9"/>
      <c r="NQ591" s="9"/>
      <c r="NR591" s="9"/>
      <c r="NS591" s="9"/>
      <c r="NT591" s="9"/>
      <c r="NU591" s="9"/>
      <c r="NV591" s="9"/>
      <c r="NW591" s="9"/>
      <c r="NX591" s="9"/>
      <c r="NY591" s="9"/>
      <c r="NZ591" s="9"/>
      <c r="OA591" s="9"/>
      <c r="OB591" s="9"/>
      <c r="OC591" s="9"/>
      <c r="OD591" s="9"/>
      <c r="OE591" s="9"/>
      <c r="OF591" s="9"/>
      <c r="OG591" s="9"/>
      <c r="OH591" s="9"/>
      <c r="OI591" s="9"/>
      <c r="OJ591" s="9"/>
      <c r="OK591" s="9"/>
      <c r="OL591" s="9"/>
      <c r="OM591" s="9"/>
      <c r="ON591" s="9"/>
      <c r="OO591" s="9"/>
      <c r="OP591" s="9"/>
      <c r="OQ591" s="9"/>
      <c r="OR591" s="9"/>
      <c r="OS591" s="9"/>
      <c r="OT591" s="9"/>
      <c r="OU591" s="9"/>
      <c r="OV591" s="9"/>
      <c r="OW591" s="9"/>
      <c r="OX591" s="9"/>
      <c r="OY591" s="9"/>
      <c r="OZ591" s="9"/>
      <c r="PA591" s="9"/>
      <c r="PB591" s="9"/>
      <c r="PC591" s="9"/>
      <c r="PD591" s="9"/>
      <c r="PE591" s="9"/>
      <c r="PF591" s="9"/>
      <c r="PG591" s="9"/>
      <c r="PH591" s="9"/>
      <c r="PI591" s="9"/>
      <c r="PJ591" s="9"/>
      <c r="PK591" s="9"/>
      <c r="PL591" s="9"/>
      <c r="PM591" s="9"/>
      <c r="PN591" s="9"/>
      <c r="PO591" s="9"/>
      <c r="PP591" s="9"/>
      <c r="PQ591" s="9"/>
      <c r="PR591" s="9"/>
      <c r="PS591" s="9"/>
      <c r="PT591" s="9"/>
      <c r="PU591" s="9"/>
      <c r="PV591" s="9"/>
      <c r="PW591" s="9"/>
      <c r="PX591" s="9"/>
      <c r="PY591" s="9"/>
      <c r="PZ591" s="9"/>
      <c r="QA591" s="9"/>
      <c r="QB591" s="9"/>
      <c r="QC591" s="9"/>
      <c r="QD591" s="9"/>
      <c r="QE591" s="9"/>
      <c r="QF591" s="9"/>
      <c r="QG591" s="9"/>
      <c r="QH591" s="9"/>
      <c r="QI591" s="9"/>
      <c r="QJ591" s="9"/>
      <c r="QK591" s="9"/>
      <c r="QL591" s="9"/>
      <c r="QM591" s="9"/>
      <c r="QN591" s="9"/>
      <c r="QO591" s="9"/>
      <c r="QP591" s="9"/>
      <c r="QQ591" s="9"/>
      <c r="QR591" s="9"/>
      <c r="QS591" s="9"/>
      <c r="QT591" s="9"/>
      <c r="QU591" s="9"/>
      <c r="QV591" s="9"/>
      <c r="QW591" s="9"/>
      <c r="QX591" s="9"/>
      <c r="QY591" s="9"/>
      <c r="QZ591" s="9"/>
      <c r="RA591" s="9"/>
      <c r="RB591" s="9"/>
      <c r="RC591" s="9"/>
      <c r="RD591" s="9"/>
      <c r="RE591" s="9"/>
      <c r="RF591" s="9"/>
      <c r="RG591" s="9"/>
      <c r="RH591" s="9"/>
      <c r="RI591" s="9"/>
      <c r="RJ591" s="9"/>
      <c r="RK591" s="9"/>
      <c r="RL591" s="9"/>
      <c r="RM591" s="9"/>
      <c r="RN591" s="9"/>
      <c r="RO591" s="9"/>
      <c r="RP591" s="9"/>
      <c r="RQ591" s="9"/>
      <c r="RR591" s="9"/>
      <c r="RS591" s="9"/>
      <c r="RT591" s="9"/>
      <c r="RU591" s="9"/>
      <c r="RV591" s="9"/>
      <c r="RW591" s="9"/>
      <c r="RX591" s="9"/>
      <c r="RY591" s="9"/>
      <c r="RZ591" s="9"/>
      <c r="SA591" s="9"/>
      <c r="SB591" s="9"/>
      <c r="SC591" s="9"/>
      <c r="SD591" s="9"/>
      <c r="SE591" s="9"/>
      <c r="SF591" s="9"/>
      <c r="SG591" s="9"/>
      <c r="SH591" s="9"/>
      <c r="SI591" s="9"/>
      <c r="SJ591" s="9"/>
      <c r="SK591" s="9"/>
      <c r="SL591" s="9"/>
      <c r="SM591" s="9"/>
      <c r="SN591" s="9"/>
      <c r="SO591" s="9"/>
      <c r="SP591" s="9"/>
      <c r="SQ591" s="9"/>
      <c r="SR591" s="9"/>
      <c r="SS591" s="9"/>
      <c r="ST591" s="9"/>
      <c r="SU591" s="9"/>
      <c r="SV591" s="9"/>
      <c r="SW591" s="9"/>
      <c r="SX591" s="9"/>
      <c r="SY591" s="9"/>
      <c r="SZ591" s="9"/>
      <c r="TA591" s="9"/>
      <c r="TB591" s="9"/>
      <c r="TC591" s="9"/>
      <c r="TD591" s="9"/>
      <c r="TE591" s="9"/>
      <c r="TF591" s="9"/>
      <c r="TG591" s="9"/>
      <c r="TH591" s="9"/>
      <c r="TI591" s="9"/>
      <c r="TJ591" s="9"/>
      <c r="TK591" s="9"/>
      <c r="TL591" s="9"/>
      <c r="TM591" s="9"/>
      <c r="TN591" s="9"/>
      <c r="TO591" s="9"/>
      <c r="TP591" s="9"/>
      <c r="TQ591" s="9"/>
      <c r="TR591" s="9"/>
      <c r="TS591" s="9"/>
      <c r="TT591" s="9"/>
      <c r="TU591" s="9"/>
      <c r="TV591" s="9"/>
      <c r="TW591" s="9"/>
      <c r="TX591" s="9"/>
      <c r="TY591" s="9"/>
      <c r="TZ591" s="9"/>
      <c r="UA591" s="9"/>
      <c r="UB591" s="9"/>
      <c r="UC591" s="9"/>
      <c r="UD591" s="9"/>
      <c r="UE591" s="9"/>
      <c r="UF591" s="9"/>
      <c r="UG591" s="9"/>
      <c r="UH591" s="9"/>
      <c r="UI591" s="9"/>
      <c r="UJ591" s="9"/>
    </row>
    <row r="592">
      <c r="A592" s="8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  <c r="IW592" s="9"/>
      <c r="IX592" s="9"/>
      <c r="IY592" s="9"/>
      <c r="IZ592" s="9"/>
      <c r="JA592" s="9"/>
      <c r="JB592" s="9"/>
      <c r="JC592" s="9"/>
      <c r="JD592" s="9"/>
      <c r="JE592" s="9"/>
      <c r="JF592" s="9"/>
      <c r="JG592" s="9"/>
      <c r="JH592" s="9"/>
      <c r="JI592" s="9"/>
      <c r="JJ592" s="9"/>
      <c r="JK592" s="9"/>
      <c r="JL592" s="9"/>
      <c r="JM592" s="9"/>
      <c r="JN592" s="9"/>
      <c r="JO592" s="9"/>
      <c r="JP592" s="9"/>
      <c r="JQ592" s="9"/>
      <c r="JR592" s="9"/>
      <c r="JS592" s="9"/>
      <c r="JT592" s="9"/>
      <c r="JU592" s="9"/>
      <c r="JV592" s="9"/>
      <c r="JW592" s="9"/>
      <c r="JX592" s="9"/>
      <c r="JY592" s="9"/>
      <c r="JZ592" s="9"/>
      <c r="KA592" s="9"/>
      <c r="KB592" s="9"/>
      <c r="KC592" s="9"/>
      <c r="KD592" s="9"/>
      <c r="KE592" s="9"/>
      <c r="KF592" s="9"/>
      <c r="KG592" s="9"/>
      <c r="KH592" s="9"/>
      <c r="KI592" s="9"/>
      <c r="KJ592" s="9"/>
      <c r="KK592" s="9"/>
      <c r="KL592" s="9"/>
      <c r="KM592" s="9"/>
      <c r="KN592" s="9"/>
      <c r="KO592" s="9"/>
      <c r="KP592" s="9"/>
      <c r="KQ592" s="9"/>
      <c r="KR592" s="9"/>
      <c r="KS592" s="9"/>
      <c r="KT592" s="9"/>
      <c r="KU592" s="9"/>
      <c r="KV592" s="9"/>
      <c r="KW592" s="9"/>
      <c r="KX592" s="9"/>
      <c r="KY592" s="9"/>
      <c r="KZ592" s="9"/>
      <c r="LA592" s="9"/>
      <c r="LB592" s="9"/>
      <c r="LC592" s="9"/>
      <c r="LD592" s="9"/>
      <c r="LE592" s="9"/>
      <c r="LF592" s="9"/>
      <c r="LG592" s="9"/>
      <c r="LH592" s="9"/>
      <c r="LI592" s="9"/>
      <c r="LJ592" s="9"/>
      <c r="LK592" s="9"/>
      <c r="LL592" s="9"/>
      <c r="LM592" s="9"/>
      <c r="LN592" s="9"/>
      <c r="LO592" s="9"/>
      <c r="LP592" s="9"/>
      <c r="LQ592" s="9"/>
      <c r="LR592" s="9"/>
      <c r="LS592" s="9"/>
      <c r="LT592" s="9"/>
      <c r="LU592" s="9"/>
      <c r="LV592" s="9"/>
      <c r="LW592" s="9"/>
      <c r="LX592" s="9"/>
      <c r="LY592" s="9"/>
      <c r="LZ592" s="9"/>
      <c r="MA592" s="9"/>
      <c r="MB592" s="9"/>
      <c r="MC592" s="9"/>
      <c r="MD592" s="9"/>
      <c r="ME592" s="9"/>
      <c r="MF592" s="9"/>
      <c r="MG592" s="9"/>
      <c r="MH592" s="9"/>
      <c r="MI592" s="9"/>
      <c r="MJ592" s="9"/>
      <c r="MK592" s="9"/>
      <c r="ML592" s="9"/>
      <c r="MM592" s="9"/>
      <c r="MN592" s="9"/>
      <c r="MO592" s="9"/>
      <c r="MP592" s="9"/>
      <c r="MQ592" s="9"/>
      <c r="MR592" s="9"/>
      <c r="MS592" s="9"/>
      <c r="MT592" s="9"/>
      <c r="MU592" s="9"/>
      <c r="MV592" s="9"/>
      <c r="MW592" s="9"/>
      <c r="MX592" s="9"/>
      <c r="MY592" s="9"/>
      <c r="MZ592" s="9"/>
      <c r="NA592" s="9"/>
      <c r="NB592" s="9"/>
      <c r="NC592" s="9"/>
      <c r="ND592" s="9"/>
      <c r="NE592" s="9"/>
      <c r="NF592" s="9"/>
      <c r="NG592" s="9"/>
      <c r="NH592" s="9"/>
      <c r="NI592" s="9"/>
      <c r="NJ592" s="9"/>
      <c r="NK592" s="9"/>
      <c r="NL592" s="9"/>
      <c r="NM592" s="9"/>
      <c r="NN592" s="9"/>
      <c r="NO592" s="9"/>
      <c r="NP592" s="9"/>
      <c r="NQ592" s="9"/>
      <c r="NR592" s="9"/>
      <c r="NS592" s="9"/>
      <c r="NT592" s="9"/>
      <c r="NU592" s="9"/>
      <c r="NV592" s="9"/>
      <c r="NW592" s="9"/>
      <c r="NX592" s="9"/>
      <c r="NY592" s="9"/>
      <c r="NZ592" s="9"/>
      <c r="OA592" s="9"/>
      <c r="OB592" s="9"/>
      <c r="OC592" s="9"/>
      <c r="OD592" s="9"/>
      <c r="OE592" s="9"/>
      <c r="OF592" s="9"/>
      <c r="OG592" s="9"/>
      <c r="OH592" s="9"/>
      <c r="OI592" s="9"/>
      <c r="OJ592" s="9"/>
      <c r="OK592" s="9"/>
      <c r="OL592" s="9"/>
      <c r="OM592" s="9"/>
      <c r="ON592" s="9"/>
      <c r="OO592" s="9"/>
      <c r="OP592" s="9"/>
      <c r="OQ592" s="9"/>
      <c r="OR592" s="9"/>
      <c r="OS592" s="9"/>
      <c r="OT592" s="9"/>
      <c r="OU592" s="9"/>
      <c r="OV592" s="9"/>
      <c r="OW592" s="9"/>
      <c r="OX592" s="9"/>
      <c r="OY592" s="9"/>
      <c r="OZ592" s="9"/>
      <c r="PA592" s="9"/>
      <c r="PB592" s="9"/>
      <c r="PC592" s="9"/>
      <c r="PD592" s="9"/>
      <c r="PE592" s="9"/>
      <c r="PF592" s="9"/>
      <c r="PG592" s="9"/>
      <c r="PH592" s="9"/>
      <c r="PI592" s="9"/>
      <c r="PJ592" s="9"/>
      <c r="PK592" s="9"/>
      <c r="PL592" s="9"/>
      <c r="PM592" s="9"/>
      <c r="PN592" s="9"/>
      <c r="PO592" s="9"/>
      <c r="PP592" s="9"/>
      <c r="PQ592" s="9"/>
      <c r="PR592" s="9"/>
      <c r="PS592" s="9"/>
      <c r="PT592" s="9"/>
      <c r="PU592" s="9"/>
      <c r="PV592" s="9"/>
      <c r="PW592" s="9"/>
      <c r="PX592" s="9"/>
      <c r="PY592" s="9"/>
      <c r="PZ592" s="9"/>
      <c r="QA592" s="9"/>
      <c r="QB592" s="9"/>
      <c r="QC592" s="9"/>
      <c r="QD592" s="9"/>
      <c r="QE592" s="9"/>
      <c r="QF592" s="9"/>
      <c r="QG592" s="9"/>
      <c r="QH592" s="9"/>
      <c r="QI592" s="9"/>
      <c r="QJ592" s="9"/>
      <c r="QK592" s="9"/>
      <c r="QL592" s="9"/>
      <c r="QM592" s="9"/>
      <c r="QN592" s="9"/>
      <c r="QO592" s="9"/>
      <c r="QP592" s="9"/>
      <c r="QQ592" s="9"/>
      <c r="QR592" s="9"/>
      <c r="QS592" s="9"/>
      <c r="QT592" s="9"/>
      <c r="QU592" s="9"/>
      <c r="QV592" s="9"/>
      <c r="QW592" s="9"/>
      <c r="QX592" s="9"/>
      <c r="QY592" s="9"/>
      <c r="QZ592" s="9"/>
      <c r="RA592" s="9"/>
      <c r="RB592" s="9"/>
      <c r="RC592" s="9"/>
      <c r="RD592" s="9"/>
      <c r="RE592" s="9"/>
      <c r="RF592" s="9"/>
      <c r="RG592" s="9"/>
      <c r="RH592" s="9"/>
      <c r="RI592" s="9"/>
      <c r="RJ592" s="9"/>
      <c r="RK592" s="9"/>
      <c r="RL592" s="9"/>
      <c r="RM592" s="9"/>
      <c r="RN592" s="9"/>
      <c r="RO592" s="9"/>
      <c r="RP592" s="9"/>
      <c r="RQ592" s="9"/>
      <c r="RR592" s="9"/>
      <c r="RS592" s="9"/>
      <c r="RT592" s="9"/>
      <c r="RU592" s="9"/>
      <c r="RV592" s="9"/>
      <c r="RW592" s="9"/>
      <c r="RX592" s="9"/>
      <c r="RY592" s="9"/>
      <c r="RZ592" s="9"/>
      <c r="SA592" s="9"/>
      <c r="SB592" s="9"/>
      <c r="SC592" s="9"/>
      <c r="SD592" s="9"/>
      <c r="SE592" s="9"/>
      <c r="SF592" s="9"/>
      <c r="SG592" s="9"/>
      <c r="SH592" s="9"/>
      <c r="SI592" s="9"/>
      <c r="SJ592" s="9"/>
      <c r="SK592" s="9"/>
      <c r="SL592" s="9"/>
      <c r="SM592" s="9"/>
      <c r="SN592" s="9"/>
      <c r="SO592" s="9"/>
      <c r="SP592" s="9"/>
      <c r="SQ592" s="9"/>
      <c r="SR592" s="9"/>
      <c r="SS592" s="9"/>
      <c r="ST592" s="9"/>
      <c r="SU592" s="9"/>
      <c r="SV592" s="9"/>
      <c r="SW592" s="9"/>
      <c r="SX592" s="9"/>
      <c r="SY592" s="9"/>
      <c r="SZ592" s="9"/>
      <c r="TA592" s="9"/>
      <c r="TB592" s="9"/>
      <c r="TC592" s="9"/>
      <c r="TD592" s="9"/>
      <c r="TE592" s="9"/>
      <c r="TF592" s="9"/>
      <c r="TG592" s="9"/>
      <c r="TH592" s="9"/>
      <c r="TI592" s="9"/>
      <c r="TJ592" s="9"/>
      <c r="TK592" s="9"/>
      <c r="TL592" s="9"/>
      <c r="TM592" s="9"/>
      <c r="TN592" s="9"/>
      <c r="TO592" s="9"/>
      <c r="TP592" s="9"/>
      <c r="TQ592" s="9"/>
      <c r="TR592" s="9"/>
      <c r="TS592" s="9"/>
      <c r="TT592" s="9"/>
      <c r="TU592" s="9"/>
      <c r="TV592" s="9"/>
      <c r="TW592" s="9"/>
      <c r="TX592" s="9"/>
      <c r="TY592" s="9"/>
      <c r="TZ592" s="9"/>
      <c r="UA592" s="9"/>
      <c r="UB592" s="9"/>
      <c r="UC592" s="9"/>
      <c r="UD592" s="9"/>
      <c r="UE592" s="9"/>
      <c r="UF592" s="9"/>
      <c r="UG592" s="9"/>
      <c r="UH592" s="9"/>
      <c r="UI592" s="9"/>
      <c r="UJ592" s="9"/>
    </row>
    <row r="593">
      <c r="A593" s="8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  <c r="IW593" s="9"/>
      <c r="IX593" s="9"/>
      <c r="IY593" s="9"/>
      <c r="IZ593" s="9"/>
      <c r="JA593" s="9"/>
      <c r="JB593" s="9"/>
      <c r="JC593" s="9"/>
      <c r="JD593" s="9"/>
      <c r="JE593" s="9"/>
      <c r="JF593" s="9"/>
      <c r="JG593" s="9"/>
      <c r="JH593" s="9"/>
      <c r="JI593" s="9"/>
      <c r="JJ593" s="9"/>
      <c r="JK593" s="9"/>
      <c r="JL593" s="9"/>
      <c r="JM593" s="9"/>
      <c r="JN593" s="9"/>
      <c r="JO593" s="9"/>
      <c r="JP593" s="9"/>
      <c r="JQ593" s="9"/>
      <c r="JR593" s="9"/>
      <c r="JS593" s="9"/>
      <c r="JT593" s="9"/>
      <c r="JU593" s="9"/>
      <c r="JV593" s="9"/>
      <c r="JW593" s="9"/>
      <c r="JX593" s="9"/>
      <c r="JY593" s="9"/>
      <c r="JZ593" s="9"/>
      <c r="KA593" s="9"/>
      <c r="KB593" s="9"/>
      <c r="KC593" s="9"/>
      <c r="KD593" s="9"/>
      <c r="KE593" s="9"/>
      <c r="KF593" s="9"/>
      <c r="KG593" s="9"/>
      <c r="KH593" s="9"/>
      <c r="KI593" s="9"/>
      <c r="KJ593" s="9"/>
      <c r="KK593" s="9"/>
      <c r="KL593" s="9"/>
      <c r="KM593" s="9"/>
      <c r="KN593" s="9"/>
      <c r="KO593" s="9"/>
      <c r="KP593" s="9"/>
      <c r="KQ593" s="9"/>
      <c r="KR593" s="9"/>
      <c r="KS593" s="9"/>
      <c r="KT593" s="9"/>
      <c r="KU593" s="9"/>
      <c r="KV593" s="9"/>
      <c r="KW593" s="9"/>
      <c r="KX593" s="9"/>
      <c r="KY593" s="9"/>
      <c r="KZ593" s="9"/>
      <c r="LA593" s="9"/>
      <c r="LB593" s="9"/>
      <c r="LC593" s="9"/>
      <c r="LD593" s="9"/>
      <c r="LE593" s="9"/>
      <c r="LF593" s="9"/>
      <c r="LG593" s="9"/>
      <c r="LH593" s="9"/>
      <c r="LI593" s="9"/>
      <c r="LJ593" s="9"/>
      <c r="LK593" s="9"/>
      <c r="LL593" s="9"/>
      <c r="LM593" s="9"/>
      <c r="LN593" s="9"/>
      <c r="LO593" s="9"/>
      <c r="LP593" s="9"/>
      <c r="LQ593" s="9"/>
      <c r="LR593" s="9"/>
      <c r="LS593" s="9"/>
      <c r="LT593" s="9"/>
      <c r="LU593" s="9"/>
      <c r="LV593" s="9"/>
      <c r="LW593" s="9"/>
      <c r="LX593" s="9"/>
      <c r="LY593" s="9"/>
      <c r="LZ593" s="9"/>
      <c r="MA593" s="9"/>
      <c r="MB593" s="9"/>
      <c r="MC593" s="9"/>
      <c r="MD593" s="9"/>
      <c r="ME593" s="9"/>
      <c r="MF593" s="9"/>
      <c r="MG593" s="9"/>
      <c r="MH593" s="9"/>
      <c r="MI593" s="9"/>
      <c r="MJ593" s="9"/>
      <c r="MK593" s="9"/>
      <c r="ML593" s="9"/>
      <c r="MM593" s="9"/>
      <c r="MN593" s="9"/>
      <c r="MO593" s="9"/>
      <c r="MP593" s="9"/>
      <c r="MQ593" s="9"/>
      <c r="MR593" s="9"/>
      <c r="MS593" s="9"/>
      <c r="MT593" s="9"/>
      <c r="MU593" s="9"/>
      <c r="MV593" s="9"/>
      <c r="MW593" s="9"/>
      <c r="MX593" s="9"/>
      <c r="MY593" s="9"/>
      <c r="MZ593" s="9"/>
      <c r="NA593" s="9"/>
      <c r="NB593" s="9"/>
      <c r="NC593" s="9"/>
      <c r="ND593" s="9"/>
      <c r="NE593" s="9"/>
      <c r="NF593" s="9"/>
      <c r="NG593" s="9"/>
      <c r="NH593" s="9"/>
      <c r="NI593" s="9"/>
      <c r="NJ593" s="9"/>
      <c r="NK593" s="9"/>
      <c r="NL593" s="9"/>
      <c r="NM593" s="9"/>
      <c r="NN593" s="9"/>
      <c r="NO593" s="9"/>
      <c r="NP593" s="9"/>
      <c r="NQ593" s="9"/>
      <c r="NR593" s="9"/>
      <c r="NS593" s="9"/>
      <c r="NT593" s="9"/>
      <c r="NU593" s="9"/>
      <c r="NV593" s="9"/>
      <c r="NW593" s="9"/>
      <c r="NX593" s="9"/>
      <c r="NY593" s="9"/>
      <c r="NZ593" s="9"/>
      <c r="OA593" s="9"/>
      <c r="OB593" s="9"/>
      <c r="OC593" s="9"/>
      <c r="OD593" s="9"/>
      <c r="OE593" s="9"/>
      <c r="OF593" s="9"/>
      <c r="OG593" s="9"/>
      <c r="OH593" s="9"/>
      <c r="OI593" s="9"/>
      <c r="OJ593" s="9"/>
      <c r="OK593" s="9"/>
      <c r="OL593" s="9"/>
      <c r="OM593" s="9"/>
      <c r="ON593" s="9"/>
      <c r="OO593" s="9"/>
      <c r="OP593" s="9"/>
      <c r="OQ593" s="9"/>
      <c r="OR593" s="9"/>
      <c r="OS593" s="9"/>
      <c r="OT593" s="9"/>
      <c r="OU593" s="9"/>
      <c r="OV593" s="9"/>
      <c r="OW593" s="9"/>
      <c r="OX593" s="9"/>
      <c r="OY593" s="9"/>
      <c r="OZ593" s="9"/>
      <c r="PA593" s="9"/>
      <c r="PB593" s="9"/>
      <c r="PC593" s="9"/>
      <c r="PD593" s="9"/>
      <c r="PE593" s="9"/>
      <c r="PF593" s="9"/>
      <c r="PG593" s="9"/>
      <c r="PH593" s="9"/>
      <c r="PI593" s="9"/>
      <c r="PJ593" s="9"/>
      <c r="PK593" s="9"/>
      <c r="PL593" s="9"/>
      <c r="PM593" s="9"/>
      <c r="PN593" s="9"/>
      <c r="PO593" s="9"/>
      <c r="PP593" s="9"/>
      <c r="PQ593" s="9"/>
      <c r="PR593" s="9"/>
      <c r="PS593" s="9"/>
      <c r="PT593" s="9"/>
      <c r="PU593" s="9"/>
      <c r="PV593" s="9"/>
      <c r="PW593" s="9"/>
      <c r="PX593" s="9"/>
      <c r="PY593" s="9"/>
      <c r="PZ593" s="9"/>
      <c r="QA593" s="9"/>
      <c r="QB593" s="9"/>
      <c r="QC593" s="9"/>
      <c r="QD593" s="9"/>
      <c r="QE593" s="9"/>
      <c r="QF593" s="9"/>
      <c r="QG593" s="9"/>
      <c r="QH593" s="9"/>
      <c r="QI593" s="9"/>
      <c r="QJ593" s="9"/>
      <c r="QK593" s="9"/>
      <c r="QL593" s="9"/>
      <c r="QM593" s="9"/>
      <c r="QN593" s="9"/>
      <c r="QO593" s="9"/>
      <c r="QP593" s="9"/>
      <c r="QQ593" s="9"/>
      <c r="QR593" s="9"/>
      <c r="QS593" s="9"/>
      <c r="QT593" s="9"/>
      <c r="QU593" s="9"/>
      <c r="QV593" s="9"/>
      <c r="QW593" s="9"/>
      <c r="QX593" s="9"/>
      <c r="QY593" s="9"/>
      <c r="QZ593" s="9"/>
      <c r="RA593" s="9"/>
      <c r="RB593" s="9"/>
      <c r="RC593" s="9"/>
      <c r="RD593" s="9"/>
      <c r="RE593" s="9"/>
      <c r="RF593" s="9"/>
      <c r="RG593" s="9"/>
      <c r="RH593" s="9"/>
      <c r="RI593" s="9"/>
      <c r="RJ593" s="9"/>
      <c r="RK593" s="9"/>
      <c r="RL593" s="9"/>
      <c r="RM593" s="9"/>
      <c r="RN593" s="9"/>
      <c r="RO593" s="9"/>
      <c r="RP593" s="9"/>
      <c r="RQ593" s="9"/>
      <c r="RR593" s="9"/>
      <c r="RS593" s="9"/>
      <c r="RT593" s="9"/>
      <c r="RU593" s="9"/>
      <c r="RV593" s="9"/>
      <c r="RW593" s="9"/>
      <c r="RX593" s="9"/>
      <c r="RY593" s="9"/>
      <c r="RZ593" s="9"/>
      <c r="SA593" s="9"/>
      <c r="SB593" s="9"/>
      <c r="SC593" s="9"/>
      <c r="SD593" s="9"/>
      <c r="SE593" s="9"/>
      <c r="SF593" s="9"/>
      <c r="SG593" s="9"/>
      <c r="SH593" s="9"/>
      <c r="SI593" s="9"/>
      <c r="SJ593" s="9"/>
      <c r="SK593" s="9"/>
      <c r="SL593" s="9"/>
      <c r="SM593" s="9"/>
      <c r="SN593" s="9"/>
      <c r="SO593" s="9"/>
      <c r="SP593" s="9"/>
      <c r="SQ593" s="9"/>
      <c r="SR593" s="9"/>
      <c r="SS593" s="9"/>
      <c r="ST593" s="9"/>
      <c r="SU593" s="9"/>
      <c r="SV593" s="9"/>
      <c r="SW593" s="9"/>
      <c r="SX593" s="9"/>
      <c r="SY593" s="9"/>
      <c r="SZ593" s="9"/>
      <c r="TA593" s="9"/>
      <c r="TB593" s="9"/>
      <c r="TC593" s="9"/>
      <c r="TD593" s="9"/>
      <c r="TE593" s="9"/>
      <c r="TF593" s="9"/>
      <c r="TG593" s="9"/>
      <c r="TH593" s="9"/>
      <c r="TI593" s="9"/>
      <c r="TJ593" s="9"/>
      <c r="TK593" s="9"/>
      <c r="TL593" s="9"/>
      <c r="TM593" s="9"/>
      <c r="TN593" s="9"/>
      <c r="TO593" s="9"/>
      <c r="TP593" s="9"/>
      <c r="TQ593" s="9"/>
      <c r="TR593" s="9"/>
      <c r="TS593" s="9"/>
      <c r="TT593" s="9"/>
      <c r="TU593" s="9"/>
      <c r="TV593" s="9"/>
      <c r="TW593" s="9"/>
      <c r="TX593" s="9"/>
      <c r="TY593" s="9"/>
      <c r="TZ593" s="9"/>
      <c r="UA593" s="9"/>
      <c r="UB593" s="9"/>
      <c r="UC593" s="9"/>
      <c r="UD593" s="9"/>
      <c r="UE593" s="9"/>
      <c r="UF593" s="9"/>
      <c r="UG593" s="9"/>
      <c r="UH593" s="9"/>
      <c r="UI593" s="9"/>
      <c r="UJ593" s="9"/>
    </row>
    <row r="594">
      <c r="A594" s="8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  <c r="HZ594" s="9"/>
      <c r="IA594" s="9"/>
      <c r="IB594" s="9"/>
      <c r="IC594" s="9"/>
      <c r="ID594" s="9"/>
      <c r="IE594" s="9"/>
      <c r="IF594" s="9"/>
      <c r="IG594" s="9"/>
      <c r="IH594" s="9"/>
      <c r="II594" s="9"/>
      <c r="IJ594" s="9"/>
      <c r="IK594" s="9"/>
      <c r="IL594" s="9"/>
      <c r="IM594" s="9"/>
      <c r="IN594" s="9"/>
      <c r="IO594" s="9"/>
      <c r="IP594" s="9"/>
      <c r="IQ594" s="9"/>
      <c r="IR594" s="9"/>
      <c r="IS594" s="9"/>
      <c r="IT594" s="9"/>
      <c r="IU594" s="9"/>
      <c r="IV594" s="9"/>
      <c r="IW594" s="9"/>
      <c r="IX594" s="9"/>
      <c r="IY594" s="9"/>
      <c r="IZ594" s="9"/>
      <c r="JA594" s="9"/>
      <c r="JB594" s="9"/>
      <c r="JC594" s="9"/>
      <c r="JD594" s="9"/>
      <c r="JE594" s="9"/>
      <c r="JF594" s="9"/>
      <c r="JG594" s="9"/>
      <c r="JH594" s="9"/>
      <c r="JI594" s="9"/>
      <c r="JJ594" s="9"/>
      <c r="JK594" s="9"/>
      <c r="JL594" s="9"/>
      <c r="JM594" s="9"/>
      <c r="JN594" s="9"/>
      <c r="JO594" s="9"/>
      <c r="JP594" s="9"/>
      <c r="JQ594" s="9"/>
      <c r="JR594" s="9"/>
      <c r="JS594" s="9"/>
      <c r="JT594" s="9"/>
      <c r="JU594" s="9"/>
      <c r="JV594" s="9"/>
      <c r="JW594" s="9"/>
      <c r="JX594" s="9"/>
      <c r="JY594" s="9"/>
      <c r="JZ594" s="9"/>
      <c r="KA594" s="9"/>
      <c r="KB594" s="9"/>
      <c r="KC594" s="9"/>
      <c r="KD594" s="9"/>
      <c r="KE594" s="9"/>
      <c r="KF594" s="9"/>
      <c r="KG594" s="9"/>
      <c r="KH594" s="9"/>
      <c r="KI594" s="9"/>
      <c r="KJ594" s="9"/>
      <c r="KK594" s="9"/>
      <c r="KL594" s="9"/>
      <c r="KM594" s="9"/>
      <c r="KN594" s="9"/>
      <c r="KO594" s="9"/>
      <c r="KP594" s="9"/>
      <c r="KQ594" s="9"/>
      <c r="KR594" s="9"/>
      <c r="KS594" s="9"/>
      <c r="KT594" s="9"/>
      <c r="KU594" s="9"/>
      <c r="KV594" s="9"/>
      <c r="KW594" s="9"/>
      <c r="KX594" s="9"/>
      <c r="KY594" s="9"/>
      <c r="KZ594" s="9"/>
      <c r="LA594" s="9"/>
      <c r="LB594" s="9"/>
      <c r="LC594" s="9"/>
      <c r="LD594" s="9"/>
      <c r="LE594" s="9"/>
      <c r="LF594" s="9"/>
      <c r="LG594" s="9"/>
      <c r="LH594" s="9"/>
      <c r="LI594" s="9"/>
      <c r="LJ594" s="9"/>
      <c r="LK594" s="9"/>
      <c r="LL594" s="9"/>
      <c r="LM594" s="9"/>
      <c r="LN594" s="9"/>
      <c r="LO594" s="9"/>
      <c r="LP594" s="9"/>
      <c r="LQ594" s="9"/>
      <c r="LR594" s="9"/>
      <c r="LS594" s="9"/>
      <c r="LT594" s="9"/>
      <c r="LU594" s="9"/>
      <c r="LV594" s="9"/>
      <c r="LW594" s="9"/>
      <c r="LX594" s="9"/>
      <c r="LY594" s="9"/>
      <c r="LZ594" s="9"/>
      <c r="MA594" s="9"/>
      <c r="MB594" s="9"/>
      <c r="MC594" s="9"/>
      <c r="MD594" s="9"/>
      <c r="ME594" s="9"/>
      <c r="MF594" s="9"/>
      <c r="MG594" s="9"/>
      <c r="MH594" s="9"/>
      <c r="MI594" s="9"/>
      <c r="MJ594" s="9"/>
      <c r="MK594" s="9"/>
      <c r="ML594" s="9"/>
      <c r="MM594" s="9"/>
      <c r="MN594" s="9"/>
      <c r="MO594" s="9"/>
      <c r="MP594" s="9"/>
      <c r="MQ594" s="9"/>
      <c r="MR594" s="9"/>
      <c r="MS594" s="9"/>
      <c r="MT594" s="9"/>
      <c r="MU594" s="9"/>
      <c r="MV594" s="9"/>
      <c r="MW594" s="9"/>
      <c r="MX594" s="9"/>
      <c r="MY594" s="9"/>
      <c r="MZ594" s="9"/>
      <c r="NA594" s="9"/>
      <c r="NB594" s="9"/>
      <c r="NC594" s="9"/>
      <c r="ND594" s="9"/>
      <c r="NE594" s="9"/>
      <c r="NF594" s="9"/>
      <c r="NG594" s="9"/>
      <c r="NH594" s="9"/>
      <c r="NI594" s="9"/>
      <c r="NJ594" s="9"/>
      <c r="NK594" s="9"/>
      <c r="NL594" s="9"/>
      <c r="NM594" s="9"/>
      <c r="NN594" s="9"/>
      <c r="NO594" s="9"/>
      <c r="NP594" s="9"/>
      <c r="NQ594" s="9"/>
      <c r="NR594" s="9"/>
      <c r="NS594" s="9"/>
      <c r="NT594" s="9"/>
      <c r="NU594" s="9"/>
      <c r="NV594" s="9"/>
      <c r="NW594" s="9"/>
      <c r="NX594" s="9"/>
      <c r="NY594" s="9"/>
      <c r="NZ594" s="9"/>
      <c r="OA594" s="9"/>
      <c r="OB594" s="9"/>
      <c r="OC594" s="9"/>
      <c r="OD594" s="9"/>
      <c r="OE594" s="9"/>
      <c r="OF594" s="9"/>
      <c r="OG594" s="9"/>
      <c r="OH594" s="9"/>
      <c r="OI594" s="9"/>
      <c r="OJ594" s="9"/>
      <c r="OK594" s="9"/>
      <c r="OL594" s="9"/>
      <c r="OM594" s="9"/>
      <c r="ON594" s="9"/>
      <c r="OO594" s="9"/>
      <c r="OP594" s="9"/>
      <c r="OQ594" s="9"/>
      <c r="OR594" s="9"/>
      <c r="OS594" s="9"/>
      <c r="OT594" s="9"/>
      <c r="OU594" s="9"/>
      <c r="OV594" s="9"/>
      <c r="OW594" s="9"/>
      <c r="OX594" s="9"/>
      <c r="OY594" s="9"/>
      <c r="OZ594" s="9"/>
      <c r="PA594" s="9"/>
      <c r="PB594" s="9"/>
      <c r="PC594" s="9"/>
      <c r="PD594" s="9"/>
      <c r="PE594" s="9"/>
      <c r="PF594" s="9"/>
      <c r="PG594" s="9"/>
      <c r="PH594" s="9"/>
      <c r="PI594" s="9"/>
      <c r="PJ594" s="9"/>
      <c r="PK594" s="9"/>
      <c r="PL594" s="9"/>
      <c r="PM594" s="9"/>
      <c r="PN594" s="9"/>
      <c r="PO594" s="9"/>
      <c r="PP594" s="9"/>
      <c r="PQ594" s="9"/>
      <c r="PR594" s="9"/>
      <c r="PS594" s="9"/>
      <c r="PT594" s="9"/>
      <c r="PU594" s="9"/>
      <c r="PV594" s="9"/>
      <c r="PW594" s="9"/>
      <c r="PX594" s="9"/>
      <c r="PY594" s="9"/>
      <c r="PZ594" s="9"/>
      <c r="QA594" s="9"/>
      <c r="QB594" s="9"/>
      <c r="QC594" s="9"/>
      <c r="QD594" s="9"/>
      <c r="QE594" s="9"/>
      <c r="QF594" s="9"/>
      <c r="QG594" s="9"/>
      <c r="QH594" s="9"/>
      <c r="QI594" s="9"/>
      <c r="QJ594" s="9"/>
      <c r="QK594" s="9"/>
      <c r="QL594" s="9"/>
      <c r="QM594" s="9"/>
      <c r="QN594" s="9"/>
      <c r="QO594" s="9"/>
      <c r="QP594" s="9"/>
      <c r="QQ594" s="9"/>
      <c r="QR594" s="9"/>
      <c r="QS594" s="9"/>
      <c r="QT594" s="9"/>
      <c r="QU594" s="9"/>
      <c r="QV594" s="9"/>
      <c r="QW594" s="9"/>
      <c r="QX594" s="9"/>
      <c r="QY594" s="9"/>
      <c r="QZ594" s="9"/>
      <c r="RA594" s="9"/>
      <c r="RB594" s="9"/>
      <c r="RC594" s="9"/>
      <c r="RD594" s="9"/>
      <c r="RE594" s="9"/>
      <c r="RF594" s="9"/>
      <c r="RG594" s="9"/>
      <c r="RH594" s="9"/>
      <c r="RI594" s="9"/>
      <c r="RJ594" s="9"/>
      <c r="RK594" s="9"/>
      <c r="RL594" s="9"/>
      <c r="RM594" s="9"/>
      <c r="RN594" s="9"/>
      <c r="RO594" s="9"/>
      <c r="RP594" s="9"/>
      <c r="RQ594" s="9"/>
      <c r="RR594" s="9"/>
      <c r="RS594" s="9"/>
      <c r="RT594" s="9"/>
      <c r="RU594" s="9"/>
      <c r="RV594" s="9"/>
      <c r="RW594" s="9"/>
      <c r="RX594" s="9"/>
      <c r="RY594" s="9"/>
      <c r="RZ594" s="9"/>
      <c r="SA594" s="9"/>
      <c r="SB594" s="9"/>
      <c r="SC594" s="9"/>
      <c r="SD594" s="9"/>
      <c r="SE594" s="9"/>
      <c r="SF594" s="9"/>
      <c r="SG594" s="9"/>
      <c r="SH594" s="9"/>
      <c r="SI594" s="9"/>
      <c r="SJ594" s="9"/>
      <c r="SK594" s="9"/>
      <c r="SL594" s="9"/>
      <c r="SM594" s="9"/>
      <c r="SN594" s="9"/>
      <c r="SO594" s="9"/>
      <c r="SP594" s="9"/>
      <c r="SQ594" s="9"/>
      <c r="SR594" s="9"/>
      <c r="SS594" s="9"/>
      <c r="ST594" s="9"/>
      <c r="SU594" s="9"/>
      <c r="SV594" s="9"/>
      <c r="SW594" s="9"/>
      <c r="SX594" s="9"/>
      <c r="SY594" s="9"/>
      <c r="SZ594" s="9"/>
      <c r="TA594" s="9"/>
      <c r="TB594" s="9"/>
      <c r="TC594" s="9"/>
      <c r="TD594" s="9"/>
      <c r="TE594" s="9"/>
      <c r="TF594" s="9"/>
      <c r="TG594" s="9"/>
      <c r="TH594" s="9"/>
      <c r="TI594" s="9"/>
      <c r="TJ594" s="9"/>
      <c r="TK594" s="9"/>
      <c r="TL594" s="9"/>
      <c r="TM594" s="9"/>
      <c r="TN594" s="9"/>
      <c r="TO594" s="9"/>
      <c r="TP594" s="9"/>
      <c r="TQ594" s="9"/>
      <c r="TR594" s="9"/>
      <c r="TS594" s="9"/>
      <c r="TT594" s="9"/>
      <c r="TU594" s="9"/>
      <c r="TV594" s="9"/>
      <c r="TW594" s="9"/>
      <c r="TX594" s="9"/>
      <c r="TY594" s="9"/>
      <c r="TZ594" s="9"/>
      <c r="UA594" s="9"/>
      <c r="UB594" s="9"/>
      <c r="UC594" s="9"/>
      <c r="UD594" s="9"/>
      <c r="UE594" s="9"/>
      <c r="UF594" s="9"/>
      <c r="UG594" s="9"/>
      <c r="UH594" s="9"/>
      <c r="UI594" s="9"/>
      <c r="UJ594" s="9"/>
    </row>
    <row r="595">
      <c r="A595" s="8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  <c r="HZ595" s="9"/>
      <c r="IA595" s="9"/>
      <c r="IB595" s="9"/>
      <c r="IC595" s="9"/>
      <c r="ID595" s="9"/>
      <c r="IE595" s="9"/>
      <c r="IF595" s="9"/>
      <c r="IG595" s="9"/>
      <c r="IH595" s="9"/>
      <c r="II595" s="9"/>
      <c r="IJ595" s="9"/>
      <c r="IK595" s="9"/>
      <c r="IL595" s="9"/>
      <c r="IM595" s="9"/>
      <c r="IN595" s="9"/>
      <c r="IO595" s="9"/>
      <c r="IP595" s="9"/>
      <c r="IQ595" s="9"/>
      <c r="IR595" s="9"/>
      <c r="IS595" s="9"/>
      <c r="IT595" s="9"/>
      <c r="IU595" s="9"/>
      <c r="IV595" s="9"/>
      <c r="IW595" s="9"/>
      <c r="IX595" s="9"/>
      <c r="IY595" s="9"/>
      <c r="IZ595" s="9"/>
      <c r="JA595" s="9"/>
      <c r="JB595" s="9"/>
      <c r="JC595" s="9"/>
      <c r="JD595" s="9"/>
      <c r="JE595" s="9"/>
      <c r="JF595" s="9"/>
      <c r="JG595" s="9"/>
      <c r="JH595" s="9"/>
      <c r="JI595" s="9"/>
      <c r="JJ595" s="9"/>
      <c r="JK595" s="9"/>
      <c r="JL595" s="9"/>
      <c r="JM595" s="9"/>
      <c r="JN595" s="9"/>
      <c r="JO595" s="9"/>
      <c r="JP595" s="9"/>
      <c r="JQ595" s="9"/>
      <c r="JR595" s="9"/>
      <c r="JS595" s="9"/>
      <c r="JT595" s="9"/>
      <c r="JU595" s="9"/>
      <c r="JV595" s="9"/>
      <c r="JW595" s="9"/>
      <c r="JX595" s="9"/>
      <c r="JY595" s="9"/>
      <c r="JZ595" s="9"/>
      <c r="KA595" s="9"/>
      <c r="KB595" s="9"/>
      <c r="KC595" s="9"/>
      <c r="KD595" s="9"/>
      <c r="KE595" s="9"/>
      <c r="KF595" s="9"/>
      <c r="KG595" s="9"/>
      <c r="KH595" s="9"/>
      <c r="KI595" s="9"/>
      <c r="KJ595" s="9"/>
      <c r="KK595" s="9"/>
      <c r="KL595" s="9"/>
      <c r="KM595" s="9"/>
      <c r="KN595" s="9"/>
      <c r="KO595" s="9"/>
      <c r="KP595" s="9"/>
      <c r="KQ595" s="9"/>
      <c r="KR595" s="9"/>
      <c r="KS595" s="9"/>
      <c r="KT595" s="9"/>
      <c r="KU595" s="9"/>
      <c r="KV595" s="9"/>
      <c r="KW595" s="9"/>
      <c r="KX595" s="9"/>
      <c r="KY595" s="9"/>
      <c r="KZ595" s="9"/>
      <c r="LA595" s="9"/>
      <c r="LB595" s="9"/>
      <c r="LC595" s="9"/>
      <c r="LD595" s="9"/>
      <c r="LE595" s="9"/>
      <c r="LF595" s="9"/>
      <c r="LG595" s="9"/>
      <c r="LH595" s="9"/>
      <c r="LI595" s="9"/>
      <c r="LJ595" s="9"/>
      <c r="LK595" s="9"/>
      <c r="LL595" s="9"/>
      <c r="LM595" s="9"/>
      <c r="LN595" s="9"/>
      <c r="LO595" s="9"/>
      <c r="LP595" s="9"/>
      <c r="LQ595" s="9"/>
      <c r="LR595" s="9"/>
      <c r="LS595" s="9"/>
      <c r="LT595" s="9"/>
      <c r="LU595" s="9"/>
      <c r="LV595" s="9"/>
      <c r="LW595" s="9"/>
      <c r="LX595" s="9"/>
      <c r="LY595" s="9"/>
      <c r="LZ595" s="9"/>
      <c r="MA595" s="9"/>
      <c r="MB595" s="9"/>
      <c r="MC595" s="9"/>
      <c r="MD595" s="9"/>
      <c r="ME595" s="9"/>
      <c r="MF595" s="9"/>
      <c r="MG595" s="9"/>
      <c r="MH595" s="9"/>
      <c r="MI595" s="9"/>
      <c r="MJ595" s="9"/>
      <c r="MK595" s="9"/>
      <c r="ML595" s="9"/>
      <c r="MM595" s="9"/>
      <c r="MN595" s="9"/>
      <c r="MO595" s="9"/>
      <c r="MP595" s="9"/>
      <c r="MQ595" s="9"/>
      <c r="MR595" s="9"/>
      <c r="MS595" s="9"/>
      <c r="MT595" s="9"/>
      <c r="MU595" s="9"/>
      <c r="MV595" s="9"/>
      <c r="MW595" s="9"/>
      <c r="MX595" s="9"/>
      <c r="MY595" s="9"/>
      <c r="MZ595" s="9"/>
      <c r="NA595" s="9"/>
      <c r="NB595" s="9"/>
      <c r="NC595" s="9"/>
      <c r="ND595" s="9"/>
      <c r="NE595" s="9"/>
      <c r="NF595" s="9"/>
      <c r="NG595" s="9"/>
      <c r="NH595" s="9"/>
      <c r="NI595" s="9"/>
      <c r="NJ595" s="9"/>
      <c r="NK595" s="9"/>
      <c r="NL595" s="9"/>
      <c r="NM595" s="9"/>
      <c r="NN595" s="9"/>
      <c r="NO595" s="9"/>
      <c r="NP595" s="9"/>
      <c r="NQ595" s="9"/>
      <c r="NR595" s="9"/>
      <c r="NS595" s="9"/>
      <c r="NT595" s="9"/>
      <c r="NU595" s="9"/>
      <c r="NV595" s="9"/>
      <c r="NW595" s="9"/>
      <c r="NX595" s="9"/>
      <c r="NY595" s="9"/>
      <c r="NZ595" s="9"/>
      <c r="OA595" s="9"/>
      <c r="OB595" s="9"/>
      <c r="OC595" s="9"/>
      <c r="OD595" s="9"/>
      <c r="OE595" s="9"/>
      <c r="OF595" s="9"/>
      <c r="OG595" s="9"/>
      <c r="OH595" s="9"/>
      <c r="OI595" s="9"/>
      <c r="OJ595" s="9"/>
      <c r="OK595" s="9"/>
      <c r="OL595" s="9"/>
      <c r="OM595" s="9"/>
      <c r="ON595" s="9"/>
      <c r="OO595" s="9"/>
      <c r="OP595" s="9"/>
      <c r="OQ595" s="9"/>
      <c r="OR595" s="9"/>
      <c r="OS595" s="9"/>
      <c r="OT595" s="9"/>
      <c r="OU595" s="9"/>
      <c r="OV595" s="9"/>
      <c r="OW595" s="9"/>
      <c r="OX595" s="9"/>
      <c r="OY595" s="9"/>
      <c r="OZ595" s="9"/>
      <c r="PA595" s="9"/>
      <c r="PB595" s="9"/>
      <c r="PC595" s="9"/>
      <c r="PD595" s="9"/>
      <c r="PE595" s="9"/>
      <c r="PF595" s="9"/>
      <c r="PG595" s="9"/>
      <c r="PH595" s="9"/>
      <c r="PI595" s="9"/>
      <c r="PJ595" s="9"/>
      <c r="PK595" s="9"/>
      <c r="PL595" s="9"/>
      <c r="PM595" s="9"/>
      <c r="PN595" s="9"/>
      <c r="PO595" s="9"/>
      <c r="PP595" s="9"/>
      <c r="PQ595" s="9"/>
      <c r="PR595" s="9"/>
      <c r="PS595" s="9"/>
      <c r="PT595" s="9"/>
      <c r="PU595" s="9"/>
      <c r="PV595" s="9"/>
      <c r="PW595" s="9"/>
      <c r="PX595" s="9"/>
      <c r="PY595" s="9"/>
      <c r="PZ595" s="9"/>
      <c r="QA595" s="9"/>
      <c r="QB595" s="9"/>
      <c r="QC595" s="9"/>
      <c r="QD595" s="9"/>
      <c r="QE595" s="9"/>
      <c r="QF595" s="9"/>
      <c r="QG595" s="9"/>
      <c r="QH595" s="9"/>
      <c r="QI595" s="9"/>
      <c r="QJ595" s="9"/>
      <c r="QK595" s="9"/>
      <c r="QL595" s="9"/>
      <c r="QM595" s="9"/>
      <c r="QN595" s="9"/>
      <c r="QO595" s="9"/>
      <c r="QP595" s="9"/>
      <c r="QQ595" s="9"/>
      <c r="QR595" s="9"/>
      <c r="QS595" s="9"/>
      <c r="QT595" s="9"/>
      <c r="QU595" s="9"/>
      <c r="QV595" s="9"/>
      <c r="QW595" s="9"/>
      <c r="QX595" s="9"/>
      <c r="QY595" s="9"/>
      <c r="QZ595" s="9"/>
      <c r="RA595" s="9"/>
      <c r="RB595" s="9"/>
      <c r="RC595" s="9"/>
      <c r="RD595" s="9"/>
      <c r="RE595" s="9"/>
      <c r="RF595" s="9"/>
      <c r="RG595" s="9"/>
      <c r="RH595" s="9"/>
      <c r="RI595" s="9"/>
      <c r="RJ595" s="9"/>
      <c r="RK595" s="9"/>
      <c r="RL595" s="9"/>
      <c r="RM595" s="9"/>
      <c r="RN595" s="9"/>
      <c r="RO595" s="9"/>
      <c r="RP595" s="9"/>
      <c r="RQ595" s="9"/>
      <c r="RR595" s="9"/>
      <c r="RS595" s="9"/>
      <c r="RT595" s="9"/>
      <c r="RU595" s="9"/>
      <c r="RV595" s="9"/>
      <c r="RW595" s="9"/>
      <c r="RX595" s="9"/>
      <c r="RY595" s="9"/>
      <c r="RZ595" s="9"/>
      <c r="SA595" s="9"/>
      <c r="SB595" s="9"/>
      <c r="SC595" s="9"/>
      <c r="SD595" s="9"/>
      <c r="SE595" s="9"/>
      <c r="SF595" s="9"/>
      <c r="SG595" s="9"/>
      <c r="SH595" s="9"/>
      <c r="SI595" s="9"/>
      <c r="SJ595" s="9"/>
      <c r="SK595" s="9"/>
      <c r="SL595" s="9"/>
      <c r="SM595" s="9"/>
      <c r="SN595" s="9"/>
      <c r="SO595" s="9"/>
      <c r="SP595" s="9"/>
      <c r="SQ595" s="9"/>
      <c r="SR595" s="9"/>
      <c r="SS595" s="9"/>
      <c r="ST595" s="9"/>
      <c r="SU595" s="9"/>
      <c r="SV595" s="9"/>
      <c r="SW595" s="9"/>
      <c r="SX595" s="9"/>
      <c r="SY595" s="9"/>
      <c r="SZ595" s="9"/>
      <c r="TA595" s="9"/>
      <c r="TB595" s="9"/>
      <c r="TC595" s="9"/>
      <c r="TD595" s="9"/>
      <c r="TE595" s="9"/>
      <c r="TF595" s="9"/>
      <c r="TG595" s="9"/>
      <c r="TH595" s="9"/>
      <c r="TI595" s="9"/>
      <c r="TJ595" s="9"/>
      <c r="TK595" s="9"/>
      <c r="TL595" s="9"/>
      <c r="TM595" s="9"/>
      <c r="TN595" s="9"/>
      <c r="TO595" s="9"/>
      <c r="TP595" s="9"/>
      <c r="TQ595" s="9"/>
      <c r="TR595" s="9"/>
      <c r="TS595" s="9"/>
      <c r="TT595" s="9"/>
      <c r="TU595" s="9"/>
      <c r="TV595" s="9"/>
      <c r="TW595" s="9"/>
      <c r="TX595" s="9"/>
      <c r="TY595" s="9"/>
      <c r="TZ595" s="9"/>
      <c r="UA595" s="9"/>
      <c r="UB595" s="9"/>
      <c r="UC595" s="9"/>
      <c r="UD595" s="9"/>
      <c r="UE595" s="9"/>
      <c r="UF595" s="9"/>
      <c r="UG595" s="9"/>
      <c r="UH595" s="9"/>
      <c r="UI595" s="9"/>
      <c r="UJ595" s="9"/>
    </row>
    <row r="596">
      <c r="A596" s="8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  <c r="HZ596" s="9"/>
      <c r="IA596" s="9"/>
      <c r="IB596" s="9"/>
      <c r="IC596" s="9"/>
      <c r="ID596" s="9"/>
      <c r="IE596" s="9"/>
      <c r="IF596" s="9"/>
      <c r="IG596" s="9"/>
      <c r="IH596" s="9"/>
      <c r="II596" s="9"/>
      <c r="IJ596" s="9"/>
      <c r="IK596" s="9"/>
      <c r="IL596" s="9"/>
      <c r="IM596" s="9"/>
      <c r="IN596" s="9"/>
      <c r="IO596" s="9"/>
      <c r="IP596" s="9"/>
      <c r="IQ596" s="9"/>
      <c r="IR596" s="9"/>
      <c r="IS596" s="9"/>
      <c r="IT596" s="9"/>
      <c r="IU596" s="9"/>
      <c r="IV596" s="9"/>
      <c r="IW596" s="9"/>
      <c r="IX596" s="9"/>
      <c r="IY596" s="9"/>
      <c r="IZ596" s="9"/>
      <c r="JA596" s="9"/>
      <c r="JB596" s="9"/>
      <c r="JC596" s="9"/>
      <c r="JD596" s="9"/>
      <c r="JE596" s="9"/>
      <c r="JF596" s="9"/>
      <c r="JG596" s="9"/>
      <c r="JH596" s="9"/>
      <c r="JI596" s="9"/>
      <c r="JJ596" s="9"/>
      <c r="JK596" s="9"/>
      <c r="JL596" s="9"/>
      <c r="JM596" s="9"/>
      <c r="JN596" s="9"/>
      <c r="JO596" s="9"/>
      <c r="JP596" s="9"/>
      <c r="JQ596" s="9"/>
      <c r="JR596" s="9"/>
      <c r="JS596" s="9"/>
      <c r="JT596" s="9"/>
      <c r="JU596" s="9"/>
      <c r="JV596" s="9"/>
      <c r="JW596" s="9"/>
      <c r="JX596" s="9"/>
      <c r="JY596" s="9"/>
      <c r="JZ596" s="9"/>
      <c r="KA596" s="9"/>
      <c r="KB596" s="9"/>
      <c r="KC596" s="9"/>
      <c r="KD596" s="9"/>
      <c r="KE596" s="9"/>
      <c r="KF596" s="9"/>
      <c r="KG596" s="9"/>
      <c r="KH596" s="9"/>
      <c r="KI596" s="9"/>
      <c r="KJ596" s="9"/>
      <c r="KK596" s="9"/>
      <c r="KL596" s="9"/>
      <c r="KM596" s="9"/>
      <c r="KN596" s="9"/>
      <c r="KO596" s="9"/>
      <c r="KP596" s="9"/>
      <c r="KQ596" s="9"/>
      <c r="KR596" s="9"/>
      <c r="KS596" s="9"/>
      <c r="KT596" s="9"/>
      <c r="KU596" s="9"/>
      <c r="KV596" s="9"/>
      <c r="KW596" s="9"/>
      <c r="KX596" s="9"/>
      <c r="KY596" s="9"/>
      <c r="KZ596" s="9"/>
      <c r="LA596" s="9"/>
      <c r="LB596" s="9"/>
      <c r="LC596" s="9"/>
      <c r="LD596" s="9"/>
      <c r="LE596" s="9"/>
      <c r="LF596" s="9"/>
      <c r="LG596" s="9"/>
      <c r="LH596" s="9"/>
      <c r="LI596" s="9"/>
      <c r="LJ596" s="9"/>
      <c r="LK596" s="9"/>
      <c r="LL596" s="9"/>
      <c r="LM596" s="9"/>
      <c r="LN596" s="9"/>
      <c r="LO596" s="9"/>
      <c r="LP596" s="9"/>
      <c r="LQ596" s="9"/>
      <c r="LR596" s="9"/>
      <c r="LS596" s="9"/>
      <c r="LT596" s="9"/>
      <c r="LU596" s="9"/>
      <c r="LV596" s="9"/>
      <c r="LW596" s="9"/>
      <c r="LX596" s="9"/>
      <c r="LY596" s="9"/>
      <c r="LZ596" s="9"/>
      <c r="MA596" s="9"/>
      <c r="MB596" s="9"/>
      <c r="MC596" s="9"/>
      <c r="MD596" s="9"/>
      <c r="ME596" s="9"/>
      <c r="MF596" s="9"/>
      <c r="MG596" s="9"/>
      <c r="MH596" s="9"/>
      <c r="MI596" s="9"/>
      <c r="MJ596" s="9"/>
      <c r="MK596" s="9"/>
      <c r="ML596" s="9"/>
      <c r="MM596" s="9"/>
      <c r="MN596" s="9"/>
      <c r="MO596" s="9"/>
      <c r="MP596" s="9"/>
      <c r="MQ596" s="9"/>
      <c r="MR596" s="9"/>
      <c r="MS596" s="9"/>
      <c r="MT596" s="9"/>
      <c r="MU596" s="9"/>
      <c r="MV596" s="9"/>
      <c r="MW596" s="9"/>
      <c r="MX596" s="9"/>
      <c r="MY596" s="9"/>
      <c r="MZ596" s="9"/>
      <c r="NA596" s="9"/>
      <c r="NB596" s="9"/>
      <c r="NC596" s="9"/>
      <c r="ND596" s="9"/>
      <c r="NE596" s="9"/>
      <c r="NF596" s="9"/>
      <c r="NG596" s="9"/>
      <c r="NH596" s="9"/>
      <c r="NI596" s="9"/>
      <c r="NJ596" s="9"/>
      <c r="NK596" s="9"/>
      <c r="NL596" s="9"/>
      <c r="NM596" s="9"/>
      <c r="NN596" s="9"/>
      <c r="NO596" s="9"/>
      <c r="NP596" s="9"/>
      <c r="NQ596" s="9"/>
      <c r="NR596" s="9"/>
      <c r="NS596" s="9"/>
      <c r="NT596" s="9"/>
      <c r="NU596" s="9"/>
      <c r="NV596" s="9"/>
      <c r="NW596" s="9"/>
      <c r="NX596" s="9"/>
      <c r="NY596" s="9"/>
      <c r="NZ596" s="9"/>
      <c r="OA596" s="9"/>
      <c r="OB596" s="9"/>
      <c r="OC596" s="9"/>
      <c r="OD596" s="9"/>
      <c r="OE596" s="9"/>
      <c r="OF596" s="9"/>
      <c r="OG596" s="9"/>
      <c r="OH596" s="9"/>
      <c r="OI596" s="9"/>
      <c r="OJ596" s="9"/>
      <c r="OK596" s="9"/>
      <c r="OL596" s="9"/>
      <c r="OM596" s="9"/>
      <c r="ON596" s="9"/>
      <c r="OO596" s="9"/>
      <c r="OP596" s="9"/>
      <c r="OQ596" s="9"/>
      <c r="OR596" s="9"/>
      <c r="OS596" s="9"/>
      <c r="OT596" s="9"/>
      <c r="OU596" s="9"/>
      <c r="OV596" s="9"/>
      <c r="OW596" s="9"/>
      <c r="OX596" s="9"/>
      <c r="OY596" s="9"/>
      <c r="OZ596" s="9"/>
      <c r="PA596" s="9"/>
      <c r="PB596" s="9"/>
      <c r="PC596" s="9"/>
      <c r="PD596" s="9"/>
      <c r="PE596" s="9"/>
      <c r="PF596" s="9"/>
      <c r="PG596" s="9"/>
      <c r="PH596" s="9"/>
      <c r="PI596" s="9"/>
      <c r="PJ596" s="9"/>
      <c r="PK596" s="9"/>
      <c r="PL596" s="9"/>
      <c r="PM596" s="9"/>
      <c r="PN596" s="9"/>
      <c r="PO596" s="9"/>
      <c r="PP596" s="9"/>
      <c r="PQ596" s="9"/>
      <c r="PR596" s="9"/>
      <c r="PS596" s="9"/>
      <c r="PT596" s="9"/>
      <c r="PU596" s="9"/>
      <c r="PV596" s="9"/>
      <c r="PW596" s="9"/>
      <c r="PX596" s="9"/>
      <c r="PY596" s="9"/>
      <c r="PZ596" s="9"/>
      <c r="QA596" s="9"/>
      <c r="QB596" s="9"/>
      <c r="QC596" s="9"/>
      <c r="QD596" s="9"/>
      <c r="QE596" s="9"/>
      <c r="QF596" s="9"/>
      <c r="QG596" s="9"/>
      <c r="QH596" s="9"/>
      <c r="QI596" s="9"/>
      <c r="QJ596" s="9"/>
      <c r="QK596" s="9"/>
      <c r="QL596" s="9"/>
      <c r="QM596" s="9"/>
      <c r="QN596" s="9"/>
      <c r="QO596" s="9"/>
      <c r="QP596" s="9"/>
      <c r="QQ596" s="9"/>
      <c r="QR596" s="9"/>
      <c r="QS596" s="9"/>
      <c r="QT596" s="9"/>
      <c r="QU596" s="9"/>
      <c r="QV596" s="9"/>
      <c r="QW596" s="9"/>
      <c r="QX596" s="9"/>
      <c r="QY596" s="9"/>
      <c r="QZ596" s="9"/>
      <c r="RA596" s="9"/>
      <c r="RB596" s="9"/>
      <c r="RC596" s="9"/>
      <c r="RD596" s="9"/>
      <c r="RE596" s="9"/>
      <c r="RF596" s="9"/>
      <c r="RG596" s="9"/>
      <c r="RH596" s="9"/>
      <c r="RI596" s="9"/>
      <c r="RJ596" s="9"/>
      <c r="RK596" s="9"/>
      <c r="RL596" s="9"/>
      <c r="RM596" s="9"/>
      <c r="RN596" s="9"/>
      <c r="RO596" s="9"/>
      <c r="RP596" s="9"/>
      <c r="RQ596" s="9"/>
      <c r="RR596" s="9"/>
      <c r="RS596" s="9"/>
      <c r="RT596" s="9"/>
      <c r="RU596" s="9"/>
      <c r="RV596" s="9"/>
      <c r="RW596" s="9"/>
      <c r="RX596" s="9"/>
      <c r="RY596" s="9"/>
      <c r="RZ596" s="9"/>
      <c r="SA596" s="9"/>
      <c r="SB596" s="9"/>
      <c r="SC596" s="9"/>
      <c r="SD596" s="9"/>
      <c r="SE596" s="9"/>
      <c r="SF596" s="9"/>
      <c r="SG596" s="9"/>
      <c r="SH596" s="9"/>
      <c r="SI596" s="9"/>
      <c r="SJ596" s="9"/>
      <c r="SK596" s="9"/>
      <c r="SL596" s="9"/>
      <c r="SM596" s="9"/>
      <c r="SN596" s="9"/>
      <c r="SO596" s="9"/>
      <c r="SP596" s="9"/>
      <c r="SQ596" s="9"/>
      <c r="SR596" s="9"/>
      <c r="SS596" s="9"/>
      <c r="ST596" s="9"/>
      <c r="SU596" s="9"/>
      <c r="SV596" s="9"/>
      <c r="SW596" s="9"/>
      <c r="SX596" s="9"/>
      <c r="SY596" s="9"/>
      <c r="SZ596" s="9"/>
      <c r="TA596" s="9"/>
      <c r="TB596" s="9"/>
      <c r="TC596" s="9"/>
      <c r="TD596" s="9"/>
      <c r="TE596" s="9"/>
      <c r="TF596" s="9"/>
      <c r="TG596" s="9"/>
      <c r="TH596" s="9"/>
      <c r="TI596" s="9"/>
      <c r="TJ596" s="9"/>
      <c r="TK596" s="9"/>
      <c r="TL596" s="9"/>
      <c r="TM596" s="9"/>
      <c r="TN596" s="9"/>
      <c r="TO596" s="9"/>
      <c r="TP596" s="9"/>
      <c r="TQ596" s="9"/>
      <c r="TR596" s="9"/>
      <c r="TS596" s="9"/>
      <c r="TT596" s="9"/>
      <c r="TU596" s="9"/>
      <c r="TV596" s="9"/>
      <c r="TW596" s="9"/>
      <c r="TX596" s="9"/>
      <c r="TY596" s="9"/>
      <c r="TZ596" s="9"/>
      <c r="UA596" s="9"/>
      <c r="UB596" s="9"/>
      <c r="UC596" s="9"/>
      <c r="UD596" s="9"/>
      <c r="UE596" s="9"/>
      <c r="UF596" s="9"/>
      <c r="UG596" s="9"/>
      <c r="UH596" s="9"/>
      <c r="UI596" s="9"/>
      <c r="UJ596" s="9"/>
    </row>
    <row r="597">
      <c r="A597" s="8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  <c r="HZ597" s="9"/>
      <c r="IA597" s="9"/>
      <c r="IB597" s="9"/>
      <c r="IC597" s="9"/>
      <c r="ID597" s="9"/>
      <c r="IE597" s="9"/>
      <c r="IF597" s="9"/>
      <c r="IG597" s="9"/>
      <c r="IH597" s="9"/>
      <c r="II597" s="9"/>
      <c r="IJ597" s="9"/>
      <c r="IK597" s="9"/>
      <c r="IL597" s="9"/>
      <c r="IM597" s="9"/>
      <c r="IN597" s="9"/>
      <c r="IO597" s="9"/>
      <c r="IP597" s="9"/>
      <c r="IQ597" s="9"/>
      <c r="IR597" s="9"/>
      <c r="IS597" s="9"/>
      <c r="IT597" s="9"/>
      <c r="IU597" s="9"/>
      <c r="IV597" s="9"/>
      <c r="IW597" s="9"/>
      <c r="IX597" s="9"/>
      <c r="IY597" s="9"/>
      <c r="IZ597" s="9"/>
      <c r="JA597" s="9"/>
      <c r="JB597" s="9"/>
      <c r="JC597" s="9"/>
      <c r="JD597" s="9"/>
      <c r="JE597" s="9"/>
      <c r="JF597" s="9"/>
      <c r="JG597" s="9"/>
      <c r="JH597" s="9"/>
      <c r="JI597" s="9"/>
      <c r="JJ597" s="9"/>
      <c r="JK597" s="9"/>
      <c r="JL597" s="9"/>
      <c r="JM597" s="9"/>
      <c r="JN597" s="9"/>
      <c r="JO597" s="9"/>
      <c r="JP597" s="9"/>
      <c r="JQ597" s="9"/>
      <c r="JR597" s="9"/>
      <c r="JS597" s="9"/>
      <c r="JT597" s="9"/>
      <c r="JU597" s="9"/>
      <c r="JV597" s="9"/>
      <c r="JW597" s="9"/>
      <c r="JX597" s="9"/>
      <c r="JY597" s="9"/>
      <c r="JZ597" s="9"/>
      <c r="KA597" s="9"/>
      <c r="KB597" s="9"/>
      <c r="KC597" s="9"/>
      <c r="KD597" s="9"/>
      <c r="KE597" s="9"/>
      <c r="KF597" s="9"/>
      <c r="KG597" s="9"/>
      <c r="KH597" s="9"/>
      <c r="KI597" s="9"/>
      <c r="KJ597" s="9"/>
      <c r="KK597" s="9"/>
      <c r="KL597" s="9"/>
      <c r="KM597" s="9"/>
      <c r="KN597" s="9"/>
      <c r="KO597" s="9"/>
      <c r="KP597" s="9"/>
      <c r="KQ597" s="9"/>
      <c r="KR597" s="9"/>
      <c r="KS597" s="9"/>
      <c r="KT597" s="9"/>
      <c r="KU597" s="9"/>
      <c r="KV597" s="9"/>
      <c r="KW597" s="9"/>
      <c r="KX597" s="9"/>
      <c r="KY597" s="9"/>
      <c r="KZ597" s="9"/>
      <c r="LA597" s="9"/>
      <c r="LB597" s="9"/>
      <c r="LC597" s="9"/>
      <c r="LD597" s="9"/>
      <c r="LE597" s="9"/>
      <c r="LF597" s="9"/>
      <c r="LG597" s="9"/>
      <c r="LH597" s="9"/>
      <c r="LI597" s="9"/>
      <c r="LJ597" s="9"/>
      <c r="LK597" s="9"/>
      <c r="LL597" s="9"/>
      <c r="LM597" s="9"/>
      <c r="LN597" s="9"/>
      <c r="LO597" s="9"/>
      <c r="LP597" s="9"/>
      <c r="LQ597" s="9"/>
      <c r="LR597" s="9"/>
      <c r="LS597" s="9"/>
      <c r="LT597" s="9"/>
      <c r="LU597" s="9"/>
      <c r="LV597" s="9"/>
      <c r="LW597" s="9"/>
      <c r="LX597" s="9"/>
      <c r="LY597" s="9"/>
      <c r="LZ597" s="9"/>
      <c r="MA597" s="9"/>
      <c r="MB597" s="9"/>
      <c r="MC597" s="9"/>
      <c r="MD597" s="9"/>
      <c r="ME597" s="9"/>
      <c r="MF597" s="9"/>
      <c r="MG597" s="9"/>
      <c r="MH597" s="9"/>
      <c r="MI597" s="9"/>
      <c r="MJ597" s="9"/>
      <c r="MK597" s="9"/>
      <c r="ML597" s="9"/>
      <c r="MM597" s="9"/>
      <c r="MN597" s="9"/>
      <c r="MO597" s="9"/>
      <c r="MP597" s="9"/>
      <c r="MQ597" s="9"/>
      <c r="MR597" s="9"/>
      <c r="MS597" s="9"/>
      <c r="MT597" s="9"/>
      <c r="MU597" s="9"/>
      <c r="MV597" s="9"/>
      <c r="MW597" s="9"/>
      <c r="MX597" s="9"/>
      <c r="MY597" s="9"/>
      <c r="MZ597" s="9"/>
      <c r="NA597" s="9"/>
      <c r="NB597" s="9"/>
      <c r="NC597" s="9"/>
      <c r="ND597" s="9"/>
      <c r="NE597" s="9"/>
      <c r="NF597" s="9"/>
      <c r="NG597" s="9"/>
      <c r="NH597" s="9"/>
      <c r="NI597" s="9"/>
      <c r="NJ597" s="9"/>
      <c r="NK597" s="9"/>
      <c r="NL597" s="9"/>
      <c r="NM597" s="9"/>
      <c r="NN597" s="9"/>
      <c r="NO597" s="9"/>
      <c r="NP597" s="9"/>
      <c r="NQ597" s="9"/>
      <c r="NR597" s="9"/>
      <c r="NS597" s="9"/>
      <c r="NT597" s="9"/>
      <c r="NU597" s="9"/>
      <c r="NV597" s="9"/>
      <c r="NW597" s="9"/>
      <c r="NX597" s="9"/>
      <c r="NY597" s="9"/>
      <c r="NZ597" s="9"/>
      <c r="OA597" s="9"/>
      <c r="OB597" s="9"/>
      <c r="OC597" s="9"/>
      <c r="OD597" s="9"/>
      <c r="OE597" s="9"/>
      <c r="OF597" s="9"/>
      <c r="OG597" s="9"/>
      <c r="OH597" s="9"/>
      <c r="OI597" s="9"/>
      <c r="OJ597" s="9"/>
      <c r="OK597" s="9"/>
      <c r="OL597" s="9"/>
      <c r="OM597" s="9"/>
      <c r="ON597" s="9"/>
      <c r="OO597" s="9"/>
      <c r="OP597" s="9"/>
      <c r="OQ597" s="9"/>
      <c r="OR597" s="9"/>
      <c r="OS597" s="9"/>
      <c r="OT597" s="9"/>
      <c r="OU597" s="9"/>
      <c r="OV597" s="9"/>
      <c r="OW597" s="9"/>
      <c r="OX597" s="9"/>
      <c r="OY597" s="9"/>
      <c r="OZ597" s="9"/>
      <c r="PA597" s="9"/>
      <c r="PB597" s="9"/>
      <c r="PC597" s="9"/>
      <c r="PD597" s="9"/>
      <c r="PE597" s="9"/>
      <c r="PF597" s="9"/>
      <c r="PG597" s="9"/>
      <c r="PH597" s="9"/>
      <c r="PI597" s="9"/>
      <c r="PJ597" s="9"/>
      <c r="PK597" s="9"/>
      <c r="PL597" s="9"/>
      <c r="PM597" s="9"/>
      <c r="PN597" s="9"/>
      <c r="PO597" s="9"/>
      <c r="PP597" s="9"/>
      <c r="PQ597" s="9"/>
      <c r="PR597" s="9"/>
      <c r="PS597" s="9"/>
      <c r="PT597" s="9"/>
      <c r="PU597" s="9"/>
      <c r="PV597" s="9"/>
      <c r="PW597" s="9"/>
      <c r="PX597" s="9"/>
      <c r="PY597" s="9"/>
      <c r="PZ597" s="9"/>
      <c r="QA597" s="9"/>
      <c r="QB597" s="9"/>
      <c r="QC597" s="9"/>
      <c r="QD597" s="9"/>
      <c r="QE597" s="9"/>
      <c r="QF597" s="9"/>
      <c r="QG597" s="9"/>
      <c r="QH597" s="9"/>
      <c r="QI597" s="9"/>
      <c r="QJ597" s="9"/>
      <c r="QK597" s="9"/>
      <c r="QL597" s="9"/>
      <c r="QM597" s="9"/>
      <c r="QN597" s="9"/>
      <c r="QO597" s="9"/>
      <c r="QP597" s="9"/>
      <c r="QQ597" s="9"/>
      <c r="QR597" s="9"/>
      <c r="QS597" s="9"/>
      <c r="QT597" s="9"/>
      <c r="QU597" s="9"/>
      <c r="QV597" s="9"/>
      <c r="QW597" s="9"/>
      <c r="QX597" s="9"/>
      <c r="QY597" s="9"/>
      <c r="QZ597" s="9"/>
      <c r="RA597" s="9"/>
      <c r="RB597" s="9"/>
      <c r="RC597" s="9"/>
      <c r="RD597" s="9"/>
      <c r="RE597" s="9"/>
      <c r="RF597" s="9"/>
      <c r="RG597" s="9"/>
      <c r="RH597" s="9"/>
      <c r="RI597" s="9"/>
      <c r="RJ597" s="9"/>
      <c r="RK597" s="9"/>
      <c r="RL597" s="9"/>
      <c r="RM597" s="9"/>
      <c r="RN597" s="9"/>
      <c r="RO597" s="9"/>
      <c r="RP597" s="9"/>
      <c r="RQ597" s="9"/>
      <c r="RR597" s="9"/>
      <c r="RS597" s="9"/>
      <c r="RT597" s="9"/>
      <c r="RU597" s="9"/>
      <c r="RV597" s="9"/>
      <c r="RW597" s="9"/>
      <c r="RX597" s="9"/>
      <c r="RY597" s="9"/>
      <c r="RZ597" s="9"/>
      <c r="SA597" s="9"/>
      <c r="SB597" s="9"/>
      <c r="SC597" s="9"/>
      <c r="SD597" s="9"/>
      <c r="SE597" s="9"/>
      <c r="SF597" s="9"/>
      <c r="SG597" s="9"/>
      <c r="SH597" s="9"/>
      <c r="SI597" s="9"/>
      <c r="SJ597" s="9"/>
      <c r="SK597" s="9"/>
      <c r="SL597" s="9"/>
      <c r="SM597" s="9"/>
      <c r="SN597" s="9"/>
      <c r="SO597" s="9"/>
      <c r="SP597" s="9"/>
      <c r="SQ597" s="9"/>
      <c r="SR597" s="9"/>
      <c r="SS597" s="9"/>
      <c r="ST597" s="9"/>
      <c r="SU597" s="9"/>
      <c r="SV597" s="9"/>
      <c r="SW597" s="9"/>
      <c r="SX597" s="9"/>
      <c r="SY597" s="9"/>
      <c r="SZ597" s="9"/>
      <c r="TA597" s="9"/>
      <c r="TB597" s="9"/>
      <c r="TC597" s="9"/>
      <c r="TD597" s="9"/>
      <c r="TE597" s="9"/>
      <c r="TF597" s="9"/>
      <c r="TG597" s="9"/>
      <c r="TH597" s="9"/>
      <c r="TI597" s="9"/>
      <c r="TJ597" s="9"/>
      <c r="TK597" s="9"/>
      <c r="TL597" s="9"/>
      <c r="TM597" s="9"/>
      <c r="TN597" s="9"/>
      <c r="TO597" s="9"/>
      <c r="TP597" s="9"/>
      <c r="TQ597" s="9"/>
      <c r="TR597" s="9"/>
      <c r="TS597" s="9"/>
      <c r="TT597" s="9"/>
      <c r="TU597" s="9"/>
      <c r="TV597" s="9"/>
      <c r="TW597" s="9"/>
      <c r="TX597" s="9"/>
      <c r="TY597" s="9"/>
      <c r="TZ597" s="9"/>
      <c r="UA597" s="9"/>
      <c r="UB597" s="9"/>
      <c r="UC597" s="9"/>
      <c r="UD597" s="9"/>
      <c r="UE597" s="9"/>
      <c r="UF597" s="9"/>
      <c r="UG597" s="9"/>
      <c r="UH597" s="9"/>
      <c r="UI597" s="9"/>
      <c r="UJ597" s="9"/>
    </row>
    <row r="598">
      <c r="A598" s="8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9"/>
      <c r="IA598" s="9"/>
      <c r="IB598" s="9"/>
      <c r="IC598" s="9"/>
      <c r="ID598" s="9"/>
      <c r="IE598" s="9"/>
      <c r="IF598" s="9"/>
      <c r="IG598" s="9"/>
      <c r="IH598" s="9"/>
      <c r="II598" s="9"/>
      <c r="IJ598" s="9"/>
      <c r="IK598" s="9"/>
      <c r="IL598" s="9"/>
      <c r="IM598" s="9"/>
      <c r="IN598" s="9"/>
      <c r="IO598" s="9"/>
      <c r="IP598" s="9"/>
      <c r="IQ598" s="9"/>
      <c r="IR598" s="9"/>
      <c r="IS598" s="9"/>
      <c r="IT598" s="9"/>
      <c r="IU598" s="9"/>
      <c r="IV598" s="9"/>
      <c r="IW598" s="9"/>
      <c r="IX598" s="9"/>
      <c r="IY598" s="9"/>
      <c r="IZ598" s="9"/>
      <c r="JA598" s="9"/>
      <c r="JB598" s="9"/>
      <c r="JC598" s="9"/>
      <c r="JD598" s="9"/>
      <c r="JE598" s="9"/>
      <c r="JF598" s="9"/>
      <c r="JG598" s="9"/>
      <c r="JH598" s="9"/>
      <c r="JI598" s="9"/>
      <c r="JJ598" s="9"/>
      <c r="JK598" s="9"/>
      <c r="JL598" s="9"/>
      <c r="JM598" s="9"/>
      <c r="JN598" s="9"/>
      <c r="JO598" s="9"/>
      <c r="JP598" s="9"/>
      <c r="JQ598" s="9"/>
      <c r="JR598" s="9"/>
      <c r="JS598" s="9"/>
      <c r="JT598" s="9"/>
      <c r="JU598" s="9"/>
      <c r="JV598" s="9"/>
      <c r="JW598" s="9"/>
      <c r="JX598" s="9"/>
      <c r="JY598" s="9"/>
      <c r="JZ598" s="9"/>
      <c r="KA598" s="9"/>
      <c r="KB598" s="9"/>
      <c r="KC598" s="9"/>
      <c r="KD598" s="9"/>
      <c r="KE598" s="9"/>
      <c r="KF598" s="9"/>
      <c r="KG598" s="9"/>
      <c r="KH598" s="9"/>
      <c r="KI598" s="9"/>
      <c r="KJ598" s="9"/>
      <c r="KK598" s="9"/>
      <c r="KL598" s="9"/>
      <c r="KM598" s="9"/>
      <c r="KN598" s="9"/>
      <c r="KO598" s="9"/>
      <c r="KP598" s="9"/>
      <c r="KQ598" s="9"/>
      <c r="KR598" s="9"/>
      <c r="KS598" s="9"/>
      <c r="KT598" s="9"/>
      <c r="KU598" s="9"/>
      <c r="KV598" s="9"/>
      <c r="KW598" s="9"/>
      <c r="KX598" s="9"/>
      <c r="KY598" s="9"/>
      <c r="KZ598" s="9"/>
      <c r="LA598" s="9"/>
      <c r="LB598" s="9"/>
      <c r="LC598" s="9"/>
      <c r="LD598" s="9"/>
      <c r="LE598" s="9"/>
      <c r="LF598" s="9"/>
      <c r="LG598" s="9"/>
      <c r="LH598" s="9"/>
      <c r="LI598" s="9"/>
      <c r="LJ598" s="9"/>
      <c r="LK598" s="9"/>
      <c r="LL598" s="9"/>
      <c r="LM598" s="9"/>
      <c r="LN598" s="9"/>
      <c r="LO598" s="9"/>
      <c r="LP598" s="9"/>
      <c r="LQ598" s="9"/>
      <c r="LR598" s="9"/>
      <c r="LS598" s="9"/>
      <c r="LT598" s="9"/>
      <c r="LU598" s="9"/>
      <c r="LV598" s="9"/>
      <c r="LW598" s="9"/>
      <c r="LX598" s="9"/>
      <c r="LY598" s="9"/>
      <c r="LZ598" s="9"/>
      <c r="MA598" s="9"/>
      <c r="MB598" s="9"/>
      <c r="MC598" s="9"/>
      <c r="MD598" s="9"/>
      <c r="ME598" s="9"/>
      <c r="MF598" s="9"/>
      <c r="MG598" s="9"/>
      <c r="MH598" s="9"/>
      <c r="MI598" s="9"/>
      <c r="MJ598" s="9"/>
      <c r="MK598" s="9"/>
      <c r="ML598" s="9"/>
      <c r="MM598" s="9"/>
      <c r="MN598" s="9"/>
      <c r="MO598" s="9"/>
      <c r="MP598" s="9"/>
      <c r="MQ598" s="9"/>
      <c r="MR598" s="9"/>
      <c r="MS598" s="9"/>
      <c r="MT598" s="9"/>
      <c r="MU598" s="9"/>
      <c r="MV598" s="9"/>
      <c r="MW598" s="9"/>
      <c r="MX598" s="9"/>
      <c r="MY598" s="9"/>
      <c r="MZ598" s="9"/>
      <c r="NA598" s="9"/>
      <c r="NB598" s="9"/>
      <c r="NC598" s="9"/>
      <c r="ND598" s="9"/>
      <c r="NE598" s="9"/>
      <c r="NF598" s="9"/>
      <c r="NG598" s="9"/>
      <c r="NH598" s="9"/>
      <c r="NI598" s="9"/>
      <c r="NJ598" s="9"/>
      <c r="NK598" s="9"/>
      <c r="NL598" s="9"/>
      <c r="NM598" s="9"/>
      <c r="NN598" s="9"/>
      <c r="NO598" s="9"/>
      <c r="NP598" s="9"/>
      <c r="NQ598" s="9"/>
      <c r="NR598" s="9"/>
      <c r="NS598" s="9"/>
      <c r="NT598" s="9"/>
      <c r="NU598" s="9"/>
      <c r="NV598" s="9"/>
      <c r="NW598" s="9"/>
      <c r="NX598" s="9"/>
      <c r="NY598" s="9"/>
      <c r="NZ598" s="9"/>
      <c r="OA598" s="9"/>
      <c r="OB598" s="9"/>
      <c r="OC598" s="9"/>
      <c r="OD598" s="9"/>
      <c r="OE598" s="9"/>
      <c r="OF598" s="9"/>
      <c r="OG598" s="9"/>
      <c r="OH598" s="9"/>
      <c r="OI598" s="9"/>
      <c r="OJ598" s="9"/>
      <c r="OK598" s="9"/>
      <c r="OL598" s="9"/>
      <c r="OM598" s="9"/>
      <c r="ON598" s="9"/>
      <c r="OO598" s="9"/>
      <c r="OP598" s="9"/>
      <c r="OQ598" s="9"/>
      <c r="OR598" s="9"/>
      <c r="OS598" s="9"/>
      <c r="OT598" s="9"/>
      <c r="OU598" s="9"/>
      <c r="OV598" s="9"/>
      <c r="OW598" s="9"/>
      <c r="OX598" s="9"/>
      <c r="OY598" s="9"/>
      <c r="OZ598" s="9"/>
      <c r="PA598" s="9"/>
      <c r="PB598" s="9"/>
      <c r="PC598" s="9"/>
      <c r="PD598" s="9"/>
      <c r="PE598" s="9"/>
      <c r="PF598" s="9"/>
      <c r="PG598" s="9"/>
      <c r="PH598" s="9"/>
      <c r="PI598" s="9"/>
      <c r="PJ598" s="9"/>
      <c r="PK598" s="9"/>
      <c r="PL598" s="9"/>
      <c r="PM598" s="9"/>
      <c r="PN598" s="9"/>
      <c r="PO598" s="9"/>
      <c r="PP598" s="9"/>
      <c r="PQ598" s="9"/>
      <c r="PR598" s="9"/>
      <c r="PS598" s="9"/>
      <c r="PT598" s="9"/>
      <c r="PU598" s="9"/>
      <c r="PV598" s="9"/>
      <c r="PW598" s="9"/>
      <c r="PX598" s="9"/>
      <c r="PY598" s="9"/>
      <c r="PZ598" s="9"/>
      <c r="QA598" s="9"/>
      <c r="QB598" s="9"/>
      <c r="QC598" s="9"/>
      <c r="QD598" s="9"/>
      <c r="QE598" s="9"/>
      <c r="QF598" s="9"/>
      <c r="QG598" s="9"/>
      <c r="QH598" s="9"/>
      <c r="QI598" s="9"/>
      <c r="QJ598" s="9"/>
      <c r="QK598" s="9"/>
      <c r="QL598" s="9"/>
      <c r="QM598" s="9"/>
      <c r="QN598" s="9"/>
      <c r="QO598" s="9"/>
      <c r="QP598" s="9"/>
      <c r="QQ598" s="9"/>
      <c r="QR598" s="9"/>
      <c r="QS598" s="9"/>
      <c r="QT598" s="9"/>
      <c r="QU598" s="9"/>
      <c r="QV598" s="9"/>
      <c r="QW598" s="9"/>
      <c r="QX598" s="9"/>
      <c r="QY598" s="9"/>
      <c r="QZ598" s="9"/>
      <c r="RA598" s="9"/>
      <c r="RB598" s="9"/>
      <c r="RC598" s="9"/>
      <c r="RD598" s="9"/>
      <c r="RE598" s="9"/>
      <c r="RF598" s="9"/>
      <c r="RG598" s="9"/>
      <c r="RH598" s="9"/>
      <c r="RI598" s="9"/>
      <c r="RJ598" s="9"/>
      <c r="RK598" s="9"/>
      <c r="RL598" s="9"/>
      <c r="RM598" s="9"/>
      <c r="RN598" s="9"/>
      <c r="RO598" s="9"/>
      <c r="RP598" s="9"/>
      <c r="RQ598" s="9"/>
      <c r="RR598" s="9"/>
      <c r="RS598" s="9"/>
      <c r="RT598" s="9"/>
      <c r="RU598" s="9"/>
      <c r="RV598" s="9"/>
      <c r="RW598" s="9"/>
      <c r="RX598" s="9"/>
      <c r="RY598" s="9"/>
      <c r="RZ598" s="9"/>
      <c r="SA598" s="9"/>
      <c r="SB598" s="9"/>
      <c r="SC598" s="9"/>
      <c r="SD598" s="9"/>
      <c r="SE598" s="9"/>
      <c r="SF598" s="9"/>
      <c r="SG598" s="9"/>
      <c r="SH598" s="9"/>
      <c r="SI598" s="9"/>
      <c r="SJ598" s="9"/>
      <c r="SK598" s="9"/>
      <c r="SL598" s="9"/>
      <c r="SM598" s="9"/>
      <c r="SN598" s="9"/>
      <c r="SO598" s="9"/>
      <c r="SP598" s="9"/>
      <c r="SQ598" s="9"/>
      <c r="SR598" s="9"/>
      <c r="SS598" s="9"/>
      <c r="ST598" s="9"/>
      <c r="SU598" s="9"/>
      <c r="SV598" s="9"/>
      <c r="SW598" s="9"/>
      <c r="SX598" s="9"/>
      <c r="SY598" s="9"/>
      <c r="SZ598" s="9"/>
      <c r="TA598" s="9"/>
      <c r="TB598" s="9"/>
      <c r="TC598" s="9"/>
      <c r="TD598" s="9"/>
      <c r="TE598" s="9"/>
      <c r="TF598" s="9"/>
      <c r="TG598" s="9"/>
      <c r="TH598" s="9"/>
      <c r="TI598" s="9"/>
      <c r="TJ598" s="9"/>
      <c r="TK598" s="9"/>
      <c r="TL598" s="9"/>
      <c r="TM598" s="9"/>
      <c r="TN598" s="9"/>
      <c r="TO598" s="9"/>
      <c r="TP598" s="9"/>
      <c r="TQ598" s="9"/>
      <c r="TR598" s="9"/>
      <c r="TS598" s="9"/>
      <c r="TT598" s="9"/>
      <c r="TU598" s="9"/>
      <c r="TV598" s="9"/>
      <c r="TW598" s="9"/>
      <c r="TX598" s="9"/>
      <c r="TY598" s="9"/>
      <c r="TZ598" s="9"/>
      <c r="UA598" s="9"/>
      <c r="UB598" s="9"/>
      <c r="UC598" s="9"/>
      <c r="UD598" s="9"/>
      <c r="UE598" s="9"/>
      <c r="UF598" s="9"/>
      <c r="UG598" s="9"/>
      <c r="UH598" s="9"/>
      <c r="UI598" s="9"/>
      <c r="UJ598" s="9"/>
    </row>
    <row r="599">
      <c r="A599" s="8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  <c r="HZ599" s="9"/>
      <c r="IA599" s="9"/>
      <c r="IB599" s="9"/>
      <c r="IC599" s="9"/>
      <c r="ID599" s="9"/>
      <c r="IE599" s="9"/>
      <c r="IF599" s="9"/>
      <c r="IG599" s="9"/>
      <c r="IH599" s="9"/>
      <c r="II599" s="9"/>
      <c r="IJ599" s="9"/>
      <c r="IK599" s="9"/>
      <c r="IL599" s="9"/>
      <c r="IM599" s="9"/>
      <c r="IN599" s="9"/>
      <c r="IO599" s="9"/>
      <c r="IP599" s="9"/>
      <c r="IQ599" s="9"/>
      <c r="IR599" s="9"/>
      <c r="IS599" s="9"/>
      <c r="IT599" s="9"/>
      <c r="IU599" s="9"/>
      <c r="IV599" s="9"/>
      <c r="IW599" s="9"/>
      <c r="IX599" s="9"/>
      <c r="IY599" s="9"/>
      <c r="IZ599" s="9"/>
      <c r="JA599" s="9"/>
      <c r="JB599" s="9"/>
      <c r="JC599" s="9"/>
      <c r="JD599" s="9"/>
      <c r="JE599" s="9"/>
      <c r="JF599" s="9"/>
      <c r="JG599" s="9"/>
      <c r="JH599" s="9"/>
      <c r="JI599" s="9"/>
      <c r="JJ599" s="9"/>
      <c r="JK599" s="9"/>
      <c r="JL599" s="9"/>
      <c r="JM599" s="9"/>
      <c r="JN599" s="9"/>
      <c r="JO599" s="9"/>
      <c r="JP599" s="9"/>
      <c r="JQ599" s="9"/>
      <c r="JR599" s="9"/>
      <c r="JS599" s="9"/>
      <c r="JT599" s="9"/>
      <c r="JU599" s="9"/>
      <c r="JV599" s="9"/>
      <c r="JW599" s="9"/>
      <c r="JX599" s="9"/>
      <c r="JY599" s="9"/>
      <c r="JZ599" s="9"/>
      <c r="KA599" s="9"/>
      <c r="KB599" s="9"/>
      <c r="KC599" s="9"/>
      <c r="KD599" s="9"/>
      <c r="KE599" s="9"/>
      <c r="KF599" s="9"/>
      <c r="KG599" s="9"/>
      <c r="KH599" s="9"/>
      <c r="KI599" s="9"/>
      <c r="KJ599" s="9"/>
      <c r="KK599" s="9"/>
      <c r="KL599" s="9"/>
      <c r="KM599" s="9"/>
      <c r="KN599" s="9"/>
      <c r="KO599" s="9"/>
      <c r="KP599" s="9"/>
      <c r="KQ599" s="9"/>
      <c r="KR599" s="9"/>
      <c r="KS599" s="9"/>
      <c r="KT599" s="9"/>
      <c r="KU599" s="9"/>
      <c r="KV599" s="9"/>
      <c r="KW599" s="9"/>
      <c r="KX599" s="9"/>
      <c r="KY599" s="9"/>
      <c r="KZ599" s="9"/>
      <c r="LA599" s="9"/>
      <c r="LB599" s="9"/>
      <c r="LC599" s="9"/>
      <c r="LD599" s="9"/>
      <c r="LE599" s="9"/>
      <c r="LF599" s="9"/>
      <c r="LG599" s="9"/>
      <c r="LH599" s="9"/>
      <c r="LI599" s="9"/>
      <c r="LJ599" s="9"/>
      <c r="LK599" s="9"/>
      <c r="LL599" s="9"/>
      <c r="LM599" s="9"/>
      <c r="LN599" s="9"/>
      <c r="LO599" s="9"/>
      <c r="LP599" s="9"/>
      <c r="LQ599" s="9"/>
      <c r="LR599" s="9"/>
      <c r="LS599" s="9"/>
      <c r="LT599" s="9"/>
      <c r="LU599" s="9"/>
      <c r="LV599" s="9"/>
      <c r="LW599" s="9"/>
      <c r="LX599" s="9"/>
      <c r="LY599" s="9"/>
      <c r="LZ599" s="9"/>
      <c r="MA599" s="9"/>
      <c r="MB599" s="9"/>
      <c r="MC599" s="9"/>
      <c r="MD599" s="9"/>
      <c r="ME599" s="9"/>
      <c r="MF599" s="9"/>
      <c r="MG599" s="9"/>
      <c r="MH599" s="9"/>
      <c r="MI599" s="9"/>
      <c r="MJ599" s="9"/>
      <c r="MK599" s="9"/>
      <c r="ML599" s="9"/>
      <c r="MM599" s="9"/>
      <c r="MN599" s="9"/>
      <c r="MO599" s="9"/>
      <c r="MP599" s="9"/>
      <c r="MQ599" s="9"/>
      <c r="MR599" s="9"/>
      <c r="MS599" s="9"/>
      <c r="MT599" s="9"/>
      <c r="MU599" s="9"/>
      <c r="MV599" s="9"/>
      <c r="MW599" s="9"/>
      <c r="MX599" s="9"/>
      <c r="MY599" s="9"/>
      <c r="MZ599" s="9"/>
      <c r="NA599" s="9"/>
      <c r="NB599" s="9"/>
      <c r="NC599" s="9"/>
      <c r="ND599" s="9"/>
      <c r="NE599" s="9"/>
      <c r="NF599" s="9"/>
      <c r="NG599" s="9"/>
      <c r="NH599" s="9"/>
      <c r="NI599" s="9"/>
      <c r="NJ599" s="9"/>
      <c r="NK599" s="9"/>
      <c r="NL599" s="9"/>
      <c r="NM599" s="9"/>
      <c r="NN599" s="9"/>
      <c r="NO599" s="9"/>
      <c r="NP599" s="9"/>
      <c r="NQ599" s="9"/>
      <c r="NR599" s="9"/>
      <c r="NS599" s="9"/>
      <c r="NT599" s="9"/>
      <c r="NU599" s="9"/>
      <c r="NV599" s="9"/>
      <c r="NW599" s="9"/>
      <c r="NX599" s="9"/>
      <c r="NY599" s="9"/>
      <c r="NZ599" s="9"/>
      <c r="OA599" s="9"/>
      <c r="OB599" s="9"/>
      <c r="OC599" s="9"/>
      <c r="OD599" s="9"/>
      <c r="OE599" s="9"/>
      <c r="OF599" s="9"/>
      <c r="OG599" s="9"/>
      <c r="OH599" s="9"/>
      <c r="OI599" s="9"/>
      <c r="OJ599" s="9"/>
      <c r="OK599" s="9"/>
      <c r="OL599" s="9"/>
      <c r="OM599" s="9"/>
      <c r="ON599" s="9"/>
      <c r="OO599" s="9"/>
      <c r="OP599" s="9"/>
      <c r="OQ599" s="9"/>
      <c r="OR599" s="9"/>
      <c r="OS599" s="9"/>
      <c r="OT599" s="9"/>
      <c r="OU599" s="9"/>
      <c r="OV599" s="9"/>
      <c r="OW599" s="9"/>
      <c r="OX599" s="9"/>
      <c r="OY599" s="9"/>
      <c r="OZ599" s="9"/>
      <c r="PA599" s="9"/>
      <c r="PB599" s="9"/>
      <c r="PC599" s="9"/>
      <c r="PD599" s="9"/>
      <c r="PE599" s="9"/>
      <c r="PF599" s="9"/>
      <c r="PG599" s="9"/>
      <c r="PH599" s="9"/>
      <c r="PI599" s="9"/>
      <c r="PJ599" s="9"/>
      <c r="PK599" s="9"/>
      <c r="PL599" s="9"/>
      <c r="PM599" s="9"/>
      <c r="PN599" s="9"/>
      <c r="PO599" s="9"/>
      <c r="PP599" s="9"/>
      <c r="PQ599" s="9"/>
      <c r="PR599" s="9"/>
      <c r="PS599" s="9"/>
      <c r="PT599" s="9"/>
      <c r="PU599" s="9"/>
      <c r="PV599" s="9"/>
      <c r="PW599" s="9"/>
      <c r="PX599" s="9"/>
      <c r="PY599" s="9"/>
      <c r="PZ599" s="9"/>
      <c r="QA599" s="9"/>
      <c r="QB599" s="9"/>
      <c r="QC599" s="9"/>
      <c r="QD599" s="9"/>
      <c r="QE599" s="9"/>
      <c r="QF599" s="9"/>
      <c r="QG599" s="9"/>
      <c r="QH599" s="9"/>
      <c r="QI599" s="9"/>
      <c r="QJ599" s="9"/>
      <c r="QK599" s="9"/>
      <c r="QL599" s="9"/>
      <c r="QM599" s="9"/>
      <c r="QN599" s="9"/>
      <c r="QO599" s="9"/>
      <c r="QP599" s="9"/>
      <c r="QQ599" s="9"/>
      <c r="QR599" s="9"/>
      <c r="QS599" s="9"/>
      <c r="QT599" s="9"/>
      <c r="QU599" s="9"/>
      <c r="QV599" s="9"/>
      <c r="QW599" s="9"/>
      <c r="QX599" s="9"/>
      <c r="QY599" s="9"/>
      <c r="QZ599" s="9"/>
      <c r="RA599" s="9"/>
      <c r="RB599" s="9"/>
      <c r="RC599" s="9"/>
      <c r="RD599" s="9"/>
      <c r="RE599" s="9"/>
      <c r="RF599" s="9"/>
      <c r="RG599" s="9"/>
      <c r="RH599" s="9"/>
      <c r="RI599" s="9"/>
      <c r="RJ599" s="9"/>
      <c r="RK599" s="9"/>
      <c r="RL599" s="9"/>
      <c r="RM599" s="9"/>
      <c r="RN599" s="9"/>
      <c r="RO599" s="9"/>
      <c r="RP599" s="9"/>
      <c r="RQ599" s="9"/>
      <c r="RR599" s="9"/>
      <c r="RS599" s="9"/>
      <c r="RT599" s="9"/>
      <c r="RU599" s="9"/>
      <c r="RV599" s="9"/>
      <c r="RW599" s="9"/>
      <c r="RX599" s="9"/>
      <c r="RY599" s="9"/>
      <c r="RZ599" s="9"/>
      <c r="SA599" s="9"/>
      <c r="SB599" s="9"/>
      <c r="SC599" s="9"/>
      <c r="SD599" s="9"/>
      <c r="SE599" s="9"/>
      <c r="SF599" s="9"/>
      <c r="SG599" s="9"/>
      <c r="SH599" s="9"/>
      <c r="SI599" s="9"/>
      <c r="SJ599" s="9"/>
      <c r="SK599" s="9"/>
      <c r="SL599" s="9"/>
      <c r="SM599" s="9"/>
      <c r="SN599" s="9"/>
      <c r="SO599" s="9"/>
      <c r="SP599" s="9"/>
      <c r="SQ599" s="9"/>
      <c r="SR599" s="9"/>
      <c r="SS599" s="9"/>
      <c r="ST599" s="9"/>
      <c r="SU599" s="9"/>
      <c r="SV599" s="9"/>
      <c r="SW599" s="9"/>
      <c r="SX599" s="9"/>
      <c r="SY599" s="9"/>
      <c r="SZ599" s="9"/>
      <c r="TA599" s="9"/>
      <c r="TB599" s="9"/>
      <c r="TC599" s="9"/>
      <c r="TD599" s="9"/>
      <c r="TE599" s="9"/>
      <c r="TF599" s="9"/>
      <c r="TG599" s="9"/>
      <c r="TH599" s="9"/>
      <c r="TI599" s="9"/>
      <c r="TJ599" s="9"/>
      <c r="TK599" s="9"/>
      <c r="TL599" s="9"/>
      <c r="TM599" s="9"/>
      <c r="TN599" s="9"/>
      <c r="TO599" s="9"/>
      <c r="TP599" s="9"/>
      <c r="TQ599" s="9"/>
      <c r="TR599" s="9"/>
      <c r="TS599" s="9"/>
      <c r="TT599" s="9"/>
      <c r="TU599" s="9"/>
      <c r="TV599" s="9"/>
      <c r="TW599" s="9"/>
      <c r="TX599" s="9"/>
      <c r="TY599" s="9"/>
      <c r="TZ599" s="9"/>
      <c r="UA599" s="9"/>
      <c r="UB599" s="9"/>
      <c r="UC599" s="9"/>
      <c r="UD599" s="9"/>
      <c r="UE599" s="9"/>
      <c r="UF599" s="9"/>
      <c r="UG599" s="9"/>
      <c r="UH599" s="9"/>
      <c r="UI599" s="9"/>
      <c r="UJ599" s="9"/>
    </row>
    <row r="600">
      <c r="A600" s="8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  <c r="HO600" s="9"/>
      <c r="HP600" s="9"/>
      <c r="HQ600" s="9"/>
      <c r="HR600" s="9"/>
      <c r="HS600" s="9"/>
      <c r="HT600" s="9"/>
      <c r="HU600" s="9"/>
      <c r="HV600" s="9"/>
      <c r="HW600" s="9"/>
      <c r="HX600" s="9"/>
      <c r="HY600" s="9"/>
      <c r="HZ600" s="9"/>
      <c r="IA600" s="9"/>
      <c r="IB600" s="9"/>
      <c r="IC600" s="9"/>
      <c r="ID600" s="9"/>
      <c r="IE600" s="9"/>
      <c r="IF600" s="9"/>
      <c r="IG600" s="9"/>
      <c r="IH600" s="9"/>
      <c r="II600" s="9"/>
      <c r="IJ600" s="9"/>
      <c r="IK600" s="9"/>
      <c r="IL600" s="9"/>
      <c r="IM600" s="9"/>
      <c r="IN600" s="9"/>
      <c r="IO600" s="9"/>
      <c r="IP600" s="9"/>
      <c r="IQ600" s="9"/>
      <c r="IR600" s="9"/>
      <c r="IS600" s="9"/>
      <c r="IT600" s="9"/>
      <c r="IU600" s="9"/>
      <c r="IV600" s="9"/>
      <c r="IW600" s="9"/>
      <c r="IX600" s="9"/>
      <c r="IY600" s="9"/>
      <c r="IZ600" s="9"/>
      <c r="JA600" s="9"/>
      <c r="JB600" s="9"/>
      <c r="JC600" s="9"/>
      <c r="JD600" s="9"/>
      <c r="JE600" s="9"/>
      <c r="JF600" s="9"/>
      <c r="JG600" s="9"/>
      <c r="JH600" s="9"/>
      <c r="JI600" s="9"/>
      <c r="JJ600" s="9"/>
      <c r="JK600" s="9"/>
      <c r="JL600" s="9"/>
      <c r="JM600" s="9"/>
      <c r="JN600" s="9"/>
      <c r="JO600" s="9"/>
      <c r="JP600" s="9"/>
      <c r="JQ600" s="9"/>
      <c r="JR600" s="9"/>
      <c r="JS600" s="9"/>
      <c r="JT600" s="9"/>
      <c r="JU600" s="9"/>
      <c r="JV600" s="9"/>
      <c r="JW600" s="9"/>
      <c r="JX600" s="9"/>
      <c r="JY600" s="9"/>
      <c r="JZ600" s="9"/>
      <c r="KA600" s="9"/>
      <c r="KB600" s="9"/>
      <c r="KC600" s="9"/>
      <c r="KD600" s="9"/>
      <c r="KE600" s="9"/>
      <c r="KF600" s="9"/>
      <c r="KG600" s="9"/>
      <c r="KH600" s="9"/>
      <c r="KI600" s="9"/>
      <c r="KJ600" s="9"/>
      <c r="KK600" s="9"/>
      <c r="KL600" s="9"/>
      <c r="KM600" s="9"/>
      <c r="KN600" s="9"/>
      <c r="KO600" s="9"/>
      <c r="KP600" s="9"/>
      <c r="KQ600" s="9"/>
      <c r="KR600" s="9"/>
      <c r="KS600" s="9"/>
      <c r="KT600" s="9"/>
      <c r="KU600" s="9"/>
      <c r="KV600" s="9"/>
      <c r="KW600" s="9"/>
      <c r="KX600" s="9"/>
      <c r="KY600" s="9"/>
      <c r="KZ600" s="9"/>
      <c r="LA600" s="9"/>
      <c r="LB600" s="9"/>
      <c r="LC600" s="9"/>
      <c r="LD600" s="9"/>
      <c r="LE600" s="9"/>
      <c r="LF600" s="9"/>
      <c r="LG600" s="9"/>
      <c r="LH600" s="9"/>
      <c r="LI600" s="9"/>
      <c r="LJ600" s="9"/>
      <c r="LK600" s="9"/>
      <c r="LL600" s="9"/>
      <c r="LM600" s="9"/>
      <c r="LN600" s="9"/>
      <c r="LO600" s="9"/>
      <c r="LP600" s="9"/>
      <c r="LQ600" s="9"/>
      <c r="LR600" s="9"/>
      <c r="LS600" s="9"/>
      <c r="LT600" s="9"/>
      <c r="LU600" s="9"/>
      <c r="LV600" s="9"/>
      <c r="LW600" s="9"/>
      <c r="LX600" s="9"/>
      <c r="LY600" s="9"/>
      <c r="LZ600" s="9"/>
      <c r="MA600" s="9"/>
      <c r="MB600" s="9"/>
      <c r="MC600" s="9"/>
      <c r="MD600" s="9"/>
      <c r="ME600" s="9"/>
      <c r="MF600" s="9"/>
      <c r="MG600" s="9"/>
      <c r="MH600" s="9"/>
      <c r="MI600" s="9"/>
      <c r="MJ600" s="9"/>
      <c r="MK600" s="9"/>
      <c r="ML600" s="9"/>
      <c r="MM600" s="9"/>
      <c r="MN600" s="9"/>
      <c r="MO600" s="9"/>
      <c r="MP600" s="9"/>
      <c r="MQ600" s="9"/>
      <c r="MR600" s="9"/>
      <c r="MS600" s="9"/>
      <c r="MT600" s="9"/>
      <c r="MU600" s="9"/>
      <c r="MV600" s="9"/>
      <c r="MW600" s="9"/>
      <c r="MX600" s="9"/>
      <c r="MY600" s="9"/>
      <c r="MZ600" s="9"/>
      <c r="NA600" s="9"/>
      <c r="NB600" s="9"/>
      <c r="NC600" s="9"/>
      <c r="ND600" s="9"/>
      <c r="NE600" s="9"/>
      <c r="NF600" s="9"/>
      <c r="NG600" s="9"/>
      <c r="NH600" s="9"/>
      <c r="NI600" s="9"/>
      <c r="NJ600" s="9"/>
      <c r="NK600" s="9"/>
      <c r="NL600" s="9"/>
      <c r="NM600" s="9"/>
      <c r="NN600" s="9"/>
      <c r="NO600" s="9"/>
      <c r="NP600" s="9"/>
      <c r="NQ600" s="9"/>
      <c r="NR600" s="9"/>
      <c r="NS600" s="9"/>
      <c r="NT600" s="9"/>
      <c r="NU600" s="9"/>
      <c r="NV600" s="9"/>
      <c r="NW600" s="9"/>
      <c r="NX600" s="9"/>
      <c r="NY600" s="9"/>
      <c r="NZ600" s="9"/>
      <c r="OA600" s="9"/>
      <c r="OB600" s="9"/>
      <c r="OC600" s="9"/>
      <c r="OD600" s="9"/>
      <c r="OE600" s="9"/>
      <c r="OF600" s="9"/>
      <c r="OG600" s="9"/>
      <c r="OH600" s="9"/>
      <c r="OI600" s="9"/>
      <c r="OJ600" s="9"/>
      <c r="OK600" s="9"/>
      <c r="OL600" s="9"/>
      <c r="OM600" s="9"/>
      <c r="ON600" s="9"/>
      <c r="OO600" s="9"/>
      <c r="OP600" s="9"/>
      <c r="OQ600" s="9"/>
      <c r="OR600" s="9"/>
      <c r="OS600" s="9"/>
      <c r="OT600" s="9"/>
      <c r="OU600" s="9"/>
      <c r="OV600" s="9"/>
      <c r="OW600" s="9"/>
      <c r="OX600" s="9"/>
      <c r="OY600" s="9"/>
      <c r="OZ600" s="9"/>
      <c r="PA600" s="9"/>
      <c r="PB600" s="9"/>
      <c r="PC600" s="9"/>
      <c r="PD600" s="9"/>
      <c r="PE600" s="9"/>
      <c r="PF600" s="9"/>
      <c r="PG600" s="9"/>
      <c r="PH600" s="9"/>
      <c r="PI600" s="9"/>
      <c r="PJ600" s="9"/>
      <c r="PK600" s="9"/>
      <c r="PL600" s="9"/>
      <c r="PM600" s="9"/>
      <c r="PN600" s="9"/>
      <c r="PO600" s="9"/>
      <c r="PP600" s="9"/>
      <c r="PQ600" s="9"/>
      <c r="PR600" s="9"/>
      <c r="PS600" s="9"/>
      <c r="PT600" s="9"/>
      <c r="PU600" s="9"/>
      <c r="PV600" s="9"/>
      <c r="PW600" s="9"/>
      <c r="PX600" s="9"/>
      <c r="PY600" s="9"/>
      <c r="PZ600" s="9"/>
      <c r="QA600" s="9"/>
      <c r="QB600" s="9"/>
      <c r="QC600" s="9"/>
      <c r="QD600" s="9"/>
      <c r="QE600" s="9"/>
      <c r="QF600" s="9"/>
      <c r="QG600" s="9"/>
      <c r="QH600" s="9"/>
      <c r="QI600" s="9"/>
      <c r="QJ600" s="9"/>
      <c r="QK600" s="9"/>
      <c r="QL600" s="9"/>
      <c r="QM600" s="9"/>
      <c r="QN600" s="9"/>
      <c r="QO600" s="9"/>
      <c r="QP600" s="9"/>
      <c r="QQ600" s="9"/>
      <c r="QR600" s="9"/>
      <c r="QS600" s="9"/>
      <c r="QT600" s="9"/>
      <c r="QU600" s="9"/>
      <c r="QV600" s="9"/>
      <c r="QW600" s="9"/>
      <c r="QX600" s="9"/>
      <c r="QY600" s="9"/>
      <c r="QZ600" s="9"/>
      <c r="RA600" s="9"/>
      <c r="RB600" s="9"/>
      <c r="RC600" s="9"/>
      <c r="RD600" s="9"/>
      <c r="RE600" s="9"/>
      <c r="RF600" s="9"/>
      <c r="RG600" s="9"/>
      <c r="RH600" s="9"/>
      <c r="RI600" s="9"/>
      <c r="RJ600" s="9"/>
      <c r="RK600" s="9"/>
      <c r="RL600" s="9"/>
      <c r="RM600" s="9"/>
      <c r="RN600" s="9"/>
      <c r="RO600" s="9"/>
      <c r="RP600" s="9"/>
      <c r="RQ600" s="9"/>
      <c r="RR600" s="9"/>
      <c r="RS600" s="9"/>
      <c r="RT600" s="9"/>
      <c r="RU600" s="9"/>
      <c r="RV600" s="9"/>
      <c r="RW600" s="9"/>
      <c r="RX600" s="9"/>
      <c r="RY600" s="9"/>
      <c r="RZ600" s="9"/>
      <c r="SA600" s="9"/>
      <c r="SB600" s="9"/>
      <c r="SC600" s="9"/>
      <c r="SD600" s="9"/>
      <c r="SE600" s="9"/>
      <c r="SF600" s="9"/>
      <c r="SG600" s="9"/>
      <c r="SH600" s="9"/>
      <c r="SI600" s="9"/>
      <c r="SJ600" s="9"/>
      <c r="SK600" s="9"/>
      <c r="SL600" s="9"/>
      <c r="SM600" s="9"/>
      <c r="SN600" s="9"/>
      <c r="SO600" s="9"/>
      <c r="SP600" s="9"/>
      <c r="SQ600" s="9"/>
      <c r="SR600" s="9"/>
      <c r="SS600" s="9"/>
      <c r="ST600" s="9"/>
      <c r="SU600" s="9"/>
      <c r="SV600" s="9"/>
      <c r="SW600" s="9"/>
      <c r="SX600" s="9"/>
      <c r="SY600" s="9"/>
      <c r="SZ600" s="9"/>
      <c r="TA600" s="9"/>
      <c r="TB600" s="9"/>
      <c r="TC600" s="9"/>
      <c r="TD600" s="9"/>
      <c r="TE600" s="9"/>
      <c r="TF600" s="9"/>
      <c r="TG600" s="9"/>
      <c r="TH600" s="9"/>
      <c r="TI600" s="9"/>
      <c r="TJ600" s="9"/>
      <c r="TK600" s="9"/>
      <c r="TL600" s="9"/>
      <c r="TM600" s="9"/>
      <c r="TN600" s="9"/>
      <c r="TO600" s="9"/>
      <c r="TP600" s="9"/>
      <c r="TQ600" s="9"/>
      <c r="TR600" s="9"/>
      <c r="TS600" s="9"/>
      <c r="TT600" s="9"/>
      <c r="TU600" s="9"/>
      <c r="TV600" s="9"/>
      <c r="TW600" s="9"/>
      <c r="TX600" s="9"/>
      <c r="TY600" s="9"/>
      <c r="TZ600" s="9"/>
      <c r="UA600" s="9"/>
      <c r="UB600" s="9"/>
      <c r="UC600" s="9"/>
      <c r="UD600" s="9"/>
      <c r="UE600" s="9"/>
      <c r="UF600" s="9"/>
      <c r="UG600" s="9"/>
      <c r="UH600" s="9"/>
      <c r="UI600" s="9"/>
      <c r="UJ600" s="9"/>
    </row>
    <row r="601">
      <c r="A601" s="8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  <c r="IC601" s="9"/>
      <c r="ID601" s="9"/>
      <c r="IE601" s="9"/>
      <c r="IF601" s="9"/>
      <c r="IG601" s="9"/>
      <c r="IH601" s="9"/>
      <c r="II601" s="9"/>
      <c r="IJ601" s="9"/>
      <c r="IK601" s="9"/>
      <c r="IL601" s="9"/>
      <c r="IM601" s="9"/>
      <c r="IN601" s="9"/>
      <c r="IO601" s="9"/>
      <c r="IP601" s="9"/>
      <c r="IQ601" s="9"/>
      <c r="IR601" s="9"/>
      <c r="IS601" s="9"/>
      <c r="IT601" s="9"/>
      <c r="IU601" s="9"/>
      <c r="IV601" s="9"/>
      <c r="IW601" s="9"/>
      <c r="IX601" s="9"/>
      <c r="IY601" s="9"/>
      <c r="IZ601" s="9"/>
      <c r="JA601" s="9"/>
      <c r="JB601" s="9"/>
      <c r="JC601" s="9"/>
      <c r="JD601" s="9"/>
      <c r="JE601" s="9"/>
      <c r="JF601" s="9"/>
      <c r="JG601" s="9"/>
      <c r="JH601" s="9"/>
      <c r="JI601" s="9"/>
      <c r="JJ601" s="9"/>
      <c r="JK601" s="9"/>
      <c r="JL601" s="9"/>
      <c r="JM601" s="9"/>
      <c r="JN601" s="9"/>
      <c r="JO601" s="9"/>
      <c r="JP601" s="9"/>
      <c r="JQ601" s="9"/>
      <c r="JR601" s="9"/>
      <c r="JS601" s="9"/>
      <c r="JT601" s="9"/>
      <c r="JU601" s="9"/>
      <c r="JV601" s="9"/>
      <c r="JW601" s="9"/>
      <c r="JX601" s="9"/>
      <c r="JY601" s="9"/>
      <c r="JZ601" s="9"/>
      <c r="KA601" s="9"/>
      <c r="KB601" s="9"/>
      <c r="KC601" s="9"/>
      <c r="KD601" s="9"/>
      <c r="KE601" s="9"/>
      <c r="KF601" s="9"/>
      <c r="KG601" s="9"/>
      <c r="KH601" s="9"/>
      <c r="KI601" s="9"/>
      <c r="KJ601" s="9"/>
      <c r="KK601" s="9"/>
      <c r="KL601" s="9"/>
      <c r="KM601" s="9"/>
      <c r="KN601" s="9"/>
      <c r="KO601" s="9"/>
      <c r="KP601" s="9"/>
      <c r="KQ601" s="9"/>
      <c r="KR601" s="9"/>
      <c r="KS601" s="9"/>
      <c r="KT601" s="9"/>
      <c r="KU601" s="9"/>
      <c r="KV601" s="9"/>
      <c r="KW601" s="9"/>
      <c r="KX601" s="9"/>
      <c r="KY601" s="9"/>
      <c r="KZ601" s="9"/>
      <c r="LA601" s="9"/>
      <c r="LB601" s="9"/>
      <c r="LC601" s="9"/>
      <c r="LD601" s="9"/>
      <c r="LE601" s="9"/>
      <c r="LF601" s="9"/>
      <c r="LG601" s="9"/>
      <c r="LH601" s="9"/>
      <c r="LI601" s="9"/>
      <c r="LJ601" s="9"/>
      <c r="LK601" s="9"/>
      <c r="LL601" s="9"/>
      <c r="LM601" s="9"/>
      <c r="LN601" s="9"/>
      <c r="LO601" s="9"/>
      <c r="LP601" s="9"/>
      <c r="LQ601" s="9"/>
      <c r="LR601" s="9"/>
      <c r="LS601" s="9"/>
      <c r="LT601" s="9"/>
      <c r="LU601" s="9"/>
      <c r="LV601" s="9"/>
      <c r="LW601" s="9"/>
      <c r="LX601" s="9"/>
      <c r="LY601" s="9"/>
      <c r="LZ601" s="9"/>
      <c r="MA601" s="9"/>
      <c r="MB601" s="9"/>
      <c r="MC601" s="9"/>
      <c r="MD601" s="9"/>
      <c r="ME601" s="9"/>
      <c r="MF601" s="9"/>
      <c r="MG601" s="9"/>
      <c r="MH601" s="9"/>
      <c r="MI601" s="9"/>
      <c r="MJ601" s="9"/>
      <c r="MK601" s="9"/>
      <c r="ML601" s="9"/>
      <c r="MM601" s="9"/>
      <c r="MN601" s="9"/>
      <c r="MO601" s="9"/>
      <c r="MP601" s="9"/>
      <c r="MQ601" s="9"/>
      <c r="MR601" s="9"/>
      <c r="MS601" s="9"/>
      <c r="MT601" s="9"/>
      <c r="MU601" s="9"/>
      <c r="MV601" s="9"/>
      <c r="MW601" s="9"/>
      <c r="MX601" s="9"/>
      <c r="MY601" s="9"/>
      <c r="MZ601" s="9"/>
      <c r="NA601" s="9"/>
      <c r="NB601" s="9"/>
      <c r="NC601" s="9"/>
      <c r="ND601" s="9"/>
      <c r="NE601" s="9"/>
      <c r="NF601" s="9"/>
      <c r="NG601" s="9"/>
      <c r="NH601" s="9"/>
      <c r="NI601" s="9"/>
      <c r="NJ601" s="9"/>
      <c r="NK601" s="9"/>
      <c r="NL601" s="9"/>
      <c r="NM601" s="9"/>
      <c r="NN601" s="9"/>
      <c r="NO601" s="9"/>
      <c r="NP601" s="9"/>
      <c r="NQ601" s="9"/>
      <c r="NR601" s="9"/>
      <c r="NS601" s="9"/>
      <c r="NT601" s="9"/>
      <c r="NU601" s="9"/>
      <c r="NV601" s="9"/>
      <c r="NW601" s="9"/>
      <c r="NX601" s="9"/>
      <c r="NY601" s="9"/>
      <c r="NZ601" s="9"/>
      <c r="OA601" s="9"/>
      <c r="OB601" s="9"/>
      <c r="OC601" s="9"/>
      <c r="OD601" s="9"/>
      <c r="OE601" s="9"/>
      <c r="OF601" s="9"/>
      <c r="OG601" s="9"/>
      <c r="OH601" s="9"/>
      <c r="OI601" s="9"/>
      <c r="OJ601" s="9"/>
      <c r="OK601" s="9"/>
      <c r="OL601" s="9"/>
      <c r="OM601" s="9"/>
      <c r="ON601" s="9"/>
      <c r="OO601" s="9"/>
      <c r="OP601" s="9"/>
      <c r="OQ601" s="9"/>
      <c r="OR601" s="9"/>
      <c r="OS601" s="9"/>
      <c r="OT601" s="9"/>
      <c r="OU601" s="9"/>
      <c r="OV601" s="9"/>
      <c r="OW601" s="9"/>
      <c r="OX601" s="9"/>
      <c r="OY601" s="9"/>
      <c r="OZ601" s="9"/>
      <c r="PA601" s="9"/>
      <c r="PB601" s="9"/>
      <c r="PC601" s="9"/>
      <c r="PD601" s="9"/>
      <c r="PE601" s="9"/>
      <c r="PF601" s="9"/>
      <c r="PG601" s="9"/>
      <c r="PH601" s="9"/>
      <c r="PI601" s="9"/>
      <c r="PJ601" s="9"/>
      <c r="PK601" s="9"/>
      <c r="PL601" s="9"/>
      <c r="PM601" s="9"/>
      <c r="PN601" s="9"/>
      <c r="PO601" s="9"/>
      <c r="PP601" s="9"/>
      <c r="PQ601" s="9"/>
      <c r="PR601" s="9"/>
      <c r="PS601" s="9"/>
      <c r="PT601" s="9"/>
      <c r="PU601" s="9"/>
      <c r="PV601" s="9"/>
      <c r="PW601" s="9"/>
      <c r="PX601" s="9"/>
      <c r="PY601" s="9"/>
      <c r="PZ601" s="9"/>
      <c r="QA601" s="9"/>
      <c r="QB601" s="9"/>
      <c r="QC601" s="9"/>
      <c r="QD601" s="9"/>
      <c r="QE601" s="9"/>
      <c r="QF601" s="9"/>
      <c r="QG601" s="9"/>
      <c r="QH601" s="9"/>
      <c r="QI601" s="9"/>
      <c r="QJ601" s="9"/>
      <c r="QK601" s="9"/>
      <c r="QL601" s="9"/>
      <c r="QM601" s="9"/>
      <c r="QN601" s="9"/>
      <c r="QO601" s="9"/>
      <c r="QP601" s="9"/>
      <c r="QQ601" s="9"/>
      <c r="QR601" s="9"/>
      <c r="QS601" s="9"/>
      <c r="QT601" s="9"/>
      <c r="QU601" s="9"/>
      <c r="QV601" s="9"/>
      <c r="QW601" s="9"/>
      <c r="QX601" s="9"/>
      <c r="QY601" s="9"/>
      <c r="QZ601" s="9"/>
      <c r="RA601" s="9"/>
      <c r="RB601" s="9"/>
      <c r="RC601" s="9"/>
      <c r="RD601" s="9"/>
      <c r="RE601" s="9"/>
      <c r="RF601" s="9"/>
      <c r="RG601" s="9"/>
      <c r="RH601" s="9"/>
      <c r="RI601" s="9"/>
      <c r="RJ601" s="9"/>
      <c r="RK601" s="9"/>
      <c r="RL601" s="9"/>
      <c r="RM601" s="9"/>
      <c r="RN601" s="9"/>
      <c r="RO601" s="9"/>
      <c r="RP601" s="9"/>
      <c r="RQ601" s="9"/>
      <c r="RR601" s="9"/>
      <c r="RS601" s="9"/>
      <c r="RT601" s="9"/>
      <c r="RU601" s="9"/>
      <c r="RV601" s="9"/>
      <c r="RW601" s="9"/>
      <c r="RX601" s="9"/>
      <c r="RY601" s="9"/>
      <c r="RZ601" s="9"/>
      <c r="SA601" s="9"/>
      <c r="SB601" s="9"/>
      <c r="SC601" s="9"/>
      <c r="SD601" s="9"/>
      <c r="SE601" s="9"/>
      <c r="SF601" s="9"/>
      <c r="SG601" s="9"/>
      <c r="SH601" s="9"/>
      <c r="SI601" s="9"/>
      <c r="SJ601" s="9"/>
      <c r="SK601" s="9"/>
      <c r="SL601" s="9"/>
      <c r="SM601" s="9"/>
      <c r="SN601" s="9"/>
      <c r="SO601" s="9"/>
      <c r="SP601" s="9"/>
      <c r="SQ601" s="9"/>
      <c r="SR601" s="9"/>
      <c r="SS601" s="9"/>
      <c r="ST601" s="9"/>
      <c r="SU601" s="9"/>
      <c r="SV601" s="9"/>
      <c r="SW601" s="9"/>
      <c r="SX601" s="9"/>
      <c r="SY601" s="9"/>
      <c r="SZ601" s="9"/>
      <c r="TA601" s="9"/>
      <c r="TB601" s="9"/>
      <c r="TC601" s="9"/>
      <c r="TD601" s="9"/>
      <c r="TE601" s="9"/>
      <c r="TF601" s="9"/>
      <c r="TG601" s="9"/>
      <c r="TH601" s="9"/>
      <c r="TI601" s="9"/>
      <c r="TJ601" s="9"/>
      <c r="TK601" s="9"/>
      <c r="TL601" s="9"/>
      <c r="TM601" s="9"/>
      <c r="TN601" s="9"/>
      <c r="TO601" s="9"/>
      <c r="TP601" s="9"/>
      <c r="TQ601" s="9"/>
      <c r="TR601" s="9"/>
      <c r="TS601" s="9"/>
      <c r="TT601" s="9"/>
      <c r="TU601" s="9"/>
      <c r="TV601" s="9"/>
      <c r="TW601" s="9"/>
      <c r="TX601" s="9"/>
      <c r="TY601" s="9"/>
      <c r="TZ601" s="9"/>
      <c r="UA601" s="9"/>
      <c r="UB601" s="9"/>
      <c r="UC601" s="9"/>
      <c r="UD601" s="9"/>
      <c r="UE601" s="9"/>
      <c r="UF601" s="9"/>
      <c r="UG601" s="9"/>
      <c r="UH601" s="9"/>
      <c r="UI601" s="9"/>
      <c r="UJ601" s="9"/>
    </row>
    <row r="602">
      <c r="A602" s="8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  <c r="IC602" s="9"/>
      <c r="ID602" s="9"/>
      <c r="IE602" s="9"/>
      <c r="IF602" s="9"/>
      <c r="IG602" s="9"/>
      <c r="IH602" s="9"/>
      <c r="II602" s="9"/>
      <c r="IJ602" s="9"/>
      <c r="IK602" s="9"/>
      <c r="IL602" s="9"/>
      <c r="IM602" s="9"/>
      <c r="IN602" s="9"/>
      <c r="IO602" s="9"/>
      <c r="IP602" s="9"/>
      <c r="IQ602" s="9"/>
      <c r="IR602" s="9"/>
      <c r="IS602" s="9"/>
      <c r="IT602" s="9"/>
      <c r="IU602" s="9"/>
      <c r="IV602" s="9"/>
      <c r="IW602" s="9"/>
      <c r="IX602" s="9"/>
      <c r="IY602" s="9"/>
      <c r="IZ602" s="9"/>
      <c r="JA602" s="9"/>
      <c r="JB602" s="9"/>
      <c r="JC602" s="9"/>
      <c r="JD602" s="9"/>
      <c r="JE602" s="9"/>
      <c r="JF602" s="9"/>
      <c r="JG602" s="9"/>
      <c r="JH602" s="9"/>
      <c r="JI602" s="9"/>
      <c r="JJ602" s="9"/>
      <c r="JK602" s="9"/>
      <c r="JL602" s="9"/>
      <c r="JM602" s="9"/>
      <c r="JN602" s="9"/>
      <c r="JO602" s="9"/>
      <c r="JP602" s="9"/>
      <c r="JQ602" s="9"/>
      <c r="JR602" s="9"/>
      <c r="JS602" s="9"/>
      <c r="JT602" s="9"/>
      <c r="JU602" s="9"/>
      <c r="JV602" s="9"/>
      <c r="JW602" s="9"/>
      <c r="JX602" s="9"/>
      <c r="JY602" s="9"/>
      <c r="JZ602" s="9"/>
      <c r="KA602" s="9"/>
      <c r="KB602" s="9"/>
      <c r="KC602" s="9"/>
      <c r="KD602" s="9"/>
      <c r="KE602" s="9"/>
      <c r="KF602" s="9"/>
      <c r="KG602" s="9"/>
      <c r="KH602" s="9"/>
      <c r="KI602" s="9"/>
      <c r="KJ602" s="9"/>
      <c r="KK602" s="9"/>
      <c r="KL602" s="9"/>
      <c r="KM602" s="9"/>
      <c r="KN602" s="9"/>
      <c r="KO602" s="9"/>
      <c r="KP602" s="9"/>
      <c r="KQ602" s="9"/>
      <c r="KR602" s="9"/>
      <c r="KS602" s="9"/>
      <c r="KT602" s="9"/>
      <c r="KU602" s="9"/>
      <c r="KV602" s="9"/>
      <c r="KW602" s="9"/>
      <c r="KX602" s="9"/>
      <c r="KY602" s="9"/>
      <c r="KZ602" s="9"/>
      <c r="LA602" s="9"/>
      <c r="LB602" s="9"/>
      <c r="LC602" s="9"/>
      <c r="LD602" s="9"/>
      <c r="LE602" s="9"/>
      <c r="LF602" s="9"/>
      <c r="LG602" s="9"/>
      <c r="LH602" s="9"/>
      <c r="LI602" s="9"/>
      <c r="LJ602" s="9"/>
      <c r="LK602" s="9"/>
      <c r="LL602" s="9"/>
      <c r="LM602" s="9"/>
      <c r="LN602" s="9"/>
      <c r="LO602" s="9"/>
      <c r="LP602" s="9"/>
      <c r="LQ602" s="9"/>
      <c r="LR602" s="9"/>
      <c r="LS602" s="9"/>
      <c r="LT602" s="9"/>
      <c r="LU602" s="9"/>
      <c r="LV602" s="9"/>
      <c r="LW602" s="9"/>
      <c r="LX602" s="9"/>
      <c r="LY602" s="9"/>
      <c r="LZ602" s="9"/>
      <c r="MA602" s="9"/>
      <c r="MB602" s="9"/>
      <c r="MC602" s="9"/>
      <c r="MD602" s="9"/>
      <c r="ME602" s="9"/>
      <c r="MF602" s="9"/>
      <c r="MG602" s="9"/>
      <c r="MH602" s="9"/>
      <c r="MI602" s="9"/>
      <c r="MJ602" s="9"/>
      <c r="MK602" s="9"/>
      <c r="ML602" s="9"/>
      <c r="MM602" s="9"/>
      <c r="MN602" s="9"/>
      <c r="MO602" s="9"/>
      <c r="MP602" s="9"/>
      <c r="MQ602" s="9"/>
      <c r="MR602" s="9"/>
      <c r="MS602" s="9"/>
      <c r="MT602" s="9"/>
      <c r="MU602" s="9"/>
      <c r="MV602" s="9"/>
      <c r="MW602" s="9"/>
      <c r="MX602" s="9"/>
      <c r="MY602" s="9"/>
      <c r="MZ602" s="9"/>
      <c r="NA602" s="9"/>
      <c r="NB602" s="9"/>
      <c r="NC602" s="9"/>
      <c r="ND602" s="9"/>
      <c r="NE602" s="9"/>
      <c r="NF602" s="9"/>
      <c r="NG602" s="9"/>
      <c r="NH602" s="9"/>
      <c r="NI602" s="9"/>
      <c r="NJ602" s="9"/>
      <c r="NK602" s="9"/>
      <c r="NL602" s="9"/>
      <c r="NM602" s="9"/>
      <c r="NN602" s="9"/>
      <c r="NO602" s="9"/>
      <c r="NP602" s="9"/>
      <c r="NQ602" s="9"/>
      <c r="NR602" s="9"/>
      <c r="NS602" s="9"/>
      <c r="NT602" s="9"/>
      <c r="NU602" s="9"/>
      <c r="NV602" s="9"/>
      <c r="NW602" s="9"/>
      <c r="NX602" s="9"/>
      <c r="NY602" s="9"/>
      <c r="NZ602" s="9"/>
      <c r="OA602" s="9"/>
      <c r="OB602" s="9"/>
      <c r="OC602" s="9"/>
      <c r="OD602" s="9"/>
      <c r="OE602" s="9"/>
      <c r="OF602" s="9"/>
      <c r="OG602" s="9"/>
      <c r="OH602" s="9"/>
      <c r="OI602" s="9"/>
      <c r="OJ602" s="9"/>
      <c r="OK602" s="9"/>
      <c r="OL602" s="9"/>
      <c r="OM602" s="9"/>
      <c r="ON602" s="9"/>
      <c r="OO602" s="9"/>
      <c r="OP602" s="9"/>
      <c r="OQ602" s="9"/>
      <c r="OR602" s="9"/>
      <c r="OS602" s="9"/>
      <c r="OT602" s="9"/>
      <c r="OU602" s="9"/>
      <c r="OV602" s="9"/>
      <c r="OW602" s="9"/>
      <c r="OX602" s="9"/>
      <c r="OY602" s="9"/>
      <c r="OZ602" s="9"/>
      <c r="PA602" s="9"/>
      <c r="PB602" s="9"/>
      <c r="PC602" s="9"/>
      <c r="PD602" s="9"/>
      <c r="PE602" s="9"/>
      <c r="PF602" s="9"/>
      <c r="PG602" s="9"/>
      <c r="PH602" s="9"/>
      <c r="PI602" s="9"/>
      <c r="PJ602" s="9"/>
      <c r="PK602" s="9"/>
      <c r="PL602" s="9"/>
      <c r="PM602" s="9"/>
      <c r="PN602" s="9"/>
      <c r="PO602" s="9"/>
      <c r="PP602" s="9"/>
      <c r="PQ602" s="9"/>
      <c r="PR602" s="9"/>
      <c r="PS602" s="9"/>
      <c r="PT602" s="9"/>
      <c r="PU602" s="9"/>
      <c r="PV602" s="9"/>
      <c r="PW602" s="9"/>
      <c r="PX602" s="9"/>
      <c r="PY602" s="9"/>
      <c r="PZ602" s="9"/>
      <c r="QA602" s="9"/>
      <c r="QB602" s="9"/>
      <c r="QC602" s="9"/>
      <c r="QD602" s="9"/>
      <c r="QE602" s="9"/>
      <c r="QF602" s="9"/>
      <c r="QG602" s="9"/>
      <c r="QH602" s="9"/>
      <c r="QI602" s="9"/>
      <c r="QJ602" s="9"/>
      <c r="QK602" s="9"/>
      <c r="QL602" s="9"/>
      <c r="QM602" s="9"/>
      <c r="QN602" s="9"/>
      <c r="QO602" s="9"/>
      <c r="QP602" s="9"/>
      <c r="QQ602" s="9"/>
      <c r="QR602" s="9"/>
      <c r="QS602" s="9"/>
      <c r="QT602" s="9"/>
      <c r="QU602" s="9"/>
      <c r="QV602" s="9"/>
      <c r="QW602" s="9"/>
      <c r="QX602" s="9"/>
      <c r="QY602" s="9"/>
      <c r="QZ602" s="9"/>
      <c r="RA602" s="9"/>
      <c r="RB602" s="9"/>
      <c r="RC602" s="9"/>
      <c r="RD602" s="9"/>
      <c r="RE602" s="9"/>
      <c r="RF602" s="9"/>
      <c r="RG602" s="9"/>
      <c r="RH602" s="9"/>
      <c r="RI602" s="9"/>
      <c r="RJ602" s="9"/>
      <c r="RK602" s="9"/>
      <c r="RL602" s="9"/>
      <c r="RM602" s="9"/>
      <c r="RN602" s="9"/>
      <c r="RO602" s="9"/>
      <c r="RP602" s="9"/>
      <c r="RQ602" s="9"/>
      <c r="RR602" s="9"/>
      <c r="RS602" s="9"/>
      <c r="RT602" s="9"/>
      <c r="RU602" s="9"/>
      <c r="RV602" s="9"/>
      <c r="RW602" s="9"/>
      <c r="RX602" s="9"/>
      <c r="RY602" s="9"/>
      <c r="RZ602" s="9"/>
      <c r="SA602" s="9"/>
      <c r="SB602" s="9"/>
      <c r="SC602" s="9"/>
      <c r="SD602" s="9"/>
      <c r="SE602" s="9"/>
      <c r="SF602" s="9"/>
      <c r="SG602" s="9"/>
      <c r="SH602" s="9"/>
      <c r="SI602" s="9"/>
      <c r="SJ602" s="9"/>
      <c r="SK602" s="9"/>
      <c r="SL602" s="9"/>
      <c r="SM602" s="9"/>
      <c r="SN602" s="9"/>
      <c r="SO602" s="9"/>
      <c r="SP602" s="9"/>
      <c r="SQ602" s="9"/>
      <c r="SR602" s="9"/>
      <c r="SS602" s="9"/>
      <c r="ST602" s="9"/>
      <c r="SU602" s="9"/>
      <c r="SV602" s="9"/>
      <c r="SW602" s="9"/>
      <c r="SX602" s="9"/>
      <c r="SY602" s="9"/>
      <c r="SZ602" s="9"/>
      <c r="TA602" s="9"/>
      <c r="TB602" s="9"/>
      <c r="TC602" s="9"/>
      <c r="TD602" s="9"/>
      <c r="TE602" s="9"/>
      <c r="TF602" s="9"/>
      <c r="TG602" s="9"/>
      <c r="TH602" s="9"/>
      <c r="TI602" s="9"/>
      <c r="TJ602" s="9"/>
      <c r="TK602" s="9"/>
      <c r="TL602" s="9"/>
      <c r="TM602" s="9"/>
      <c r="TN602" s="9"/>
      <c r="TO602" s="9"/>
      <c r="TP602" s="9"/>
      <c r="TQ602" s="9"/>
      <c r="TR602" s="9"/>
      <c r="TS602" s="9"/>
      <c r="TT602" s="9"/>
      <c r="TU602" s="9"/>
      <c r="TV602" s="9"/>
      <c r="TW602" s="9"/>
      <c r="TX602" s="9"/>
      <c r="TY602" s="9"/>
      <c r="TZ602" s="9"/>
      <c r="UA602" s="9"/>
      <c r="UB602" s="9"/>
      <c r="UC602" s="9"/>
      <c r="UD602" s="9"/>
      <c r="UE602" s="9"/>
      <c r="UF602" s="9"/>
      <c r="UG602" s="9"/>
      <c r="UH602" s="9"/>
      <c r="UI602" s="9"/>
      <c r="UJ602" s="9"/>
    </row>
    <row r="603">
      <c r="A603" s="8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  <c r="IC603" s="9"/>
      <c r="ID603" s="9"/>
      <c r="IE603" s="9"/>
      <c r="IF603" s="9"/>
      <c r="IG603" s="9"/>
      <c r="IH603" s="9"/>
      <c r="II603" s="9"/>
      <c r="IJ603" s="9"/>
      <c r="IK603" s="9"/>
      <c r="IL603" s="9"/>
      <c r="IM603" s="9"/>
      <c r="IN603" s="9"/>
      <c r="IO603" s="9"/>
      <c r="IP603" s="9"/>
      <c r="IQ603" s="9"/>
      <c r="IR603" s="9"/>
      <c r="IS603" s="9"/>
      <c r="IT603" s="9"/>
      <c r="IU603" s="9"/>
      <c r="IV603" s="9"/>
      <c r="IW603" s="9"/>
      <c r="IX603" s="9"/>
      <c r="IY603" s="9"/>
      <c r="IZ603" s="9"/>
      <c r="JA603" s="9"/>
      <c r="JB603" s="9"/>
      <c r="JC603" s="9"/>
      <c r="JD603" s="9"/>
      <c r="JE603" s="9"/>
      <c r="JF603" s="9"/>
      <c r="JG603" s="9"/>
      <c r="JH603" s="9"/>
      <c r="JI603" s="9"/>
      <c r="JJ603" s="9"/>
      <c r="JK603" s="9"/>
      <c r="JL603" s="9"/>
      <c r="JM603" s="9"/>
      <c r="JN603" s="9"/>
      <c r="JO603" s="9"/>
      <c r="JP603" s="9"/>
      <c r="JQ603" s="9"/>
      <c r="JR603" s="9"/>
      <c r="JS603" s="9"/>
      <c r="JT603" s="9"/>
      <c r="JU603" s="9"/>
      <c r="JV603" s="9"/>
      <c r="JW603" s="9"/>
      <c r="JX603" s="9"/>
      <c r="JY603" s="9"/>
      <c r="JZ603" s="9"/>
      <c r="KA603" s="9"/>
      <c r="KB603" s="9"/>
      <c r="KC603" s="9"/>
      <c r="KD603" s="9"/>
      <c r="KE603" s="9"/>
      <c r="KF603" s="9"/>
      <c r="KG603" s="9"/>
      <c r="KH603" s="9"/>
      <c r="KI603" s="9"/>
      <c r="KJ603" s="9"/>
      <c r="KK603" s="9"/>
      <c r="KL603" s="9"/>
      <c r="KM603" s="9"/>
      <c r="KN603" s="9"/>
      <c r="KO603" s="9"/>
      <c r="KP603" s="9"/>
      <c r="KQ603" s="9"/>
      <c r="KR603" s="9"/>
      <c r="KS603" s="9"/>
      <c r="KT603" s="9"/>
      <c r="KU603" s="9"/>
      <c r="KV603" s="9"/>
      <c r="KW603" s="9"/>
      <c r="KX603" s="9"/>
      <c r="KY603" s="9"/>
      <c r="KZ603" s="9"/>
      <c r="LA603" s="9"/>
      <c r="LB603" s="9"/>
      <c r="LC603" s="9"/>
      <c r="LD603" s="9"/>
      <c r="LE603" s="9"/>
      <c r="LF603" s="9"/>
      <c r="LG603" s="9"/>
      <c r="LH603" s="9"/>
      <c r="LI603" s="9"/>
      <c r="LJ603" s="9"/>
      <c r="LK603" s="9"/>
      <c r="LL603" s="9"/>
      <c r="LM603" s="9"/>
      <c r="LN603" s="9"/>
      <c r="LO603" s="9"/>
      <c r="LP603" s="9"/>
      <c r="LQ603" s="9"/>
      <c r="LR603" s="9"/>
      <c r="LS603" s="9"/>
      <c r="LT603" s="9"/>
      <c r="LU603" s="9"/>
      <c r="LV603" s="9"/>
      <c r="LW603" s="9"/>
      <c r="LX603" s="9"/>
      <c r="LY603" s="9"/>
      <c r="LZ603" s="9"/>
      <c r="MA603" s="9"/>
      <c r="MB603" s="9"/>
      <c r="MC603" s="9"/>
      <c r="MD603" s="9"/>
      <c r="ME603" s="9"/>
      <c r="MF603" s="9"/>
      <c r="MG603" s="9"/>
      <c r="MH603" s="9"/>
      <c r="MI603" s="9"/>
      <c r="MJ603" s="9"/>
      <c r="MK603" s="9"/>
      <c r="ML603" s="9"/>
      <c r="MM603" s="9"/>
      <c r="MN603" s="9"/>
      <c r="MO603" s="9"/>
      <c r="MP603" s="9"/>
      <c r="MQ603" s="9"/>
      <c r="MR603" s="9"/>
      <c r="MS603" s="9"/>
      <c r="MT603" s="9"/>
      <c r="MU603" s="9"/>
      <c r="MV603" s="9"/>
      <c r="MW603" s="9"/>
      <c r="MX603" s="9"/>
      <c r="MY603" s="9"/>
      <c r="MZ603" s="9"/>
      <c r="NA603" s="9"/>
      <c r="NB603" s="9"/>
      <c r="NC603" s="9"/>
      <c r="ND603" s="9"/>
      <c r="NE603" s="9"/>
      <c r="NF603" s="9"/>
      <c r="NG603" s="9"/>
      <c r="NH603" s="9"/>
      <c r="NI603" s="9"/>
      <c r="NJ603" s="9"/>
      <c r="NK603" s="9"/>
      <c r="NL603" s="9"/>
      <c r="NM603" s="9"/>
      <c r="NN603" s="9"/>
      <c r="NO603" s="9"/>
      <c r="NP603" s="9"/>
      <c r="NQ603" s="9"/>
      <c r="NR603" s="9"/>
      <c r="NS603" s="9"/>
      <c r="NT603" s="9"/>
      <c r="NU603" s="9"/>
      <c r="NV603" s="9"/>
      <c r="NW603" s="9"/>
      <c r="NX603" s="9"/>
      <c r="NY603" s="9"/>
      <c r="NZ603" s="9"/>
      <c r="OA603" s="9"/>
      <c r="OB603" s="9"/>
      <c r="OC603" s="9"/>
      <c r="OD603" s="9"/>
      <c r="OE603" s="9"/>
      <c r="OF603" s="9"/>
      <c r="OG603" s="9"/>
      <c r="OH603" s="9"/>
      <c r="OI603" s="9"/>
      <c r="OJ603" s="9"/>
      <c r="OK603" s="9"/>
      <c r="OL603" s="9"/>
      <c r="OM603" s="9"/>
      <c r="ON603" s="9"/>
      <c r="OO603" s="9"/>
      <c r="OP603" s="9"/>
      <c r="OQ603" s="9"/>
      <c r="OR603" s="9"/>
      <c r="OS603" s="9"/>
      <c r="OT603" s="9"/>
      <c r="OU603" s="9"/>
      <c r="OV603" s="9"/>
      <c r="OW603" s="9"/>
      <c r="OX603" s="9"/>
      <c r="OY603" s="9"/>
      <c r="OZ603" s="9"/>
      <c r="PA603" s="9"/>
      <c r="PB603" s="9"/>
      <c r="PC603" s="9"/>
      <c r="PD603" s="9"/>
      <c r="PE603" s="9"/>
      <c r="PF603" s="9"/>
      <c r="PG603" s="9"/>
      <c r="PH603" s="9"/>
      <c r="PI603" s="9"/>
      <c r="PJ603" s="9"/>
      <c r="PK603" s="9"/>
      <c r="PL603" s="9"/>
      <c r="PM603" s="9"/>
      <c r="PN603" s="9"/>
      <c r="PO603" s="9"/>
      <c r="PP603" s="9"/>
      <c r="PQ603" s="9"/>
      <c r="PR603" s="9"/>
      <c r="PS603" s="9"/>
      <c r="PT603" s="9"/>
      <c r="PU603" s="9"/>
      <c r="PV603" s="9"/>
      <c r="PW603" s="9"/>
      <c r="PX603" s="9"/>
      <c r="PY603" s="9"/>
      <c r="PZ603" s="9"/>
      <c r="QA603" s="9"/>
      <c r="QB603" s="9"/>
      <c r="QC603" s="9"/>
      <c r="QD603" s="9"/>
      <c r="QE603" s="9"/>
      <c r="QF603" s="9"/>
      <c r="QG603" s="9"/>
      <c r="QH603" s="9"/>
      <c r="QI603" s="9"/>
      <c r="QJ603" s="9"/>
      <c r="QK603" s="9"/>
      <c r="QL603" s="9"/>
      <c r="QM603" s="9"/>
      <c r="QN603" s="9"/>
      <c r="QO603" s="9"/>
      <c r="QP603" s="9"/>
      <c r="QQ603" s="9"/>
      <c r="QR603" s="9"/>
      <c r="QS603" s="9"/>
      <c r="QT603" s="9"/>
      <c r="QU603" s="9"/>
      <c r="QV603" s="9"/>
      <c r="QW603" s="9"/>
      <c r="QX603" s="9"/>
      <c r="QY603" s="9"/>
      <c r="QZ603" s="9"/>
      <c r="RA603" s="9"/>
      <c r="RB603" s="9"/>
      <c r="RC603" s="9"/>
      <c r="RD603" s="9"/>
      <c r="RE603" s="9"/>
      <c r="RF603" s="9"/>
      <c r="RG603" s="9"/>
      <c r="RH603" s="9"/>
      <c r="RI603" s="9"/>
      <c r="RJ603" s="9"/>
      <c r="RK603" s="9"/>
      <c r="RL603" s="9"/>
      <c r="RM603" s="9"/>
      <c r="RN603" s="9"/>
      <c r="RO603" s="9"/>
      <c r="RP603" s="9"/>
      <c r="RQ603" s="9"/>
      <c r="RR603" s="9"/>
      <c r="RS603" s="9"/>
      <c r="RT603" s="9"/>
      <c r="RU603" s="9"/>
      <c r="RV603" s="9"/>
      <c r="RW603" s="9"/>
      <c r="RX603" s="9"/>
      <c r="RY603" s="9"/>
      <c r="RZ603" s="9"/>
      <c r="SA603" s="9"/>
      <c r="SB603" s="9"/>
      <c r="SC603" s="9"/>
      <c r="SD603" s="9"/>
      <c r="SE603" s="9"/>
      <c r="SF603" s="9"/>
      <c r="SG603" s="9"/>
      <c r="SH603" s="9"/>
      <c r="SI603" s="9"/>
      <c r="SJ603" s="9"/>
      <c r="SK603" s="9"/>
      <c r="SL603" s="9"/>
      <c r="SM603" s="9"/>
      <c r="SN603" s="9"/>
      <c r="SO603" s="9"/>
      <c r="SP603" s="9"/>
      <c r="SQ603" s="9"/>
      <c r="SR603" s="9"/>
      <c r="SS603" s="9"/>
      <c r="ST603" s="9"/>
      <c r="SU603" s="9"/>
      <c r="SV603" s="9"/>
      <c r="SW603" s="9"/>
      <c r="SX603" s="9"/>
      <c r="SY603" s="9"/>
      <c r="SZ603" s="9"/>
      <c r="TA603" s="9"/>
      <c r="TB603" s="9"/>
      <c r="TC603" s="9"/>
      <c r="TD603" s="9"/>
      <c r="TE603" s="9"/>
      <c r="TF603" s="9"/>
      <c r="TG603" s="9"/>
      <c r="TH603" s="9"/>
      <c r="TI603" s="9"/>
      <c r="TJ603" s="9"/>
      <c r="TK603" s="9"/>
      <c r="TL603" s="9"/>
      <c r="TM603" s="9"/>
      <c r="TN603" s="9"/>
      <c r="TO603" s="9"/>
      <c r="TP603" s="9"/>
      <c r="TQ603" s="9"/>
      <c r="TR603" s="9"/>
      <c r="TS603" s="9"/>
      <c r="TT603" s="9"/>
      <c r="TU603" s="9"/>
      <c r="TV603" s="9"/>
      <c r="TW603" s="9"/>
      <c r="TX603" s="9"/>
      <c r="TY603" s="9"/>
      <c r="TZ603" s="9"/>
      <c r="UA603" s="9"/>
      <c r="UB603" s="9"/>
      <c r="UC603" s="9"/>
      <c r="UD603" s="9"/>
      <c r="UE603" s="9"/>
      <c r="UF603" s="9"/>
      <c r="UG603" s="9"/>
      <c r="UH603" s="9"/>
      <c r="UI603" s="9"/>
      <c r="UJ603" s="9"/>
    </row>
    <row r="604">
      <c r="A604" s="8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  <c r="HZ604" s="9"/>
      <c r="IA604" s="9"/>
      <c r="IB604" s="9"/>
      <c r="IC604" s="9"/>
      <c r="ID604" s="9"/>
      <c r="IE604" s="9"/>
      <c r="IF604" s="9"/>
      <c r="IG604" s="9"/>
      <c r="IH604" s="9"/>
      <c r="II604" s="9"/>
      <c r="IJ604" s="9"/>
      <c r="IK604" s="9"/>
      <c r="IL604" s="9"/>
      <c r="IM604" s="9"/>
      <c r="IN604" s="9"/>
      <c r="IO604" s="9"/>
      <c r="IP604" s="9"/>
      <c r="IQ604" s="9"/>
      <c r="IR604" s="9"/>
      <c r="IS604" s="9"/>
      <c r="IT604" s="9"/>
      <c r="IU604" s="9"/>
      <c r="IV604" s="9"/>
      <c r="IW604" s="9"/>
      <c r="IX604" s="9"/>
      <c r="IY604" s="9"/>
      <c r="IZ604" s="9"/>
      <c r="JA604" s="9"/>
      <c r="JB604" s="9"/>
      <c r="JC604" s="9"/>
      <c r="JD604" s="9"/>
      <c r="JE604" s="9"/>
      <c r="JF604" s="9"/>
      <c r="JG604" s="9"/>
      <c r="JH604" s="9"/>
      <c r="JI604" s="9"/>
      <c r="JJ604" s="9"/>
      <c r="JK604" s="9"/>
      <c r="JL604" s="9"/>
      <c r="JM604" s="9"/>
      <c r="JN604" s="9"/>
      <c r="JO604" s="9"/>
      <c r="JP604" s="9"/>
      <c r="JQ604" s="9"/>
      <c r="JR604" s="9"/>
      <c r="JS604" s="9"/>
      <c r="JT604" s="9"/>
      <c r="JU604" s="9"/>
      <c r="JV604" s="9"/>
      <c r="JW604" s="9"/>
      <c r="JX604" s="9"/>
      <c r="JY604" s="9"/>
      <c r="JZ604" s="9"/>
      <c r="KA604" s="9"/>
      <c r="KB604" s="9"/>
      <c r="KC604" s="9"/>
      <c r="KD604" s="9"/>
      <c r="KE604" s="9"/>
      <c r="KF604" s="9"/>
      <c r="KG604" s="9"/>
      <c r="KH604" s="9"/>
      <c r="KI604" s="9"/>
      <c r="KJ604" s="9"/>
      <c r="KK604" s="9"/>
      <c r="KL604" s="9"/>
      <c r="KM604" s="9"/>
      <c r="KN604" s="9"/>
      <c r="KO604" s="9"/>
      <c r="KP604" s="9"/>
      <c r="KQ604" s="9"/>
      <c r="KR604" s="9"/>
      <c r="KS604" s="9"/>
      <c r="KT604" s="9"/>
      <c r="KU604" s="9"/>
      <c r="KV604" s="9"/>
      <c r="KW604" s="9"/>
      <c r="KX604" s="9"/>
      <c r="KY604" s="9"/>
      <c r="KZ604" s="9"/>
      <c r="LA604" s="9"/>
      <c r="LB604" s="9"/>
      <c r="LC604" s="9"/>
      <c r="LD604" s="9"/>
      <c r="LE604" s="9"/>
      <c r="LF604" s="9"/>
      <c r="LG604" s="9"/>
      <c r="LH604" s="9"/>
      <c r="LI604" s="9"/>
      <c r="LJ604" s="9"/>
      <c r="LK604" s="9"/>
      <c r="LL604" s="9"/>
      <c r="LM604" s="9"/>
      <c r="LN604" s="9"/>
      <c r="LO604" s="9"/>
      <c r="LP604" s="9"/>
      <c r="LQ604" s="9"/>
      <c r="LR604" s="9"/>
      <c r="LS604" s="9"/>
      <c r="LT604" s="9"/>
      <c r="LU604" s="9"/>
      <c r="LV604" s="9"/>
      <c r="LW604" s="9"/>
      <c r="LX604" s="9"/>
      <c r="LY604" s="9"/>
      <c r="LZ604" s="9"/>
      <c r="MA604" s="9"/>
      <c r="MB604" s="9"/>
      <c r="MC604" s="9"/>
      <c r="MD604" s="9"/>
      <c r="ME604" s="9"/>
      <c r="MF604" s="9"/>
      <c r="MG604" s="9"/>
      <c r="MH604" s="9"/>
      <c r="MI604" s="9"/>
      <c r="MJ604" s="9"/>
      <c r="MK604" s="9"/>
      <c r="ML604" s="9"/>
      <c r="MM604" s="9"/>
      <c r="MN604" s="9"/>
      <c r="MO604" s="9"/>
      <c r="MP604" s="9"/>
      <c r="MQ604" s="9"/>
      <c r="MR604" s="9"/>
      <c r="MS604" s="9"/>
      <c r="MT604" s="9"/>
      <c r="MU604" s="9"/>
      <c r="MV604" s="9"/>
      <c r="MW604" s="9"/>
      <c r="MX604" s="9"/>
      <c r="MY604" s="9"/>
      <c r="MZ604" s="9"/>
      <c r="NA604" s="9"/>
      <c r="NB604" s="9"/>
      <c r="NC604" s="9"/>
      <c r="ND604" s="9"/>
      <c r="NE604" s="9"/>
      <c r="NF604" s="9"/>
      <c r="NG604" s="9"/>
      <c r="NH604" s="9"/>
      <c r="NI604" s="9"/>
      <c r="NJ604" s="9"/>
      <c r="NK604" s="9"/>
      <c r="NL604" s="9"/>
      <c r="NM604" s="9"/>
      <c r="NN604" s="9"/>
      <c r="NO604" s="9"/>
      <c r="NP604" s="9"/>
      <c r="NQ604" s="9"/>
      <c r="NR604" s="9"/>
      <c r="NS604" s="9"/>
      <c r="NT604" s="9"/>
      <c r="NU604" s="9"/>
      <c r="NV604" s="9"/>
      <c r="NW604" s="9"/>
      <c r="NX604" s="9"/>
      <c r="NY604" s="9"/>
      <c r="NZ604" s="9"/>
      <c r="OA604" s="9"/>
      <c r="OB604" s="9"/>
      <c r="OC604" s="9"/>
      <c r="OD604" s="9"/>
      <c r="OE604" s="9"/>
      <c r="OF604" s="9"/>
      <c r="OG604" s="9"/>
      <c r="OH604" s="9"/>
      <c r="OI604" s="9"/>
      <c r="OJ604" s="9"/>
      <c r="OK604" s="9"/>
      <c r="OL604" s="9"/>
      <c r="OM604" s="9"/>
      <c r="ON604" s="9"/>
      <c r="OO604" s="9"/>
      <c r="OP604" s="9"/>
      <c r="OQ604" s="9"/>
      <c r="OR604" s="9"/>
      <c r="OS604" s="9"/>
      <c r="OT604" s="9"/>
      <c r="OU604" s="9"/>
      <c r="OV604" s="9"/>
      <c r="OW604" s="9"/>
      <c r="OX604" s="9"/>
      <c r="OY604" s="9"/>
      <c r="OZ604" s="9"/>
      <c r="PA604" s="9"/>
      <c r="PB604" s="9"/>
      <c r="PC604" s="9"/>
      <c r="PD604" s="9"/>
      <c r="PE604" s="9"/>
      <c r="PF604" s="9"/>
      <c r="PG604" s="9"/>
      <c r="PH604" s="9"/>
      <c r="PI604" s="9"/>
      <c r="PJ604" s="9"/>
      <c r="PK604" s="9"/>
      <c r="PL604" s="9"/>
      <c r="PM604" s="9"/>
      <c r="PN604" s="9"/>
      <c r="PO604" s="9"/>
      <c r="PP604" s="9"/>
      <c r="PQ604" s="9"/>
      <c r="PR604" s="9"/>
      <c r="PS604" s="9"/>
      <c r="PT604" s="9"/>
      <c r="PU604" s="9"/>
      <c r="PV604" s="9"/>
      <c r="PW604" s="9"/>
      <c r="PX604" s="9"/>
      <c r="PY604" s="9"/>
      <c r="PZ604" s="9"/>
      <c r="QA604" s="9"/>
      <c r="QB604" s="9"/>
      <c r="QC604" s="9"/>
      <c r="QD604" s="9"/>
      <c r="QE604" s="9"/>
      <c r="QF604" s="9"/>
      <c r="QG604" s="9"/>
      <c r="QH604" s="9"/>
      <c r="QI604" s="9"/>
      <c r="QJ604" s="9"/>
      <c r="QK604" s="9"/>
      <c r="QL604" s="9"/>
      <c r="QM604" s="9"/>
      <c r="QN604" s="9"/>
      <c r="QO604" s="9"/>
      <c r="QP604" s="9"/>
      <c r="QQ604" s="9"/>
      <c r="QR604" s="9"/>
      <c r="QS604" s="9"/>
      <c r="QT604" s="9"/>
      <c r="QU604" s="9"/>
      <c r="QV604" s="9"/>
      <c r="QW604" s="9"/>
      <c r="QX604" s="9"/>
      <c r="QY604" s="9"/>
      <c r="QZ604" s="9"/>
      <c r="RA604" s="9"/>
      <c r="RB604" s="9"/>
      <c r="RC604" s="9"/>
      <c r="RD604" s="9"/>
      <c r="RE604" s="9"/>
      <c r="RF604" s="9"/>
      <c r="RG604" s="9"/>
      <c r="RH604" s="9"/>
      <c r="RI604" s="9"/>
      <c r="RJ604" s="9"/>
      <c r="RK604" s="9"/>
      <c r="RL604" s="9"/>
      <c r="RM604" s="9"/>
      <c r="RN604" s="9"/>
      <c r="RO604" s="9"/>
      <c r="RP604" s="9"/>
      <c r="RQ604" s="9"/>
      <c r="RR604" s="9"/>
      <c r="RS604" s="9"/>
      <c r="RT604" s="9"/>
      <c r="RU604" s="9"/>
      <c r="RV604" s="9"/>
      <c r="RW604" s="9"/>
      <c r="RX604" s="9"/>
      <c r="RY604" s="9"/>
      <c r="RZ604" s="9"/>
      <c r="SA604" s="9"/>
      <c r="SB604" s="9"/>
      <c r="SC604" s="9"/>
      <c r="SD604" s="9"/>
      <c r="SE604" s="9"/>
      <c r="SF604" s="9"/>
      <c r="SG604" s="9"/>
      <c r="SH604" s="9"/>
      <c r="SI604" s="9"/>
      <c r="SJ604" s="9"/>
      <c r="SK604" s="9"/>
      <c r="SL604" s="9"/>
      <c r="SM604" s="9"/>
      <c r="SN604" s="9"/>
      <c r="SO604" s="9"/>
      <c r="SP604" s="9"/>
      <c r="SQ604" s="9"/>
      <c r="SR604" s="9"/>
      <c r="SS604" s="9"/>
      <c r="ST604" s="9"/>
      <c r="SU604" s="9"/>
      <c r="SV604" s="9"/>
      <c r="SW604" s="9"/>
      <c r="SX604" s="9"/>
      <c r="SY604" s="9"/>
      <c r="SZ604" s="9"/>
      <c r="TA604" s="9"/>
      <c r="TB604" s="9"/>
      <c r="TC604" s="9"/>
      <c r="TD604" s="9"/>
      <c r="TE604" s="9"/>
      <c r="TF604" s="9"/>
      <c r="TG604" s="9"/>
      <c r="TH604" s="9"/>
      <c r="TI604" s="9"/>
      <c r="TJ604" s="9"/>
      <c r="TK604" s="9"/>
      <c r="TL604" s="9"/>
      <c r="TM604" s="9"/>
      <c r="TN604" s="9"/>
      <c r="TO604" s="9"/>
      <c r="TP604" s="9"/>
      <c r="TQ604" s="9"/>
      <c r="TR604" s="9"/>
      <c r="TS604" s="9"/>
      <c r="TT604" s="9"/>
      <c r="TU604" s="9"/>
      <c r="TV604" s="9"/>
      <c r="TW604" s="9"/>
      <c r="TX604" s="9"/>
      <c r="TY604" s="9"/>
      <c r="TZ604" s="9"/>
      <c r="UA604" s="9"/>
      <c r="UB604" s="9"/>
      <c r="UC604" s="9"/>
      <c r="UD604" s="9"/>
      <c r="UE604" s="9"/>
      <c r="UF604" s="9"/>
      <c r="UG604" s="9"/>
      <c r="UH604" s="9"/>
      <c r="UI604" s="9"/>
      <c r="UJ604" s="9"/>
    </row>
    <row r="605">
      <c r="A605" s="8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  <c r="IC605" s="9"/>
      <c r="ID605" s="9"/>
      <c r="IE605" s="9"/>
      <c r="IF605" s="9"/>
      <c r="IG605" s="9"/>
      <c r="IH605" s="9"/>
      <c r="II605" s="9"/>
      <c r="IJ605" s="9"/>
      <c r="IK605" s="9"/>
      <c r="IL605" s="9"/>
      <c r="IM605" s="9"/>
      <c r="IN605" s="9"/>
      <c r="IO605" s="9"/>
      <c r="IP605" s="9"/>
      <c r="IQ605" s="9"/>
      <c r="IR605" s="9"/>
      <c r="IS605" s="9"/>
      <c r="IT605" s="9"/>
      <c r="IU605" s="9"/>
      <c r="IV605" s="9"/>
      <c r="IW605" s="9"/>
      <c r="IX605" s="9"/>
      <c r="IY605" s="9"/>
      <c r="IZ605" s="9"/>
      <c r="JA605" s="9"/>
      <c r="JB605" s="9"/>
      <c r="JC605" s="9"/>
      <c r="JD605" s="9"/>
      <c r="JE605" s="9"/>
      <c r="JF605" s="9"/>
      <c r="JG605" s="9"/>
      <c r="JH605" s="9"/>
      <c r="JI605" s="9"/>
      <c r="JJ605" s="9"/>
      <c r="JK605" s="9"/>
      <c r="JL605" s="9"/>
      <c r="JM605" s="9"/>
      <c r="JN605" s="9"/>
      <c r="JO605" s="9"/>
      <c r="JP605" s="9"/>
      <c r="JQ605" s="9"/>
      <c r="JR605" s="9"/>
      <c r="JS605" s="9"/>
      <c r="JT605" s="9"/>
      <c r="JU605" s="9"/>
      <c r="JV605" s="9"/>
      <c r="JW605" s="9"/>
      <c r="JX605" s="9"/>
      <c r="JY605" s="9"/>
      <c r="JZ605" s="9"/>
      <c r="KA605" s="9"/>
      <c r="KB605" s="9"/>
      <c r="KC605" s="9"/>
      <c r="KD605" s="9"/>
      <c r="KE605" s="9"/>
      <c r="KF605" s="9"/>
      <c r="KG605" s="9"/>
      <c r="KH605" s="9"/>
      <c r="KI605" s="9"/>
      <c r="KJ605" s="9"/>
      <c r="KK605" s="9"/>
      <c r="KL605" s="9"/>
      <c r="KM605" s="9"/>
      <c r="KN605" s="9"/>
      <c r="KO605" s="9"/>
      <c r="KP605" s="9"/>
      <c r="KQ605" s="9"/>
      <c r="KR605" s="9"/>
      <c r="KS605" s="9"/>
      <c r="KT605" s="9"/>
      <c r="KU605" s="9"/>
      <c r="KV605" s="9"/>
      <c r="KW605" s="9"/>
      <c r="KX605" s="9"/>
      <c r="KY605" s="9"/>
      <c r="KZ605" s="9"/>
      <c r="LA605" s="9"/>
      <c r="LB605" s="9"/>
      <c r="LC605" s="9"/>
      <c r="LD605" s="9"/>
      <c r="LE605" s="9"/>
      <c r="LF605" s="9"/>
      <c r="LG605" s="9"/>
      <c r="LH605" s="9"/>
      <c r="LI605" s="9"/>
      <c r="LJ605" s="9"/>
      <c r="LK605" s="9"/>
      <c r="LL605" s="9"/>
      <c r="LM605" s="9"/>
      <c r="LN605" s="9"/>
      <c r="LO605" s="9"/>
      <c r="LP605" s="9"/>
      <c r="LQ605" s="9"/>
      <c r="LR605" s="9"/>
      <c r="LS605" s="9"/>
      <c r="LT605" s="9"/>
      <c r="LU605" s="9"/>
      <c r="LV605" s="9"/>
      <c r="LW605" s="9"/>
      <c r="LX605" s="9"/>
      <c r="LY605" s="9"/>
      <c r="LZ605" s="9"/>
      <c r="MA605" s="9"/>
      <c r="MB605" s="9"/>
      <c r="MC605" s="9"/>
      <c r="MD605" s="9"/>
      <c r="ME605" s="9"/>
      <c r="MF605" s="9"/>
      <c r="MG605" s="9"/>
      <c r="MH605" s="9"/>
      <c r="MI605" s="9"/>
      <c r="MJ605" s="9"/>
      <c r="MK605" s="9"/>
      <c r="ML605" s="9"/>
      <c r="MM605" s="9"/>
      <c r="MN605" s="9"/>
      <c r="MO605" s="9"/>
      <c r="MP605" s="9"/>
      <c r="MQ605" s="9"/>
      <c r="MR605" s="9"/>
      <c r="MS605" s="9"/>
      <c r="MT605" s="9"/>
      <c r="MU605" s="9"/>
      <c r="MV605" s="9"/>
      <c r="MW605" s="9"/>
      <c r="MX605" s="9"/>
      <c r="MY605" s="9"/>
      <c r="MZ605" s="9"/>
      <c r="NA605" s="9"/>
      <c r="NB605" s="9"/>
      <c r="NC605" s="9"/>
      <c r="ND605" s="9"/>
      <c r="NE605" s="9"/>
      <c r="NF605" s="9"/>
      <c r="NG605" s="9"/>
      <c r="NH605" s="9"/>
      <c r="NI605" s="9"/>
      <c r="NJ605" s="9"/>
      <c r="NK605" s="9"/>
      <c r="NL605" s="9"/>
      <c r="NM605" s="9"/>
      <c r="NN605" s="9"/>
      <c r="NO605" s="9"/>
      <c r="NP605" s="9"/>
      <c r="NQ605" s="9"/>
      <c r="NR605" s="9"/>
      <c r="NS605" s="9"/>
      <c r="NT605" s="9"/>
      <c r="NU605" s="9"/>
      <c r="NV605" s="9"/>
      <c r="NW605" s="9"/>
      <c r="NX605" s="9"/>
      <c r="NY605" s="9"/>
      <c r="NZ605" s="9"/>
      <c r="OA605" s="9"/>
      <c r="OB605" s="9"/>
      <c r="OC605" s="9"/>
      <c r="OD605" s="9"/>
      <c r="OE605" s="9"/>
      <c r="OF605" s="9"/>
      <c r="OG605" s="9"/>
      <c r="OH605" s="9"/>
      <c r="OI605" s="9"/>
      <c r="OJ605" s="9"/>
      <c r="OK605" s="9"/>
      <c r="OL605" s="9"/>
      <c r="OM605" s="9"/>
      <c r="ON605" s="9"/>
      <c r="OO605" s="9"/>
      <c r="OP605" s="9"/>
      <c r="OQ605" s="9"/>
      <c r="OR605" s="9"/>
      <c r="OS605" s="9"/>
      <c r="OT605" s="9"/>
      <c r="OU605" s="9"/>
      <c r="OV605" s="9"/>
      <c r="OW605" s="9"/>
      <c r="OX605" s="9"/>
      <c r="OY605" s="9"/>
      <c r="OZ605" s="9"/>
      <c r="PA605" s="9"/>
      <c r="PB605" s="9"/>
      <c r="PC605" s="9"/>
      <c r="PD605" s="9"/>
      <c r="PE605" s="9"/>
      <c r="PF605" s="9"/>
      <c r="PG605" s="9"/>
      <c r="PH605" s="9"/>
      <c r="PI605" s="9"/>
      <c r="PJ605" s="9"/>
      <c r="PK605" s="9"/>
      <c r="PL605" s="9"/>
      <c r="PM605" s="9"/>
      <c r="PN605" s="9"/>
      <c r="PO605" s="9"/>
      <c r="PP605" s="9"/>
      <c r="PQ605" s="9"/>
      <c r="PR605" s="9"/>
      <c r="PS605" s="9"/>
      <c r="PT605" s="9"/>
      <c r="PU605" s="9"/>
      <c r="PV605" s="9"/>
      <c r="PW605" s="9"/>
      <c r="PX605" s="9"/>
      <c r="PY605" s="9"/>
      <c r="PZ605" s="9"/>
      <c r="QA605" s="9"/>
      <c r="QB605" s="9"/>
      <c r="QC605" s="9"/>
      <c r="QD605" s="9"/>
      <c r="QE605" s="9"/>
      <c r="QF605" s="9"/>
      <c r="QG605" s="9"/>
      <c r="QH605" s="9"/>
      <c r="QI605" s="9"/>
      <c r="QJ605" s="9"/>
      <c r="QK605" s="9"/>
      <c r="QL605" s="9"/>
      <c r="QM605" s="9"/>
      <c r="QN605" s="9"/>
      <c r="QO605" s="9"/>
      <c r="QP605" s="9"/>
      <c r="QQ605" s="9"/>
      <c r="QR605" s="9"/>
      <c r="QS605" s="9"/>
      <c r="QT605" s="9"/>
      <c r="QU605" s="9"/>
      <c r="QV605" s="9"/>
      <c r="QW605" s="9"/>
      <c r="QX605" s="9"/>
      <c r="QY605" s="9"/>
      <c r="QZ605" s="9"/>
      <c r="RA605" s="9"/>
      <c r="RB605" s="9"/>
      <c r="RC605" s="9"/>
      <c r="RD605" s="9"/>
      <c r="RE605" s="9"/>
      <c r="RF605" s="9"/>
      <c r="RG605" s="9"/>
      <c r="RH605" s="9"/>
      <c r="RI605" s="9"/>
      <c r="RJ605" s="9"/>
      <c r="RK605" s="9"/>
      <c r="RL605" s="9"/>
      <c r="RM605" s="9"/>
      <c r="RN605" s="9"/>
      <c r="RO605" s="9"/>
      <c r="RP605" s="9"/>
      <c r="RQ605" s="9"/>
      <c r="RR605" s="9"/>
      <c r="RS605" s="9"/>
      <c r="RT605" s="9"/>
      <c r="RU605" s="9"/>
      <c r="RV605" s="9"/>
      <c r="RW605" s="9"/>
      <c r="RX605" s="9"/>
      <c r="RY605" s="9"/>
      <c r="RZ605" s="9"/>
      <c r="SA605" s="9"/>
      <c r="SB605" s="9"/>
      <c r="SC605" s="9"/>
      <c r="SD605" s="9"/>
      <c r="SE605" s="9"/>
      <c r="SF605" s="9"/>
      <c r="SG605" s="9"/>
      <c r="SH605" s="9"/>
      <c r="SI605" s="9"/>
      <c r="SJ605" s="9"/>
      <c r="SK605" s="9"/>
      <c r="SL605" s="9"/>
      <c r="SM605" s="9"/>
      <c r="SN605" s="9"/>
      <c r="SO605" s="9"/>
      <c r="SP605" s="9"/>
      <c r="SQ605" s="9"/>
      <c r="SR605" s="9"/>
      <c r="SS605" s="9"/>
      <c r="ST605" s="9"/>
      <c r="SU605" s="9"/>
      <c r="SV605" s="9"/>
      <c r="SW605" s="9"/>
      <c r="SX605" s="9"/>
      <c r="SY605" s="9"/>
      <c r="SZ605" s="9"/>
      <c r="TA605" s="9"/>
      <c r="TB605" s="9"/>
      <c r="TC605" s="9"/>
      <c r="TD605" s="9"/>
      <c r="TE605" s="9"/>
      <c r="TF605" s="9"/>
      <c r="TG605" s="9"/>
      <c r="TH605" s="9"/>
      <c r="TI605" s="9"/>
      <c r="TJ605" s="9"/>
      <c r="TK605" s="9"/>
      <c r="TL605" s="9"/>
      <c r="TM605" s="9"/>
      <c r="TN605" s="9"/>
      <c r="TO605" s="9"/>
      <c r="TP605" s="9"/>
      <c r="TQ605" s="9"/>
      <c r="TR605" s="9"/>
      <c r="TS605" s="9"/>
      <c r="TT605" s="9"/>
      <c r="TU605" s="9"/>
      <c r="TV605" s="9"/>
      <c r="TW605" s="9"/>
      <c r="TX605" s="9"/>
      <c r="TY605" s="9"/>
      <c r="TZ605" s="9"/>
      <c r="UA605" s="9"/>
      <c r="UB605" s="9"/>
      <c r="UC605" s="9"/>
      <c r="UD605" s="9"/>
      <c r="UE605" s="9"/>
      <c r="UF605" s="9"/>
      <c r="UG605" s="9"/>
      <c r="UH605" s="9"/>
      <c r="UI605" s="9"/>
      <c r="UJ605" s="9"/>
    </row>
    <row r="606">
      <c r="A606" s="8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  <c r="HZ606" s="9"/>
      <c r="IA606" s="9"/>
      <c r="IB606" s="9"/>
      <c r="IC606" s="9"/>
      <c r="ID606" s="9"/>
      <c r="IE606" s="9"/>
      <c r="IF606" s="9"/>
      <c r="IG606" s="9"/>
      <c r="IH606" s="9"/>
      <c r="II606" s="9"/>
      <c r="IJ606" s="9"/>
      <c r="IK606" s="9"/>
      <c r="IL606" s="9"/>
      <c r="IM606" s="9"/>
      <c r="IN606" s="9"/>
      <c r="IO606" s="9"/>
      <c r="IP606" s="9"/>
      <c r="IQ606" s="9"/>
      <c r="IR606" s="9"/>
      <c r="IS606" s="9"/>
      <c r="IT606" s="9"/>
      <c r="IU606" s="9"/>
      <c r="IV606" s="9"/>
      <c r="IW606" s="9"/>
      <c r="IX606" s="9"/>
      <c r="IY606" s="9"/>
      <c r="IZ606" s="9"/>
      <c r="JA606" s="9"/>
      <c r="JB606" s="9"/>
      <c r="JC606" s="9"/>
      <c r="JD606" s="9"/>
      <c r="JE606" s="9"/>
      <c r="JF606" s="9"/>
      <c r="JG606" s="9"/>
      <c r="JH606" s="9"/>
      <c r="JI606" s="9"/>
      <c r="JJ606" s="9"/>
      <c r="JK606" s="9"/>
      <c r="JL606" s="9"/>
      <c r="JM606" s="9"/>
      <c r="JN606" s="9"/>
      <c r="JO606" s="9"/>
      <c r="JP606" s="9"/>
      <c r="JQ606" s="9"/>
      <c r="JR606" s="9"/>
      <c r="JS606" s="9"/>
      <c r="JT606" s="9"/>
      <c r="JU606" s="9"/>
      <c r="JV606" s="9"/>
      <c r="JW606" s="9"/>
      <c r="JX606" s="9"/>
      <c r="JY606" s="9"/>
      <c r="JZ606" s="9"/>
      <c r="KA606" s="9"/>
      <c r="KB606" s="9"/>
      <c r="KC606" s="9"/>
      <c r="KD606" s="9"/>
      <c r="KE606" s="9"/>
      <c r="KF606" s="9"/>
      <c r="KG606" s="9"/>
      <c r="KH606" s="9"/>
      <c r="KI606" s="9"/>
      <c r="KJ606" s="9"/>
      <c r="KK606" s="9"/>
      <c r="KL606" s="9"/>
      <c r="KM606" s="9"/>
      <c r="KN606" s="9"/>
      <c r="KO606" s="9"/>
      <c r="KP606" s="9"/>
      <c r="KQ606" s="9"/>
      <c r="KR606" s="9"/>
      <c r="KS606" s="9"/>
      <c r="KT606" s="9"/>
      <c r="KU606" s="9"/>
      <c r="KV606" s="9"/>
      <c r="KW606" s="9"/>
      <c r="KX606" s="9"/>
      <c r="KY606" s="9"/>
      <c r="KZ606" s="9"/>
      <c r="LA606" s="9"/>
      <c r="LB606" s="9"/>
      <c r="LC606" s="9"/>
      <c r="LD606" s="9"/>
      <c r="LE606" s="9"/>
      <c r="LF606" s="9"/>
      <c r="LG606" s="9"/>
      <c r="LH606" s="9"/>
      <c r="LI606" s="9"/>
      <c r="LJ606" s="9"/>
      <c r="LK606" s="9"/>
      <c r="LL606" s="9"/>
      <c r="LM606" s="9"/>
      <c r="LN606" s="9"/>
      <c r="LO606" s="9"/>
      <c r="LP606" s="9"/>
      <c r="LQ606" s="9"/>
      <c r="LR606" s="9"/>
      <c r="LS606" s="9"/>
      <c r="LT606" s="9"/>
      <c r="LU606" s="9"/>
      <c r="LV606" s="9"/>
      <c r="LW606" s="9"/>
      <c r="LX606" s="9"/>
      <c r="LY606" s="9"/>
      <c r="LZ606" s="9"/>
      <c r="MA606" s="9"/>
      <c r="MB606" s="9"/>
      <c r="MC606" s="9"/>
      <c r="MD606" s="9"/>
      <c r="ME606" s="9"/>
      <c r="MF606" s="9"/>
      <c r="MG606" s="9"/>
      <c r="MH606" s="9"/>
      <c r="MI606" s="9"/>
      <c r="MJ606" s="9"/>
      <c r="MK606" s="9"/>
      <c r="ML606" s="9"/>
      <c r="MM606" s="9"/>
      <c r="MN606" s="9"/>
      <c r="MO606" s="9"/>
      <c r="MP606" s="9"/>
      <c r="MQ606" s="9"/>
      <c r="MR606" s="9"/>
      <c r="MS606" s="9"/>
      <c r="MT606" s="9"/>
      <c r="MU606" s="9"/>
      <c r="MV606" s="9"/>
      <c r="MW606" s="9"/>
      <c r="MX606" s="9"/>
      <c r="MY606" s="9"/>
      <c r="MZ606" s="9"/>
      <c r="NA606" s="9"/>
      <c r="NB606" s="9"/>
      <c r="NC606" s="9"/>
      <c r="ND606" s="9"/>
      <c r="NE606" s="9"/>
      <c r="NF606" s="9"/>
      <c r="NG606" s="9"/>
      <c r="NH606" s="9"/>
      <c r="NI606" s="9"/>
      <c r="NJ606" s="9"/>
      <c r="NK606" s="9"/>
      <c r="NL606" s="9"/>
      <c r="NM606" s="9"/>
      <c r="NN606" s="9"/>
      <c r="NO606" s="9"/>
      <c r="NP606" s="9"/>
      <c r="NQ606" s="9"/>
      <c r="NR606" s="9"/>
      <c r="NS606" s="9"/>
      <c r="NT606" s="9"/>
      <c r="NU606" s="9"/>
      <c r="NV606" s="9"/>
      <c r="NW606" s="9"/>
      <c r="NX606" s="9"/>
      <c r="NY606" s="9"/>
      <c r="NZ606" s="9"/>
      <c r="OA606" s="9"/>
      <c r="OB606" s="9"/>
      <c r="OC606" s="9"/>
      <c r="OD606" s="9"/>
      <c r="OE606" s="9"/>
      <c r="OF606" s="9"/>
      <c r="OG606" s="9"/>
      <c r="OH606" s="9"/>
      <c r="OI606" s="9"/>
      <c r="OJ606" s="9"/>
      <c r="OK606" s="9"/>
      <c r="OL606" s="9"/>
      <c r="OM606" s="9"/>
      <c r="ON606" s="9"/>
      <c r="OO606" s="9"/>
      <c r="OP606" s="9"/>
      <c r="OQ606" s="9"/>
      <c r="OR606" s="9"/>
      <c r="OS606" s="9"/>
      <c r="OT606" s="9"/>
      <c r="OU606" s="9"/>
      <c r="OV606" s="9"/>
      <c r="OW606" s="9"/>
      <c r="OX606" s="9"/>
      <c r="OY606" s="9"/>
      <c r="OZ606" s="9"/>
      <c r="PA606" s="9"/>
      <c r="PB606" s="9"/>
      <c r="PC606" s="9"/>
      <c r="PD606" s="9"/>
      <c r="PE606" s="9"/>
      <c r="PF606" s="9"/>
      <c r="PG606" s="9"/>
      <c r="PH606" s="9"/>
      <c r="PI606" s="9"/>
      <c r="PJ606" s="9"/>
      <c r="PK606" s="9"/>
      <c r="PL606" s="9"/>
      <c r="PM606" s="9"/>
      <c r="PN606" s="9"/>
      <c r="PO606" s="9"/>
      <c r="PP606" s="9"/>
      <c r="PQ606" s="9"/>
      <c r="PR606" s="9"/>
      <c r="PS606" s="9"/>
      <c r="PT606" s="9"/>
      <c r="PU606" s="9"/>
      <c r="PV606" s="9"/>
      <c r="PW606" s="9"/>
      <c r="PX606" s="9"/>
      <c r="PY606" s="9"/>
      <c r="PZ606" s="9"/>
      <c r="QA606" s="9"/>
      <c r="QB606" s="9"/>
      <c r="QC606" s="9"/>
      <c r="QD606" s="9"/>
      <c r="QE606" s="9"/>
      <c r="QF606" s="9"/>
      <c r="QG606" s="9"/>
      <c r="QH606" s="9"/>
      <c r="QI606" s="9"/>
      <c r="QJ606" s="9"/>
      <c r="QK606" s="9"/>
      <c r="QL606" s="9"/>
      <c r="QM606" s="9"/>
      <c r="QN606" s="9"/>
      <c r="QO606" s="9"/>
      <c r="QP606" s="9"/>
      <c r="QQ606" s="9"/>
      <c r="QR606" s="9"/>
      <c r="QS606" s="9"/>
      <c r="QT606" s="9"/>
      <c r="QU606" s="9"/>
      <c r="QV606" s="9"/>
      <c r="QW606" s="9"/>
      <c r="QX606" s="9"/>
      <c r="QY606" s="9"/>
      <c r="QZ606" s="9"/>
      <c r="RA606" s="9"/>
      <c r="RB606" s="9"/>
      <c r="RC606" s="9"/>
      <c r="RD606" s="9"/>
      <c r="RE606" s="9"/>
      <c r="RF606" s="9"/>
      <c r="RG606" s="9"/>
      <c r="RH606" s="9"/>
      <c r="RI606" s="9"/>
      <c r="RJ606" s="9"/>
      <c r="RK606" s="9"/>
      <c r="RL606" s="9"/>
      <c r="RM606" s="9"/>
      <c r="RN606" s="9"/>
      <c r="RO606" s="9"/>
      <c r="RP606" s="9"/>
      <c r="RQ606" s="9"/>
      <c r="RR606" s="9"/>
      <c r="RS606" s="9"/>
      <c r="RT606" s="9"/>
      <c r="RU606" s="9"/>
      <c r="RV606" s="9"/>
      <c r="RW606" s="9"/>
      <c r="RX606" s="9"/>
      <c r="RY606" s="9"/>
      <c r="RZ606" s="9"/>
      <c r="SA606" s="9"/>
      <c r="SB606" s="9"/>
      <c r="SC606" s="9"/>
      <c r="SD606" s="9"/>
      <c r="SE606" s="9"/>
      <c r="SF606" s="9"/>
      <c r="SG606" s="9"/>
      <c r="SH606" s="9"/>
      <c r="SI606" s="9"/>
      <c r="SJ606" s="9"/>
      <c r="SK606" s="9"/>
      <c r="SL606" s="9"/>
      <c r="SM606" s="9"/>
      <c r="SN606" s="9"/>
      <c r="SO606" s="9"/>
      <c r="SP606" s="9"/>
      <c r="SQ606" s="9"/>
      <c r="SR606" s="9"/>
      <c r="SS606" s="9"/>
      <c r="ST606" s="9"/>
      <c r="SU606" s="9"/>
      <c r="SV606" s="9"/>
      <c r="SW606" s="9"/>
      <c r="SX606" s="9"/>
      <c r="SY606" s="9"/>
      <c r="SZ606" s="9"/>
      <c r="TA606" s="9"/>
      <c r="TB606" s="9"/>
      <c r="TC606" s="9"/>
      <c r="TD606" s="9"/>
      <c r="TE606" s="9"/>
      <c r="TF606" s="9"/>
      <c r="TG606" s="9"/>
      <c r="TH606" s="9"/>
      <c r="TI606" s="9"/>
      <c r="TJ606" s="9"/>
      <c r="TK606" s="9"/>
      <c r="TL606" s="9"/>
      <c r="TM606" s="9"/>
      <c r="TN606" s="9"/>
      <c r="TO606" s="9"/>
      <c r="TP606" s="9"/>
      <c r="TQ606" s="9"/>
      <c r="TR606" s="9"/>
      <c r="TS606" s="9"/>
      <c r="TT606" s="9"/>
      <c r="TU606" s="9"/>
      <c r="TV606" s="9"/>
      <c r="TW606" s="9"/>
      <c r="TX606" s="9"/>
      <c r="TY606" s="9"/>
      <c r="TZ606" s="9"/>
      <c r="UA606" s="9"/>
      <c r="UB606" s="9"/>
      <c r="UC606" s="9"/>
      <c r="UD606" s="9"/>
      <c r="UE606" s="9"/>
      <c r="UF606" s="9"/>
      <c r="UG606" s="9"/>
      <c r="UH606" s="9"/>
      <c r="UI606" s="9"/>
      <c r="UJ606" s="9"/>
    </row>
    <row r="607">
      <c r="A607" s="8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  <c r="IN607" s="9"/>
      <c r="IO607" s="9"/>
      <c r="IP607" s="9"/>
      <c r="IQ607" s="9"/>
      <c r="IR607" s="9"/>
      <c r="IS607" s="9"/>
      <c r="IT607" s="9"/>
      <c r="IU607" s="9"/>
      <c r="IV607" s="9"/>
      <c r="IW607" s="9"/>
      <c r="IX607" s="9"/>
      <c r="IY607" s="9"/>
      <c r="IZ607" s="9"/>
      <c r="JA607" s="9"/>
      <c r="JB607" s="9"/>
      <c r="JC607" s="9"/>
      <c r="JD607" s="9"/>
      <c r="JE607" s="9"/>
      <c r="JF607" s="9"/>
      <c r="JG607" s="9"/>
      <c r="JH607" s="9"/>
      <c r="JI607" s="9"/>
      <c r="JJ607" s="9"/>
      <c r="JK607" s="9"/>
      <c r="JL607" s="9"/>
      <c r="JM607" s="9"/>
      <c r="JN607" s="9"/>
      <c r="JO607" s="9"/>
      <c r="JP607" s="9"/>
      <c r="JQ607" s="9"/>
      <c r="JR607" s="9"/>
      <c r="JS607" s="9"/>
      <c r="JT607" s="9"/>
      <c r="JU607" s="9"/>
      <c r="JV607" s="9"/>
      <c r="JW607" s="9"/>
      <c r="JX607" s="9"/>
      <c r="JY607" s="9"/>
      <c r="JZ607" s="9"/>
      <c r="KA607" s="9"/>
      <c r="KB607" s="9"/>
      <c r="KC607" s="9"/>
      <c r="KD607" s="9"/>
      <c r="KE607" s="9"/>
      <c r="KF607" s="9"/>
      <c r="KG607" s="9"/>
      <c r="KH607" s="9"/>
      <c r="KI607" s="9"/>
      <c r="KJ607" s="9"/>
      <c r="KK607" s="9"/>
      <c r="KL607" s="9"/>
      <c r="KM607" s="9"/>
      <c r="KN607" s="9"/>
      <c r="KO607" s="9"/>
      <c r="KP607" s="9"/>
      <c r="KQ607" s="9"/>
      <c r="KR607" s="9"/>
      <c r="KS607" s="9"/>
      <c r="KT607" s="9"/>
      <c r="KU607" s="9"/>
      <c r="KV607" s="9"/>
      <c r="KW607" s="9"/>
      <c r="KX607" s="9"/>
      <c r="KY607" s="9"/>
      <c r="KZ607" s="9"/>
      <c r="LA607" s="9"/>
      <c r="LB607" s="9"/>
      <c r="LC607" s="9"/>
      <c r="LD607" s="9"/>
      <c r="LE607" s="9"/>
      <c r="LF607" s="9"/>
      <c r="LG607" s="9"/>
      <c r="LH607" s="9"/>
      <c r="LI607" s="9"/>
      <c r="LJ607" s="9"/>
      <c r="LK607" s="9"/>
      <c r="LL607" s="9"/>
      <c r="LM607" s="9"/>
      <c r="LN607" s="9"/>
      <c r="LO607" s="9"/>
      <c r="LP607" s="9"/>
      <c r="LQ607" s="9"/>
      <c r="LR607" s="9"/>
      <c r="LS607" s="9"/>
      <c r="LT607" s="9"/>
      <c r="LU607" s="9"/>
      <c r="LV607" s="9"/>
      <c r="LW607" s="9"/>
      <c r="LX607" s="9"/>
      <c r="LY607" s="9"/>
      <c r="LZ607" s="9"/>
      <c r="MA607" s="9"/>
      <c r="MB607" s="9"/>
      <c r="MC607" s="9"/>
      <c r="MD607" s="9"/>
      <c r="ME607" s="9"/>
      <c r="MF607" s="9"/>
      <c r="MG607" s="9"/>
      <c r="MH607" s="9"/>
      <c r="MI607" s="9"/>
      <c r="MJ607" s="9"/>
      <c r="MK607" s="9"/>
      <c r="ML607" s="9"/>
      <c r="MM607" s="9"/>
      <c r="MN607" s="9"/>
      <c r="MO607" s="9"/>
      <c r="MP607" s="9"/>
      <c r="MQ607" s="9"/>
      <c r="MR607" s="9"/>
      <c r="MS607" s="9"/>
      <c r="MT607" s="9"/>
      <c r="MU607" s="9"/>
      <c r="MV607" s="9"/>
      <c r="MW607" s="9"/>
      <c r="MX607" s="9"/>
      <c r="MY607" s="9"/>
      <c r="MZ607" s="9"/>
      <c r="NA607" s="9"/>
      <c r="NB607" s="9"/>
      <c r="NC607" s="9"/>
      <c r="ND607" s="9"/>
      <c r="NE607" s="9"/>
      <c r="NF607" s="9"/>
      <c r="NG607" s="9"/>
      <c r="NH607" s="9"/>
      <c r="NI607" s="9"/>
      <c r="NJ607" s="9"/>
      <c r="NK607" s="9"/>
      <c r="NL607" s="9"/>
      <c r="NM607" s="9"/>
      <c r="NN607" s="9"/>
      <c r="NO607" s="9"/>
      <c r="NP607" s="9"/>
      <c r="NQ607" s="9"/>
      <c r="NR607" s="9"/>
      <c r="NS607" s="9"/>
      <c r="NT607" s="9"/>
      <c r="NU607" s="9"/>
      <c r="NV607" s="9"/>
      <c r="NW607" s="9"/>
      <c r="NX607" s="9"/>
      <c r="NY607" s="9"/>
      <c r="NZ607" s="9"/>
      <c r="OA607" s="9"/>
      <c r="OB607" s="9"/>
      <c r="OC607" s="9"/>
      <c r="OD607" s="9"/>
      <c r="OE607" s="9"/>
      <c r="OF607" s="9"/>
      <c r="OG607" s="9"/>
      <c r="OH607" s="9"/>
      <c r="OI607" s="9"/>
      <c r="OJ607" s="9"/>
      <c r="OK607" s="9"/>
      <c r="OL607" s="9"/>
      <c r="OM607" s="9"/>
      <c r="ON607" s="9"/>
      <c r="OO607" s="9"/>
      <c r="OP607" s="9"/>
      <c r="OQ607" s="9"/>
      <c r="OR607" s="9"/>
      <c r="OS607" s="9"/>
      <c r="OT607" s="9"/>
      <c r="OU607" s="9"/>
      <c r="OV607" s="9"/>
      <c r="OW607" s="9"/>
      <c r="OX607" s="9"/>
      <c r="OY607" s="9"/>
      <c r="OZ607" s="9"/>
      <c r="PA607" s="9"/>
      <c r="PB607" s="9"/>
      <c r="PC607" s="9"/>
      <c r="PD607" s="9"/>
      <c r="PE607" s="9"/>
      <c r="PF607" s="9"/>
      <c r="PG607" s="9"/>
      <c r="PH607" s="9"/>
      <c r="PI607" s="9"/>
      <c r="PJ607" s="9"/>
      <c r="PK607" s="9"/>
      <c r="PL607" s="9"/>
      <c r="PM607" s="9"/>
      <c r="PN607" s="9"/>
      <c r="PO607" s="9"/>
      <c r="PP607" s="9"/>
      <c r="PQ607" s="9"/>
      <c r="PR607" s="9"/>
      <c r="PS607" s="9"/>
      <c r="PT607" s="9"/>
      <c r="PU607" s="9"/>
      <c r="PV607" s="9"/>
      <c r="PW607" s="9"/>
      <c r="PX607" s="9"/>
      <c r="PY607" s="9"/>
      <c r="PZ607" s="9"/>
      <c r="QA607" s="9"/>
      <c r="QB607" s="9"/>
      <c r="QC607" s="9"/>
      <c r="QD607" s="9"/>
      <c r="QE607" s="9"/>
      <c r="QF607" s="9"/>
      <c r="QG607" s="9"/>
      <c r="QH607" s="9"/>
      <c r="QI607" s="9"/>
      <c r="QJ607" s="9"/>
      <c r="QK607" s="9"/>
      <c r="QL607" s="9"/>
      <c r="QM607" s="9"/>
      <c r="QN607" s="9"/>
      <c r="QO607" s="9"/>
      <c r="QP607" s="9"/>
      <c r="QQ607" s="9"/>
      <c r="QR607" s="9"/>
      <c r="QS607" s="9"/>
      <c r="QT607" s="9"/>
      <c r="QU607" s="9"/>
      <c r="QV607" s="9"/>
      <c r="QW607" s="9"/>
      <c r="QX607" s="9"/>
      <c r="QY607" s="9"/>
      <c r="QZ607" s="9"/>
      <c r="RA607" s="9"/>
      <c r="RB607" s="9"/>
      <c r="RC607" s="9"/>
      <c r="RD607" s="9"/>
      <c r="RE607" s="9"/>
      <c r="RF607" s="9"/>
      <c r="RG607" s="9"/>
      <c r="RH607" s="9"/>
      <c r="RI607" s="9"/>
      <c r="RJ607" s="9"/>
      <c r="RK607" s="9"/>
      <c r="RL607" s="9"/>
      <c r="RM607" s="9"/>
      <c r="RN607" s="9"/>
      <c r="RO607" s="9"/>
      <c r="RP607" s="9"/>
      <c r="RQ607" s="9"/>
      <c r="RR607" s="9"/>
      <c r="RS607" s="9"/>
      <c r="RT607" s="9"/>
      <c r="RU607" s="9"/>
      <c r="RV607" s="9"/>
      <c r="RW607" s="9"/>
      <c r="RX607" s="9"/>
      <c r="RY607" s="9"/>
      <c r="RZ607" s="9"/>
      <c r="SA607" s="9"/>
      <c r="SB607" s="9"/>
      <c r="SC607" s="9"/>
      <c r="SD607" s="9"/>
      <c r="SE607" s="9"/>
      <c r="SF607" s="9"/>
      <c r="SG607" s="9"/>
      <c r="SH607" s="9"/>
      <c r="SI607" s="9"/>
      <c r="SJ607" s="9"/>
      <c r="SK607" s="9"/>
      <c r="SL607" s="9"/>
      <c r="SM607" s="9"/>
      <c r="SN607" s="9"/>
      <c r="SO607" s="9"/>
      <c r="SP607" s="9"/>
      <c r="SQ607" s="9"/>
      <c r="SR607" s="9"/>
      <c r="SS607" s="9"/>
      <c r="ST607" s="9"/>
      <c r="SU607" s="9"/>
      <c r="SV607" s="9"/>
      <c r="SW607" s="9"/>
      <c r="SX607" s="9"/>
      <c r="SY607" s="9"/>
      <c r="SZ607" s="9"/>
      <c r="TA607" s="9"/>
      <c r="TB607" s="9"/>
      <c r="TC607" s="9"/>
      <c r="TD607" s="9"/>
      <c r="TE607" s="9"/>
      <c r="TF607" s="9"/>
      <c r="TG607" s="9"/>
      <c r="TH607" s="9"/>
      <c r="TI607" s="9"/>
      <c r="TJ607" s="9"/>
      <c r="TK607" s="9"/>
      <c r="TL607" s="9"/>
      <c r="TM607" s="9"/>
      <c r="TN607" s="9"/>
      <c r="TO607" s="9"/>
      <c r="TP607" s="9"/>
      <c r="TQ607" s="9"/>
      <c r="TR607" s="9"/>
      <c r="TS607" s="9"/>
      <c r="TT607" s="9"/>
      <c r="TU607" s="9"/>
      <c r="TV607" s="9"/>
      <c r="TW607" s="9"/>
      <c r="TX607" s="9"/>
      <c r="TY607" s="9"/>
      <c r="TZ607" s="9"/>
      <c r="UA607" s="9"/>
      <c r="UB607" s="9"/>
      <c r="UC607" s="9"/>
      <c r="UD607" s="9"/>
      <c r="UE607" s="9"/>
      <c r="UF607" s="9"/>
      <c r="UG607" s="9"/>
      <c r="UH607" s="9"/>
      <c r="UI607" s="9"/>
      <c r="UJ607" s="9"/>
    </row>
    <row r="608">
      <c r="A608" s="8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9"/>
      <c r="IA608" s="9"/>
      <c r="IB608" s="9"/>
      <c r="IC608" s="9"/>
      <c r="ID608" s="9"/>
      <c r="IE608" s="9"/>
      <c r="IF608" s="9"/>
      <c r="IG608" s="9"/>
      <c r="IH608" s="9"/>
      <c r="II608" s="9"/>
      <c r="IJ608" s="9"/>
      <c r="IK608" s="9"/>
      <c r="IL608" s="9"/>
      <c r="IM608" s="9"/>
      <c r="IN608" s="9"/>
      <c r="IO608" s="9"/>
      <c r="IP608" s="9"/>
      <c r="IQ608" s="9"/>
      <c r="IR608" s="9"/>
      <c r="IS608" s="9"/>
      <c r="IT608" s="9"/>
      <c r="IU608" s="9"/>
      <c r="IV608" s="9"/>
      <c r="IW608" s="9"/>
      <c r="IX608" s="9"/>
      <c r="IY608" s="9"/>
      <c r="IZ608" s="9"/>
      <c r="JA608" s="9"/>
      <c r="JB608" s="9"/>
      <c r="JC608" s="9"/>
      <c r="JD608" s="9"/>
      <c r="JE608" s="9"/>
      <c r="JF608" s="9"/>
      <c r="JG608" s="9"/>
      <c r="JH608" s="9"/>
      <c r="JI608" s="9"/>
      <c r="JJ608" s="9"/>
      <c r="JK608" s="9"/>
      <c r="JL608" s="9"/>
      <c r="JM608" s="9"/>
      <c r="JN608" s="9"/>
      <c r="JO608" s="9"/>
      <c r="JP608" s="9"/>
      <c r="JQ608" s="9"/>
      <c r="JR608" s="9"/>
      <c r="JS608" s="9"/>
      <c r="JT608" s="9"/>
      <c r="JU608" s="9"/>
      <c r="JV608" s="9"/>
      <c r="JW608" s="9"/>
      <c r="JX608" s="9"/>
      <c r="JY608" s="9"/>
      <c r="JZ608" s="9"/>
      <c r="KA608" s="9"/>
      <c r="KB608" s="9"/>
      <c r="KC608" s="9"/>
      <c r="KD608" s="9"/>
      <c r="KE608" s="9"/>
      <c r="KF608" s="9"/>
      <c r="KG608" s="9"/>
      <c r="KH608" s="9"/>
      <c r="KI608" s="9"/>
      <c r="KJ608" s="9"/>
      <c r="KK608" s="9"/>
      <c r="KL608" s="9"/>
      <c r="KM608" s="9"/>
      <c r="KN608" s="9"/>
      <c r="KO608" s="9"/>
      <c r="KP608" s="9"/>
      <c r="KQ608" s="9"/>
      <c r="KR608" s="9"/>
      <c r="KS608" s="9"/>
      <c r="KT608" s="9"/>
      <c r="KU608" s="9"/>
      <c r="KV608" s="9"/>
      <c r="KW608" s="9"/>
      <c r="KX608" s="9"/>
      <c r="KY608" s="9"/>
      <c r="KZ608" s="9"/>
      <c r="LA608" s="9"/>
      <c r="LB608" s="9"/>
      <c r="LC608" s="9"/>
      <c r="LD608" s="9"/>
      <c r="LE608" s="9"/>
      <c r="LF608" s="9"/>
      <c r="LG608" s="9"/>
      <c r="LH608" s="9"/>
      <c r="LI608" s="9"/>
      <c r="LJ608" s="9"/>
      <c r="LK608" s="9"/>
      <c r="LL608" s="9"/>
      <c r="LM608" s="9"/>
      <c r="LN608" s="9"/>
      <c r="LO608" s="9"/>
      <c r="LP608" s="9"/>
      <c r="LQ608" s="9"/>
      <c r="LR608" s="9"/>
      <c r="LS608" s="9"/>
      <c r="LT608" s="9"/>
      <c r="LU608" s="9"/>
      <c r="LV608" s="9"/>
      <c r="LW608" s="9"/>
      <c r="LX608" s="9"/>
      <c r="LY608" s="9"/>
      <c r="LZ608" s="9"/>
      <c r="MA608" s="9"/>
      <c r="MB608" s="9"/>
      <c r="MC608" s="9"/>
      <c r="MD608" s="9"/>
      <c r="ME608" s="9"/>
      <c r="MF608" s="9"/>
      <c r="MG608" s="9"/>
      <c r="MH608" s="9"/>
      <c r="MI608" s="9"/>
      <c r="MJ608" s="9"/>
      <c r="MK608" s="9"/>
      <c r="ML608" s="9"/>
      <c r="MM608" s="9"/>
      <c r="MN608" s="9"/>
      <c r="MO608" s="9"/>
      <c r="MP608" s="9"/>
      <c r="MQ608" s="9"/>
      <c r="MR608" s="9"/>
      <c r="MS608" s="9"/>
      <c r="MT608" s="9"/>
      <c r="MU608" s="9"/>
      <c r="MV608" s="9"/>
      <c r="MW608" s="9"/>
      <c r="MX608" s="9"/>
      <c r="MY608" s="9"/>
      <c r="MZ608" s="9"/>
      <c r="NA608" s="9"/>
      <c r="NB608" s="9"/>
      <c r="NC608" s="9"/>
      <c r="ND608" s="9"/>
      <c r="NE608" s="9"/>
      <c r="NF608" s="9"/>
      <c r="NG608" s="9"/>
      <c r="NH608" s="9"/>
      <c r="NI608" s="9"/>
      <c r="NJ608" s="9"/>
      <c r="NK608" s="9"/>
      <c r="NL608" s="9"/>
      <c r="NM608" s="9"/>
      <c r="NN608" s="9"/>
      <c r="NO608" s="9"/>
      <c r="NP608" s="9"/>
      <c r="NQ608" s="9"/>
      <c r="NR608" s="9"/>
      <c r="NS608" s="9"/>
      <c r="NT608" s="9"/>
      <c r="NU608" s="9"/>
      <c r="NV608" s="9"/>
      <c r="NW608" s="9"/>
      <c r="NX608" s="9"/>
      <c r="NY608" s="9"/>
      <c r="NZ608" s="9"/>
      <c r="OA608" s="9"/>
      <c r="OB608" s="9"/>
      <c r="OC608" s="9"/>
      <c r="OD608" s="9"/>
      <c r="OE608" s="9"/>
      <c r="OF608" s="9"/>
      <c r="OG608" s="9"/>
      <c r="OH608" s="9"/>
      <c r="OI608" s="9"/>
      <c r="OJ608" s="9"/>
      <c r="OK608" s="9"/>
      <c r="OL608" s="9"/>
      <c r="OM608" s="9"/>
      <c r="ON608" s="9"/>
      <c r="OO608" s="9"/>
      <c r="OP608" s="9"/>
      <c r="OQ608" s="9"/>
      <c r="OR608" s="9"/>
      <c r="OS608" s="9"/>
      <c r="OT608" s="9"/>
      <c r="OU608" s="9"/>
      <c r="OV608" s="9"/>
      <c r="OW608" s="9"/>
      <c r="OX608" s="9"/>
      <c r="OY608" s="9"/>
      <c r="OZ608" s="9"/>
      <c r="PA608" s="9"/>
      <c r="PB608" s="9"/>
      <c r="PC608" s="9"/>
      <c r="PD608" s="9"/>
      <c r="PE608" s="9"/>
      <c r="PF608" s="9"/>
      <c r="PG608" s="9"/>
      <c r="PH608" s="9"/>
      <c r="PI608" s="9"/>
      <c r="PJ608" s="9"/>
      <c r="PK608" s="9"/>
      <c r="PL608" s="9"/>
      <c r="PM608" s="9"/>
      <c r="PN608" s="9"/>
      <c r="PO608" s="9"/>
      <c r="PP608" s="9"/>
      <c r="PQ608" s="9"/>
      <c r="PR608" s="9"/>
      <c r="PS608" s="9"/>
      <c r="PT608" s="9"/>
      <c r="PU608" s="9"/>
      <c r="PV608" s="9"/>
      <c r="PW608" s="9"/>
      <c r="PX608" s="9"/>
      <c r="PY608" s="9"/>
      <c r="PZ608" s="9"/>
      <c r="QA608" s="9"/>
      <c r="QB608" s="9"/>
      <c r="QC608" s="9"/>
      <c r="QD608" s="9"/>
      <c r="QE608" s="9"/>
      <c r="QF608" s="9"/>
      <c r="QG608" s="9"/>
      <c r="QH608" s="9"/>
      <c r="QI608" s="9"/>
      <c r="QJ608" s="9"/>
      <c r="QK608" s="9"/>
      <c r="QL608" s="9"/>
      <c r="QM608" s="9"/>
      <c r="QN608" s="9"/>
      <c r="QO608" s="9"/>
      <c r="QP608" s="9"/>
      <c r="QQ608" s="9"/>
      <c r="QR608" s="9"/>
      <c r="QS608" s="9"/>
      <c r="QT608" s="9"/>
      <c r="QU608" s="9"/>
      <c r="QV608" s="9"/>
      <c r="QW608" s="9"/>
      <c r="QX608" s="9"/>
      <c r="QY608" s="9"/>
      <c r="QZ608" s="9"/>
      <c r="RA608" s="9"/>
      <c r="RB608" s="9"/>
      <c r="RC608" s="9"/>
      <c r="RD608" s="9"/>
      <c r="RE608" s="9"/>
      <c r="RF608" s="9"/>
      <c r="RG608" s="9"/>
      <c r="RH608" s="9"/>
      <c r="RI608" s="9"/>
      <c r="RJ608" s="9"/>
      <c r="RK608" s="9"/>
      <c r="RL608" s="9"/>
      <c r="RM608" s="9"/>
      <c r="RN608" s="9"/>
      <c r="RO608" s="9"/>
      <c r="RP608" s="9"/>
      <c r="RQ608" s="9"/>
      <c r="RR608" s="9"/>
      <c r="RS608" s="9"/>
      <c r="RT608" s="9"/>
      <c r="RU608" s="9"/>
      <c r="RV608" s="9"/>
      <c r="RW608" s="9"/>
      <c r="RX608" s="9"/>
      <c r="RY608" s="9"/>
      <c r="RZ608" s="9"/>
      <c r="SA608" s="9"/>
      <c r="SB608" s="9"/>
      <c r="SC608" s="9"/>
      <c r="SD608" s="9"/>
      <c r="SE608" s="9"/>
      <c r="SF608" s="9"/>
      <c r="SG608" s="9"/>
      <c r="SH608" s="9"/>
      <c r="SI608" s="9"/>
      <c r="SJ608" s="9"/>
      <c r="SK608" s="9"/>
      <c r="SL608" s="9"/>
      <c r="SM608" s="9"/>
      <c r="SN608" s="9"/>
      <c r="SO608" s="9"/>
      <c r="SP608" s="9"/>
      <c r="SQ608" s="9"/>
      <c r="SR608" s="9"/>
      <c r="SS608" s="9"/>
      <c r="ST608" s="9"/>
      <c r="SU608" s="9"/>
      <c r="SV608" s="9"/>
      <c r="SW608" s="9"/>
      <c r="SX608" s="9"/>
      <c r="SY608" s="9"/>
      <c r="SZ608" s="9"/>
      <c r="TA608" s="9"/>
      <c r="TB608" s="9"/>
      <c r="TC608" s="9"/>
      <c r="TD608" s="9"/>
      <c r="TE608" s="9"/>
      <c r="TF608" s="9"/>
      <c r="TG608" s="9"/>
      <c r="TH608" s="9"/>
      <c r="TI608" s="9"/>
      <c r="TJ608" s="9"/>
      <c r="TK608" s="9"/>
      <c r="TL608" s="9"/>
      <c r="TM608" s="9"/>
      <c r="TN608" s="9"/>
      <c r="TO608" s="9"/>
      <c r="TP608" s="9"/>
      <c r="TQ608" s="9"/>
      <c r="TR608" s="9"/>
      <c r="TS608" s="9"/>
      <c r="TT608" s="9"/>
      <c r="TU608" s="9"/>
      <c r="TV608" s="9"/>
      <c r="TW608" s="9"/>
      <c r="TX608" s="9"/>
      <c r="TY608" s="9"/>
      <c r="TZ608" s="9"/>
      <c r="UA608" s="9"/>
      <c r="UB608" s="9"/>
      <c r="UC608" s="9"/>
      <c r="UD608" s="9"/>
      <c r="UE608" s="9"/>
      <c r="UF608" s="9"/>
      <c r="UG608" s="9"/>
      <c r="UH608" s="9"/>
      <c r="UI608" s="9"/>
      <c r="UJ608" s="9"/>
    </row>
    <row r="609">
      <c r="A609" s="8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  <c r="IC609" s="9"/>
      <c r="ID609" s="9"/>
      <c r="IE609" s="9"/>
      <c r="IF609" s="9"/>
      <c r="IG609" s="9"/>
      <c r="IH609" s="9"/>
      <c r="II609" s="9"/>
      <c r="IJ609" s="9"/>
      <c r="IK609" s="9"/>
      <c r="IL609" s="9"/>
      <c r="IM609" s="9"/>
      <c r="IN609" s="9"/>
      <c r="IO609" s="9"/>
      <c r="IP609" s="9"/>
      <c r="IQ609" s="9"/>
      <c r="IR609" s="9"/>
      <c r="IS609" s="9"/>
      <c r="IT609" s="9"/>
      <c r="IU609" s="9"/>
      <c r="IV609" s="9"/>
      <c r="IW609" s="9"/>
      <c r="IX609" s="9"/>
      <c r="IY609" s="9"/>
      <c r="IZ609" s="9"/>
      <c r="JA609" s="9"/>
      <c r="JB609" s="9"/>
      <c r="JC609" s="9"/>
      <c r="JD609" s="9"/>
      <c r="JE609" s="9"/>
      <c r="JF609" s="9"/>
      <c r="JG609" s="9"/>
      <c r="JH609" s="9"/>
      <c r="JI609" s="9"/>
      <c r="JJ609" s="9"/>
      <c r="JK609" s="9"/>
      <c r="JL609" s="9"/>
      <c r="JM609" s="9"/>
      <c r="JN609" s="9"/>
      <c r="JO609" s="9"/>
      <c r="JP609" s="9"/>
      <c r="JQ609" s="9"/>
      <c r="JR609" s="9"/>
      <c r="JS609" s="9"/>
      <c r="JT609" s="9"/>
      <c r="JU609" s="9"/>
      <c r="JV609" s="9"/>
      <c r="JW609" s="9"/>
      <c r="JX609" s="9"/>
      <c r="JY609" s="9"/>
      <c r="JZ609" s="9"/>
      <c r="KA609" s="9"/>
      <c r="KB609" s="9"/>
      <c r="KC609" s="9"/>
      <c r="KD609" s="9"/>
      <c r="KE609" s="9"/>
      <c r="KF609" s="9"/>
      <c r="KG609" s="9"/>
      <c r="KH609" s="9"/>
      <c r="KI609" s="9"/>
      <c r="KJ609" s="9"/>
      <c r="KK609" s="9"/>
      <c r="KL609" s="9"/>
      <c r="KM609" s="9"/>
      <c r="KN609" s="9"/>
      <c r="KO609" s="9"/>
      <c r="KP609" s="9"/>
      <c r="KQ609" s="9"/>
      <c r="KR609" s="9"/>
      <c r="KS609" s="9"/>
      <c r="KT609" s="9"/>
      <c r="KU609" s="9"/>
      <c r="KV609" s="9"/>
      <c r="KW609" s="9"/>
      <c r="KX609" s="9"/>
      <c r="KY609" s="9"/>
      <c r="KZ609" s="9"/>
      <c r="LA609" s="9"/>
      <c r="LB609" s="9"/>
      <c r="LC609" s="9"/>
      <c r="LD609" s="9"/>
      <c r="LE609" s="9"/>
      <c r="LF609" s="9"/>
      <c r="LG609" s="9"/>
      <c r="LH609" s="9"/>
      <c r="LI609" s="9"/>
      <c r="LJ609" s="9"/>
      <c r="LK609" s="9"/>
      <c r="LL609" s="9"/>
      <c r="LM609" s="9"/>
      <c r="LN609" s="9"/>
      <c r="LO609" s="9"/>
      <c r="LP609" s="9"/>
      <c r="LQ609" s="9"/>
      <c r="LR609" s="9"/>
      <c r="LS609" s="9"/>
      <c r="LT609" s="9"/>
      <c r="LU609" s="9"/>
      <c r="LV609" s="9"/>
      <c r="LW609" s="9"/>
      <c r="LX609" s="9"/>
      <c r="LY609" s="9"/>
      <c r="LZ609" s="9"/>
      <c r="MA609" s="9"/>
      <c r="MB609" s="9"/>
      <c r="MC609" s="9"/>
      <c r="MD609" s="9"/>
      <c r="ME609" s="9"/>
      <c r="MF609" s="9"/>
      <c r="MG609" s="9"/>
      <c r="MH609" s="9"/>
      <c r="MI609" s="9"/>
      <c r="MJ609" s="9"/>
      <c r="MK609" s="9"/>
      <c r="ML609" s="9"/>
      <c r="MM609" s="9"/>
      <c r="MN609" s="9"/>
      <c r="MO609" s="9"/>
      <c r="MP609" s="9"/>
      <c r="MQ609" s="9"/>
      <c r="MR609" s="9"/>
      <c r="MS609" s="9"/>
      <c r="MT609" s="9"/>
      <c r="MU609" s="9"/>
      <c r="MV609" s="9"/>
      <c r="MW609" s="9"/>
      <c r="MX609" s="9"/>
      <c r="MY609" s="9"/>
      <c r="MZ609" s="9"/>
      <c r="NA609" s="9"/>
      <c r="NB609" s="9"/>
      <c r="NC609" s="9"/>
      <c r="ND609" s="9"/>
      <c r="NE609" s="9"/>
      <c r="NF609" s="9"/>
      <c r="NG609" s="9"/>
      <c r="NH609" s="9"/>
      <c r="NI609" s="9"/>
      <c r="NJ609" s="9"/>
      <c r="NK609" s="9"/>
      <c r="NL609" s="9"/>
      <c r="NM609" s="9"/>
      <c r="NN609" s="9"/>
      <c r="NO609" s="9"/>
      <c r="NP609" s="9"/>
      <c r="NQ609" s="9"/>
      <c r="NR609" s="9"/>
      <c r="NS609" s="9"/>
      <c r="NT609" s="9"/>
      <c r="NU609" s="9"/>
      <c r="NV609" s="9"/>
      <c r="NW609" s="9"/>
      <c r="NX609" s="9"/>
      <c r="NY609" s="9"/>
      <c r="NZ609" s="9"/>
      <c r="OA609" s="9"/>
      <c r="OB609" s="9"/>
      <c r="OC609" s="9"/>
      <c r="OD609" s="9"/>
      <c r="OE609" s="9"/>
      <c r="OF609" s="9"/>
      <c r="OG609" s="9"/>
      <c r="OH609" s="9"/>
      <c r="OI609" s="9"/>
      <c r="OJ609" s="9"/>
      <c r="OK609" s="9"/>
      <c r="OL609" s="9"/>
      <c r="OM609" s="9"/>
      <c r="ON609" s="9"/>
      <c r="OO609" s="9"/>
      <c r="OP609" s="9"/>
      <c r="OQ609" s="9"/>
      <c r="OR609" s="9"/>
      <c r="OS609" s="9"/>
      <c r="OT609" s="9"/>
      <c r="OU609" s="9"/>
      <c r="OV609" s="9"/>
      <c r="OW609" s="9"/>
      <c r="OX609" s="9"/>
      <c r="OY609" s="9"/>
      <c r="OZ609" s="9"/>
      <c r="PA609" s="9"/>
      <c r="PB609" s="9"/>
      <c r="PC609" s="9"/>
      <c r="PD609" s="9"/>
      <c r="PE609" s="9"/>
      <c r="PF609" s="9"/>
      <c r="PG609" s="9"/>
      <c r="PH609" s="9"/>
      <c r="PI609" s="9"/>
      <c r="PJ609" s="9"/>
      <c r="PK609" s="9"/>
      <c r="PL609" s="9"/>
      <c r="PM609" s="9"/>
      <c r="PN609" s="9"/>
      <c r="PO609" s="9"/>
      <c r="PP609" s="9"/>
      <c r="PQ609" s="9"/>
      <c r="PR609" s="9"/>
      <c r="PS609" s="9"/>
      <c r="PT609" s="9"/>
      <c r="PU609" s="9"/>
      <c r="PV609" s="9"/>
      <c r="PW609" s="9"/>
      <c r="PX609" s="9"/>
      <c r="PY609" s="9"/>
      <c r="PZ609" s="9"/>
      <c r="QA609" s="9"/>
      <c r="QB609" s="9"/>
      <c r="QC609" s="9"/>
      <c r="QD609" s="9"/>
      <c r="QE609" s="9"/>
      <c r="QF609" s="9"/>
      <c r="QG609" s="9"/>
      <c r="QH609" s="9"/>
      <c r="QI609" s="9"/>
      <c r="QJ609" s="9"/>
      <c r="QK609" s="9"/>
      <c r="QL609" s="9"/>
      <c r="QM609" s="9"/>
      <c r="QN609" s="9"/>
      <c r="QO609" s="9"/>
      <c r="QP609" s="9"/>
      <c r="QQ609" s="9"/>
      <c r="QR609" s="9"/>
      <c r="QS609" s="9"/>
      <c r="QT609" s="9"/>
      <c r="QU609" s="9"/>
      <c r="QV609" s="9"/>
      <c r="QW609" s="9"/>
      <c r="QX609" s="9"/>
      <c r="QY609" s="9"/>
      <c r="QZ609" s="9"/>
      <c r="RA609" s="9"/>
      <c r="RB609" s="9"/>
      <c r="RC609" s="9"/>
      <c r="RD609" s="9"/>
      <c r="RE609" s="9"/>
      <c r="RF609" s="9"/>
      <c r="RG609" s="9"/>
      <c r="RH609" s="9"/>
      <c r="RI609" s="9"/>
      <c r="RJ609" s="9"/>
      <c r="RK609" s="9"/>
      <c r="RL609" s="9"/>
      <c r="RM609" s="9"/>
      <c r="RN609" s="9"/>
      <c r="RO609" s="9"/>
      <c r="RP609" s="9"/>
      <c r="RQ609" s="9"/>
      <c r="RR609" s="9"/>
      <c r="RS609" s="9"/>
      <c r="RT609" s="9"/>
      <c r="RU609" s="9"/>
      <c r="RV609" s="9"/>
      <c r="RW609" s="9"/>
      <c r="RX609" s="9"/>
      <c r="RY609" s="9"/>
      <c r="RZ609" s="9"/>
      <c r="SA609" s="9"/>
      <c r="SB609" s="9"/>
      <c r="SC609" s="9"/>
      <c r="SD609" s="9"/>
      <c r="SE609" s="9"/>
      <c r="SF609" s="9"/>
      <c r="SG609" s="9"/>
      <c r="SH609" s="9"/>
      <c r="SI609" s="9"/>
      <c r="SJ609" s="9"/>
      <c r="SK609" s="9"/>
      <c r="SL609" s="9"/>
      <c r="SM609" s="9"/>
      <c r="SN609" s="9"/>
      <c r="SO609" s="9"/>
      <c r="SP609" s="9"/>
      <c r="SQ609" s="9"/>
      <c r="SR609" s="9"/>
      <c r="SS609" s="9"/>
      <c r="ST609" s="9"/>
      <c r="SU609" s="9"/>
      <c r="SV609" s="9"/>
      <c r="SW609" s="9"/>
      <c r="SX609" s="9"/>
      <c r="SY609" s="9"/>
      <c r="SZ609" s="9"/>
      <c r="TA609" s="9"/>
      <c r="TB609" s="9"/>
      <c r="TC609" s="9"/>
      <c r="TD609" s="9"/>
      <c r="TE609" s="9"/>
      <c r="TF609" s="9"/>
      <c r="TG609" s="9"/>
      <c r="TH609" s="9"/>
      <c r="TI609" s="9"/>
      <c r="TJ609" s="9"/>
      <c r="TK609" s="9"/>
      <c r="TL609" s="9"/>
      <c r="TM609" s="9"/>
      <c r="TN609" s="9"/>
      <c r="TO609" s="9"/>
      <c r="TP609" s="9"/>
      <c r="TQ609" s="9"/>
      <c r="TR609" s="9"/>
      <c r="TS609" s="9"/>
      <c r="TT609" s="9"/>
      <c r="TU609" s="9"/>
      <c r="TV609" s="9"/>
      <c r="TW609" s="9"/>
      <c r="TX609" s="9"/>
      <c r="TY609" s="9"/>
      <c r="TZ609" s="9"/>
      <c r="UA609" s="9"/>
      <c r="UB609" s="9"/>
      <c r="UC609" s="9"/>
      <c r="UD609" s="9"/>
      <c r="UE609" s="9"/>
      <c r="UF609" s="9"/>
      <c r="UG609" s="9"/>
      <c r="UH609" s="9"/>
      <c r="UI609" s="9"/>
      <c r="UJ609" s="9"/>
    </row>
    <row r="610">
      <c r="A610" s="8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  <c r="HZ610" s="9"/>
      <c r="IA610" s="9"/>
      <c r="IB610" s="9"/>
      <c r="IC610" s="9"/>
      <c r="ID610" s="9"/>
      <c r="IE610" s="9"/>
      <c r="IF610" s="9"/>
      <c r="IG610" s="9"/>
      <c r="IH610" s="9"/>
      <c r="II610" s="9"/>
      <c r="IJ610" s="9"/>
      <c r="IK610" s="9"/>
      <c r="IL610" s="9"/>
      <c r="IM610" s="9"/>
      <c r="IN610" s="9"/>
      <c r="IO610" s="9"/>
      <c r="IP610" s="9"/>
      <c r="IQ610" s="9"/>
      <c r="IR610" s="9"/>
      <c r="IS610" s="9"/>
      <c r="IT610" s="9"/>
      <c r="IU610" s="9"/>
      <c r="IV610" s="9"/>
      <c r="IW610" s="9"/>
      <c r="IX610" s="9"/>
      <c r="IY610" s="9"/>
      <c r="IZ610" s="9"/>
      <c r="JA610" s="9"/>
      <c r="JB610" s="9"/>
      <c r="JC610" s="9"/>
      <c r="JD610" s="9"/>
      <c r="JE610" s="9"/>
      <c r="JF610" s="9"/>
      <c r="JG610" s="9"/>
      <c r="JH610" s="9"/>
      <c r="JI610" s="9"/>
      <c r="JJ610" s="9"/>
      <c r="JK610" s="9"/>
      <c r="JL610" s="9"/>
      <c r="JM610" s="9"/>
      <c r="JN610" s="9"/>
      <c r="JO610" s="9"/>
      <c r="JP610" s="9"/>
      <c r="JQ610" s="9"/>
      <c r="JR610" s="9"/>
      <c r="JS610" s="9"/>
      <c r="JT610" s="9"/>
      <c r="JU610" s="9"/>
      <c r="JV610" s="9"/>
      <c r="JW610" s="9"/>
      <c r="JX610" s="9"/>
      <c r="JY610" s="9"/>
      <c r="JZ610" s="9"/>
      <c r="KA610" s="9"/>
      <c r="KB610" s="9"/>
      <c r="KC610" s="9"/>
      <c r="KD610" s="9"/>
      <c r="KE610" s="9"/>
      <c r="KF610" s="9"/>
      <c r="KG610" s="9"/>
      <c r="KH610" s="9"/>
      <c r="KI610" s="9"/>
      <c r="KJ610" s="9"/>
      <c r="KK610" s="9"/>
      <c r="KL610" s="9"/>
      <c r="KM610" s="9"/>
      <c r="KN610" s="9"/>
      <c r="KO610" s="9"/>
      <c r="KP610" s="9"/>
      <c r="KQ610" s="9"/>
      <c r="KR610" s="9"/>
      <c r="KS610" s="9"/>
      <c r="KT610" s="9"/>
      <c r="KU610" s="9"/>
      <c r="KV610" s="9"/>
      <c r="KW610" s="9"/>
      <c r="KX610" s="9"/>
      <c r="KY610" s="9"/>
      <c r="KZ610" s="9"/>
      <c r="LA610" s="9"/>
      <c r="LB610" s="9"/>
      <c r="LC610" s="9"/>
      <c r="LD610" s="9"/>
      <c r="LE610" s="9"/>
      <c r="LF610" s="9"/>
      <c r="LG610" s="9"/>
      <c r="LH610" s="9"/>
      <c r="LI610" s="9"/>
      <c r="LJ610" s="9"/>
      <c r="LK610" s="9"/>
      <c r="LL610" s="9"/>
      <c r="LM610" s="9"/>
      <c r="LN610" s="9"/>
      <c r="LO610" s="9"/>
      <c r="LP610" s="9"/>
      <c r="LQ610" s="9"/>
      <c r="LR610" s="9"/>
      <c r="LS610" s="9"/>
      <c r="LT610" s="9"/>
      <c r="LU610" s="9"/>
      <c r="LV610" s="9"/>
      <c r="LW610" s="9"/>
      <c r="LX610" s="9"/>
      <c r="LY610" s="9"/>
      <c r="LZ610" s="9"/>
      <c r="MA610" s="9"/>
      <c r="MB610" s="9"/>
      <c r="MC610" s="9"/>
      <c r="MD610" s="9"/>
      <c r="ME610" s="9"/>
      <c r="MF610" s="9"/>
      <c r="MG610" s="9"/>
      <c r="MH610" s="9"/>
      <c r="MI610" s="9"/>
      <c r="MJ610" s="9"/>
      <c r="MK610" s="9"/>
      <c r="ML610" s="9"/>
      <c r="MM610" s="9"/>
      <c r="MN610" s="9"/>
      <c r="MO610" s="9"/>
      <c r="MP610" s="9"/>
      <c r="MQ610" s="9"/>
      <c r="MR610" s="9"/>
      <c r="MS610" s="9"/>
      <c r="MT610" s="9"/>
      <c r="MU610" s="9"/>
      <c r="MV610" s="9"/>
      <c r="MW610" s="9"/>
      <c r="MX610" s="9"/>
      <c r="MY610" s="9"/>
      <c r="MZ610" s="9"/>
      <c r="NA610" s="9"/>
      <c r="NB610" s="9"/>
      <c r="NC610" s="9"/>
      <c r="ND610" s="9"/>
      <c r="NE610" s="9"/>
      <c r="NF610" s="9"/>
      <c r="NG610" s="9"/>
      <c r="NH610" s="9"/>
      <c r="NI610" s="9"/>
      <c r="NJ610" s="9"/>
      <c r="NK610" s="9"/>
      <c r="NL610" s="9"/>
      <c r="NM610" s="9"/>
      <c r="NN610" s="9"/>
      <c r="NO610" s="9"/>
      <c r="NP610" s="9"/>
      <c r="NQ610" s="9"/>
      <c r="NR610" s="9"/>
      <c r="NS610" s="9"/>
      <c r="NT610" s="9"/>
      <c r="NU610" s="9"/>
      <c r="NV610" s="9"/>
      <c r="NW610" s="9"/>
      <c r="NX610" s="9"/>
      <c r="NY610" s="9"/>
      <c r="NZ610" s="9"/>
      <c r="OA610" s="9"/>
      <c r="OB610" s="9"/>
      <c r="OC610" s="9"/>
      <c r="OD610" s="9"/>
      <c r="OE610" s="9"/>
      <c r="OF610" s="9"/>
      <c r="OG610" s="9"/>
      <c r="OH610" s="9"/>
      <c r="OI610" s="9"/>
      <c r="OJ610" s="9"/>
      <c r="OK610" s="9"/>
      <c r="OL610" s="9"/>
      <c r="OM610" s="9"/>
      <c r="ON610" s="9"/>
      <c r="OO610" s="9"/>
      <c r="OP610" s="9"/>
      <c r="OQ610" s="9"/>
      <c r="OR610" s="9"/>
      <c r="OS610" s="9"/>
      <c r="OT610" s="9"/>
      <c r="OU610" s="9"/>
      <c r="OV610" s="9"/>
      <c r="OW610" s="9"/>
      <c r="OX610" s="9"/>
      <c r="OY610" s="9"/>
      <c r="OZ610" s="9"/>
      <c r="PA610" s="9"/>
      <c r="PB610" s="9"/>
      <c r="PC610" s="9"/>
      <c r="PD610" s="9"/>
      <c r="PE610" s="9"/>
      <c r="PF610" s="9"/>
      <c r="PG610" s="9"/>
      <c r="PH610" s="9"/>
      <c r="PI610" s="9"/>
      <c r="PJ610" s="9"/>
      <c r="PK610" s="9"/>
      <c r="PL610" s="9"/>
      <c r="PM610" s="9"/>
      <c r="PN610" s="9"/>
      <c r="PO610" s="9"/>
      <c r="PP610" s="9"/>
      <c r="PQ610" s="9"/>
      <c r="PR610" s="9"/>
      <c r="PS610" s="9"/>
      <c r="PT610" s="9"/>
      <c r="PU610" s="9"/>
      <c r="PV610" s="9"/>
      <c r="PW610" s="9"/>
      <c r="PX610" s="9"/>
      <c r="PY610" s="9"/>
      <c r="PZ610" s="9"/>
      <c r="QA610" s="9"/>
      <c r="QB610" s="9"/>
      <c r="QC610" s="9"/>
      <c r="QD610" s="9"/>
      <c r="QE610" s="9"/>
      <c r="QF610" s="9"/>
      <c r="QG610" s="9"/>
      <c r="QH610" s="9"/>
      <c r="QI610" s="9"/>
      <c r="QJ610" s="9"/>
      <c r="QK610" s="9"/>
      <c r="QL610" s="9"/>
      <c r="QM610" s="9"/>
      <c r="QN610" s="9"/>
      <c r="QO610" s="9"/>
      <c r="QP610" s="9"/>
      <c r="QQ610" s="9"/>
      <c r="QR610" s="9"/>
      <c r="QS610" s="9"/>
      <c r="QT610" s="9"/>
      <c r="QU610" s="9"/>
      <c r="QV610" s="9"/>
      <c r="QW610" s="9"/>
      <c r="QX610" s="9"/>
      <c r="QY610" s="9"/>
      <c r="QZ610" s="9"/>
      <c r="RA610" s="9"/>
      <c r="RB610" s="9"/>
      <c r="RC610" s="9"/>
      <c r="RD610" s="9"/>
      <c r="RE610" s="9"/>
      <c r="RF610" s="9"/>
      <c r="RG610" s="9"/>
      <c r="RH610" s="9"/>
      <c r="RI610" s="9"/>
      <c r="RJ610" s="9"/>
      <c r="RK610" s="9"/>
      <c r="RL610" s="9"/>
      <c r="RM610" s="9"/>
      <c r="RN610" s="9"/>
      <c r="RO610" s="9"/>
      <c r="RP610" s="9"/>
      <c r="RQ610" s="9"/>
      <c r="RR610" s="9"/>
      <c r="RS610" s="9"/>
      <c r="RT610" s="9"/>
      <c r="RU610" s="9"/>
      <c r="RV610" s="9"/>
      <c r="RW610" s="9"/>
      <c r="RX610" s="9"/>
      <c r="RY610" s="9"/>
      <c r="RZ610" s="9"/>
      <c r="SA610" s="9"/>
      <c r="SB610" s="9"/>
      <c r="SC610" s="9"/>
      <c r="SD610" s="9"/>
      <c r="SE610" s="9"/>
      <c r="SF610" s="9"/>
      <c r="SG610" s="9"/>
      <c r="SH610" s="9"/>
      <c r="SI610" s="9"/>
      <c r="SJ610" s="9"/>
      <c r="SK610" s="9"/>
      <c r="SL610" s="9"/>
      <c r="SM610" s="9"/>
      <c r="SN610" s="9"/>
      <c r="SO610" s="9"/>
      <c r="SP610" s="9"/>
      <c r="SQ610" s="9"/>
      <c r="SR610" s="9"/>
      <c r="SS610" s="9"/>
      <c r="ST610" s="9"/>
      <c r="SU610" s="9"/>
      <c r="SV610" s="9"/>
      <c r="SW610" s="9"/>
      <c r="SX610" s="9"/>
      <c r="SY610" s="9"/>
      <c r="SZ610" s="9"/>
      <c r="TA610" s="9"/>
      <c r="TB610" s="9"/>
      <c r="TC610" s="9"/>
      <c r="TD610" s="9"/>
      <c r="TE610" s="9"/>
      <c r="TF610" s="9"/>
      <c r="TG610" s="9"/>
      <c r="TH610" s="9"/>
      <c r="TI610" s="9"/>
      <c r="TJ610" s="9"/>
      <c r="TK610" s="9"/>
      <c r="TL610" s="9"/>
      <c r="TM610" s="9"/>
      <c r="TN610" s="9"/>
      <c r="TO610" s="9"/>
      <c r="TP610" s="9"/>
      <c r="TQ610" s="9"/>
      <c r="TR610" s="9"/>
      <c r="TS610" s="9"/>
      <c r="TT610" s="9"/>
      <c r="TU610" s="9"/>
      <c r="TV610" s="9"/>
      <c r="TW610" s="9"/>
      <c r="TX610" s="9"/>
      <c r="TY610" s="9"/>
      <c r="TZ610" s="9"/>
      <c r="UA610" s="9"/>
      <c r="UB610" s="9"/>
      <c r="UC610" s="9"/>
      <c r="UD610" s="9"/>
      <c r="UE610" s="9"/>
      <c r="UF610" s="9"/>
      <c r="UG610" s="9"/>
      <c r="UH610" s="9"/>
      <c r="UI610" s="9"/>
      <c r="UJ610" s="9"/>
    </row>
    <row r="611">
      <c r="A611" s="8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  <c r="IC611" s="9"/>
      <c r="ID611" s="9"/>
      <c r="IE611" s="9"/>
      <c r="IF611" s="9"/>
      <c r="IG611" s="9"/>
      <c r="IH611" s="9"/>
      <c r="II611" s="9"/>
      <c r="IJ611" s="9"/>
      <c r="IK611" s="9"/>
      <c r="IL611" s="9"/>
      <c r="IM611" s="9"/>
      <c r="IN611" s="9"/>
      <c r="IO611" s="9"/>
      <c r="IP611" s="9"/>
      <c r="IQ611" s="9"/>
      <c r="IR611" s="9"/>
      <c r="IS611" s="9"/>
      <c r="IT611" s="9"/>
      <c r="IU611" s="9"/>
      <c r="IV611" s="9"/>
      <c r="IW611" s="9"/>
      <c r="IX611" s="9"/>
      <c r="IY611" s="9"/>
      <c r="IZ611" s="9"/>
      <c r="JA611" s="9"/>
      <c r="JB611" s="9"/>
      <c r="JC611" s="9"/>
      <c r="JD611" s="9"/>
      <c r="JE611" s="9"/>
      <c r="JF611" s="9"/>
      <c r="JG611" s="9"/>
      <c r="JH611" s="9"/>
      <c r="JI611" s="9"/>
      <c r="JJ611" s="9"/>
      <c r="JK611" s="9"/>
      <c r="JL611" s="9"/>
      <c r="JM611" s="9"/>
      <c r="JN611" s="9"/>
      <c r="JO611" s="9"/>
      <c r="JP611" s="9"/>
      <c r="JQ611" s="9"/>
      <c r="JR611" s="9"/>
      <c r="JS611" s="9"/>
      <c r="JT611" s="9"/>
      <c r="JU611" s="9"/>
      <c r="JV611" s="9"/>
      <c r="JW611" s="9"/>
      <c r="JX611" s="9"/>
      <c r="JY611" s="9"/>
      <c r="JZ611" s="9"/>
      <c r="KA611" s="9"/>
      <c r="KB611" s="9"/>
      <c r="KC611" s="9"/>
      <c r="KD611" s="9"/>
      <c r="KE611" s="9"/>
      <c r="KF611" s="9"/>
      <c r="KG611" s="9"/>
      <c r="KH611" s="9"/>
      <c r="KI611" s="9"/>
      <c r="KJ611" s="9"/>
      <c r="KK611" s="9"/>
      <c r="KL611" s="9"/>
      <c r="KM611" s="9"/>
      <c r="KN611" s="9"/>
      <c r="KO611" s="9"/>
      <c r="KP611" s="9"/>
      <c r="KQ611" s="9"/>
      <c r="KR611" s="9"/>
      <c r="KS611" s="9"/>
      <c r="KT611" s="9"/>
      <c r="KU611" s="9"/>
      <c r="KV611" s="9"/>
      <c r="KW611" s="9"/>
      <c r="KX611" s="9"/>
      <c r="KY611" s="9"/>
      <c r="KZ611" s="9"/>
      <c r="LA611" s="9"/>
      <c r="LB611" s="9"/>
      <c r="LC611" s="9"/>
      <c r="LD611" s="9"/>
      <c r="LE611" s="9"/>
      <c r="LF611" s="9"/>
      <c r="LG611" s="9"/>
      <c r="LH611" s="9"/>
      <c r="LI611" s="9"/>
      <c r="LJ611" s="9"/>
      <c r="LK611" s="9"/>
      <c r="LL611" s="9"/>
      <c r="LM611" s="9"/>
      <c r="LN611" s="9"/>
      <c r="LO611" s="9"/>
      <c r="LP611" s="9"/>
      <c r="LQ611" s="9"/>
      <c r="LR611" s="9"/>
      <c r="LS611" s="9"/>
      <c r="LT611" s="9"/>
      <c r="LU611" s="9"/>
      <c r="LV611" s="9"/>
      <c r="LW611" s="9"/>
      <c r="LX611" s="9"/>
      <c r="LY611" s="9"/>
      <c r="LZ611" s="9"/>
      <c r="MA611" s="9"/>
      <c r="MB611" s="9"/>
      <c r="MC611" s="9"/>
      <c r="MD611" s="9"/>
      <c r="ME611" s="9"/>
      <c r="MF611" s="9"/>
      <c r="MG611" s="9"/>
      <c r="MH611" s="9"/>
      <c r="MI611" s="9"/>
      <c r="MJ611" s="9"/>
      <c r="MK611" s="9"/>
      <c r="ML611" s="9"/>
      <c r="MM611" s="9"/>
      <c r="MN611" s="9"/>
      <c r="MO611" s="9"/>
      <c r="MP611" s="9"/>
      <c r="MQ611" s="9"/>
      <c r="MR611" s="9"/>
      <c r="MS611" s="9"/>
      <c r="MT611" s="9"/>
      <c r="MU611" s="9"/>
      <c r="MV611" s="9"/>
      <c r="MW611" s="9"/>
      <c r="MX611" s="9"/>
      <c r="MY611" s="9"/>
      <c r="MZ611" s="9"/>
      <c r="NA611" s="9"/>
      <c r="NB611" s="9"/>
      <c r="NC611" s="9"/>
      <c r="ND611" s="9"/>
      <c r="NE611" s="9"/>
      <c r="NF611" s="9"/>
      <c r="NG611" s="9"/>
      <c r="NH611" s="9"/>
      <c r="NI611" s="9"/>
      <c r="NJ611" s="9"/>
      <c r="NK611" s="9"/>
      <c r="NL611" s="9"/>
      <c r="NM611" s="9"/>
      <c r="NN611" s="9"/>
      <c r="NO611" s="9"/>
      <c r="NP611" s="9"/>
      <c r="NQ611" s="9"/>
      <c r="NR611" s="9"/>
      <c r="NS611" s="9"/>
      <c r="NT611" s="9"/>
      <c r="NU611" s="9"/>
      <c r="NV611" s="9"/>
      <c r="NW611" s="9"/>
      <c r="NX611" s="9"/>
      <c r="NY611" s="9"/>
      <c r="NZ611" s="9"/>
      <c r="OA611" s="9"/>
      <c r="OB611" s="9"/>
      <c r="OC611" s="9"/>
      <c r="OD611" s="9"/>
      <c r="OE611" s="9"/>
      <c r="OF611" s="9"/>
      <c r="OG611" s="9"/>
      <c r="OH611" s="9"/>
      <c r="OI611" s="9"/>
      <c r="OJ611" s="9"/>
      <c r="OK611" s="9"/>
      <c r="OL611" s="9"/>
      <c r="OM611" s="9"/>
      <c r="ON611" s="9"/>
      <c r="OO611" s="9"/>
      <c r="OP611" s="9"/>
      <c r="OQ611" s="9"/>
      <c r="OR611" s="9"/>
      <c r="OS611" s="9"/>
      <c r="OT611" s="9"/>
      <c r="OU611" s="9"/>
      <c r="OV611" s="9"/>
      <c r="OW611" s="9"/>
      <c r="OX611" s="9"/>
      <c r="OY611" s="9"/>
      <c r="OZ611" s="9"/>
      <c r="PA611" s="9"/>
      <c r="PB611" s="9"/>
      <c r="PC611" s="9"/>
      <c r="PD611" s="9"/>
      <c r="PE611" s="9"/>
      <c r="PF611" s="9"/>
      <c r="PG611" s="9"/>
      <c r="PH611" s="9"/>
      <c r="PI611" s="9"/>
      <c r="PJ611" s="9"/>
      <c r="PK611" s="9"/>
      <c r="PL611" s="9"/>
      <c r="PM611" s="9"/>
      <c r="PN611" s="9"/>
      <c r="PO611" s="9"/>
      <c r="PP611" s="9"/>
      <c r="PQ611" s="9"/>
      <c r="PR611" s="9"/>
      <c r="PS611" s="9"/>
      <c r="PT611" s="9"/>
      <c r="PU611" s="9"/>
      <c r="PV611" s="9"/>
      <c r="PW611" s="9"/>
      <c r="PX611" s="9"/>
      <c r="PY611" s="9"/>
      <c r="PZ611" s="9"/>
      <c r="QA611" s="9"/>
      <c r="QB611" s="9"/>
      <c r="QC611" s="9"/>
      <c r="QD611" s="9"/>
      <c r="QE611" s="9"/>
      <c r="QF611" s="9"/>
      <c r="QG611" s="9"/>
      <c r="QH611" s="9"/>
      <c r="QI611" s="9"/>
      <c r="QJ611" s="9"/>
      <c r="QK611" s="9"/>
      <c r="QL611" s="9"/>
      <c r="QM611" s="9"/>
      <c r="QN611" s="9"/>
      <c r="QO611" s="9"/>
      <c r="QP611" s="9"/>
      <c r="QQ611" s="9"/>
      <c r="QR611" s="9"/>
      <c r="QS611" s="9"/>
      <c r="QT611" s="9"/>
      <c r="QU611" s="9"/>
      <c r="QV611" s="9"/>
      <c r="QW611" s="9"/>
      <c r="QX611" s="9"/>
      <c r="QY611" s="9"/>
      <c r="QZ611" s="9"/>
      <c r="RA611" s="9"/>
      <c r="RB611" s="9"/>
      <c r="RC611" s="9"/>
      <c r="RD611" s="9"/>
      <c r="RE611" s="9"/>
      <c r="RF611" s="9"/>
      <c r="RG611" s="9"/>
      <c r="RH611" s="9"/>
      <c r="RI611" s="9"/>
      <c r="RJ611" s="9"/>
      <c r="RK611" s="9"/>
      <c r="RL611" s="9"/>
      <c r="RM611" s="9"/>
      <c r="RN611" s="9"/>
      <c r="RO611" s="9"/>
      <c r="RP611" s="9"/>
      <c r="RQ611" s="9"/>
      <c r="RR611" s="9"/>
      <c r="RS611" s="9"/>
      <c r="RT611" s="9"/>
      <c r="RU611" s="9"/>
      <c r="RV611" s="9"/>
      <c r="RW611" s="9"/>
      <c r="RX611" s="9"/>
      <c r="RY611" s="9"/>
      <c r="RZ611" s="9"/>
      <c r="SA611" s="9"/>
      <c r="SB611" s="9"/>
      <c r="SC611" s="9"/>
      <c r="SD611" s="9"/>
      <c r="SE611" s="9"/>
      <c r="SF611" s="9"/>
      <c r="SG611" s="9"/>
      <c r="SH611" s="9"/>
      <c r="SI611" s="9"/>
      <c r="SJ611" s="9"/>
      <c r="SK611" s="9"/>
      <c r="SL611" s="9"/>
      <c r="SM611" s="9"/>
      <c r="SN611" s="9"/>
      <c r="SO611" s="9"/>
      <c r="SP611" s="9"/>
      <c r="SQ611" s="9"/>
      <c r="SR611" s="9"/>
      <c r="SS611" s="9"/>
      <c r="ST611" s="9"/>
      <c r="SU611" s="9"/>
      <c r="SV611" s="9"/>
      <c r="SW611" s="9"/>
      <c r="SX611" s="9"/>
      <c r="SY611" s="9"/>
      <c r="SZ611" s="9"/>
      <c r="TA611" s="9"/>
      <c r="TB611" s="9"/>
      <c r="TC611" s="9"/>
      <c r="TD611" s="9"/>
      <c r="TE611" s="9"/>
      <c r="TF611" s="9"/>
      <c r="TG611" s="9"/>
      <c r="TH611" s="9"/>
      <c r="TI611" s="9"/>
      <c r="TJ611" s="9"/>
      <c r="TK611" s="9"/>
      <c r="TL611" s="9"/>
      <c r="TM611" s="9"/>
      <c r="TN611" s="9"/>
      <c r="TO611" s="9"/>
      <c r="TP611" s="9"/>
      <c r="TQ611" s="9"/>
      <c r="TR611" s="9"/>
      <c r="TS611" s="9"/>
      <c r="TT611" s="9"/>
      <c r="TU611" s="9"/>
      <c r="TV611" s="9"/>
      <c r="TW611" s="9"/>
      <c r="TX611" s="9"/>
      <c r="TY611" s="9"/>
      <c r="TZ611" s="9"/>
      <c r="UA611" s="9"/>
      <c r="UB611" s="9"/>
      <c r="UC611" s="9"/>
      <c r="UD611" s="9"/>
      <c r="UE611" s="9"/>
      <c r="UF611" s="9"/>
      <c r="UG611" s="9"/>
      <c r="UH611" s="9"/>
      <c r="UI611" s="9"/>
      <c r="UJ611" s="9"/>
    </row>
    <row r="612">
      <c r="A612" s="8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  <c r="HZ612" s="9"/>
      <c r="IA612" s="9"/>
      <c r="IB612" s="9"/>
      <c r="IC612" s="9"/>
      <c r="ID612" s="9"/>
      <c r="IE612" s="9"/>
      <c r="IF612" s="9"/>
      <c r="IG612" s="9"/>
      <c r="IH612" s="9"/>
      <c r="II612" s="9"/>
      <c r="IJ612" s="9"/>
      <c r="IK612" s="9"/>
      <c r="IL612" s="9"/>
      <c r="IM612" s="9"/>
      <c r="IN612" s="9"/>
      <c r="IO612" s="9"/>
      <c r="IP612" s="9"/>
      <c r="IQ612" s="9"/>
      <c r="IR612" s="9"/>
      <c r="IS612" s="9"/>
      <c r="IT612" s="9"/>
      <c r="IU612" s="9"/>
      <c r="IV612" s="9"/>
      <c r="IW612" s="9"/>
      <c r="IX612" s="9"/>
      <c r="IY612" s="9"/>
      <c r="IZ612" s="9"/>
      <c r="JA612" s="9"/>
      <c r="JB612" s="9"/>
      <c r="JC612" s="9"/>
      <c r="JD612" s="9"/>
      <c r="JE612" s="9"/>
      <c r="JF612" s="9"/>
      <c r="JG612" s="9"/>
      <c r="JH612" s="9"/>
      <c r="JI612" s="9"/>
      <c r="JJ612" s="9"/>
      <c r="JK612" s="9"/>
      <c r="JL612" s="9"/>
      <c r="JM612" s="9"/>
      <c r="JN612" s="9"/>
      <c r="JO612" s="9"/>
      <c r="JP612" s="9"/>
      <c r="JQ612" s="9"/>
      <c r="JR612" s="9"/>
      <c r="JS612" s="9"/>
      <c r="JT612" s="9"/>
      <c r="JU612" s="9"/>
      <c r="JV612" s="9"/>
      <c r="JW612" s="9"/>
      <c r="JX612" s="9"/>
      <c r="JY612" s="9"/>
      <c r="JZ612" s="9"/>
      <c r="KA612" s="9"/>
      <c r="KB612" s="9"/>
      <c r="KC612" s="9"/>
      <c r="KD612" s="9"/>
      <c r="KE612" s="9"/>
      <c r="KF612" s="9"/>
      <c r="KG612" s="9"/>
      <c r="KH612" s="9"/>
      <c r="KI612" s="9"/>
      <c r="KJ612" s="9"/>
      <c r="KK612" s="9"/>
      <c r="KL612" s="9"/>
      <c r="KM612" s="9"/>
      <c r="KN612" s="9"/>
      <c r="KO612" s="9"/>
      <c r="KP612" s="9"/>
      <c r="KQ612" s="9"/>
      <c r="KR612" s="9"/>
      <c r="KS612" s="9"/>
      <c r="KT612" s="9"/>
      <c r="KU612" s="9"/>
      <c r="KV612" s="9"/>
      <c r="KW612" s="9"/>
      <c r="KX612" s="9"/>
      <c r="KY612" s="9"/>
      <c r="KZ612" s="9"/>
      <c r="LA612" s="9"/>
      <c r="LB612" s="9"/>
      <c r="LC612" s="9"/>
      <c r="LD612" s="9"/>
      <c r="LE612" s="9"/>
      <c r="LF612" s="9"/>
      <c r="LG612" s="9"/>
      <c r="LH612" s="9"/>
      <c r="LI612" s="9"/>
      <c r="LJ612" s="9"/>
      <c r="LK612" s="9"/>
      <c r="LL612" s="9"/>
      <c r="LM612" s="9"/>
      <c r="LN612" s="9"/>
      <c r="LO612" s="9"/>
      <c r="LP612" s="9"/>
      <c r="LQ612" s="9"/>
      <c r="LR612" s="9"/>
      <c r="LS612" s="9"/>
      <c r="LT612" s="9"/>
      <c r="LU612" s="9"/>
      <c r="LV612" s="9"/>
      <c r="LW612" s="9"/>
      <c r="LX612" s="9"/>
      <c r="LY612" s="9"/>
      <c r="LZ612" s="9"/>
      <c r="MA612" s="9"/>
      <c r="MB612" s="9"/>
      <c r="MC612" s="9"/>
      <c r="MD612" s="9"/>
      <c r="ME612" s="9"/>
      <c r="MF612" s="9"/>
      <c r="MG612" s="9"/>
      <c r="MH612" s="9"/>
      <c r="MI612" s="9"/>
      <c r="MJ612" s="9"/>
      <c r="MK612" s="9"/>
      <c r="ML612" s="9"/>
      <c r="MM612" s="9"/>
      <c r="MN612" s="9"/>
      <c r="MO612" s="9"/>
      <c r="MP612" s="9"/>
      <c r="MQ612" s="9"/>
      <c r="MR612" s="9"/>
      <c r="MS612" s="9"/>
      <c r="MT612" s="9"/>
      <c r="MU612" s="9"/>
      <c r="MV612" s="9"/>
      <c r="MW612" s="9"/>
      <c r="MX612" s="9"/>
      <c r="MY612" s="9"/>
      <c r="MZ612" s="9"/>
      <c r="NA612" s="9"/>
      <c r="NB612" s="9"/>
      <c r="NC612" s="9"/>
      <c r="ND612" s="9"/>
      <c r="NE612" s="9"/>
      <c r="NF612" s="9"/>
      <c r="NG612" s="9"/>
      <c r="NH612" s="9"/>
      <c r="NI612" s="9"/>
      <c r="NJ612" s="9"/>
      <c r="NK612" s="9"/>
      <c r="NL612" s="9"/>
      <c r="NM612" s="9"/>
      <c r="NN612" s="9"/>
      <c r="NO612" s="9"/>
      <c r="NP612" s="9"/>
      <c r="NQ612" s="9"/>
      <c r="NR612" s="9"/>
      <c r="NS612" s="9"/>
      <c r="NT612" s="9"/>
      <c r="NU612" s="9"/>
      <c r="NV612" s="9"/>
      <c r="NW612" s="9"/>
      <c r="NX612" s="9"/>
      <c r="NY612" s="9"/>
      <c r="NZ612" s="9"/>
      <c r="OA612" s="9"/>
      <c r="OB612" s="9"/>
      <c r="OC612" s="9"/>
      <c r="OD612" s="9"/>
      <c r="OE612" s="9"/>
      <c r="OF612" s="9"/>
      <c r="OG612" s="9"/>
      <c r="OH612" s="9"/>
      <c r="OI612" s="9"/>
      <c r="OJ612" s="9"/>
      <c r="OK612" s="9"/>
      <c r="OL612" s="9"/>
      <c r="OM612" s="9"/>
      <c r="ON612" s="9"/>
      <c r="OO612" s="9"/>
      <c r="OP612" s="9"/>
      <c r="OQ612" s="9"/>
      <c r="OR612" s="9"/>
      <c r="OS612" s="9"/>
      <c r="OT612" s="9"/>
      <c r="OU612" s="9"/>
      <c r="OV612" s="9"/>
      <c r="OW612" s="9"/>
      <c r="OX612" s="9"/>
      <c r="OY612" s="9"/>
      <c r="OZ612" s="9"/>
      <c r="PA612" s="9"/>
      <c r="PB612" s="9"/>
      <c r="PC612" s="9"/>
      <c r="PD612" s="9"/>
      <c r="PE612" s="9"/>
      <c r="PF612" s="9"/>
      <c r="PG612" s="9"/>
      <c r="PH612" s="9"/>
      <c r="PI612" s="9"/>
      <c r="PJ612" s="9"/>
      <c r="PK612" s="9"/>
      <c r="PL612" s="9"/>
      <c r="PM612" s="9"/>
      <c r="PN612" s="9"/>
      <c r="PO612" s="9"/>
      <c r="PP612" s="9"/>
      <c r="PQ612" s="9"/>
      <c r="PR612" s="9"/>
      <c r="PS612" s="9"/>
      <c r="PT612" s="9"/>
      <c r="PU612" s="9"/>
      <c r="PV612" s="9"/>
      <c r="PW612" s="9"/>
      <c r="PX612" s="9"/>
      <c r="PY612" s="9"/>
      <c r="PZ612" s="9"/>
      <c r="QA612" s="9"/>
      <c r="QB612" s="9"/>
      <c r="QC612" s="9"/>
      <c r="QD612" s="9"/>
      <c r="QE612" s="9"/>
      <c r="QF612" s="9"/>
      <c r="QG612" s="9"/>
      <c r="QH612" s="9"/>
      <c r="QI612" s="9"/>
      <c r="QJ612" s="9"/>
      <c r="QK612" s="9"/>
      <c r="QL612" s="9"/>
      <c r="QM612" s="9"/>
      <c r="QN612" s="9"/>
      <c r="QO612" s="9"/>
      <c r="QP612" s="9"/>
      <c r="QQ612" s="9"/>
      <c r="QR612" s="9"/>
      <c r="QS612" s="9"/>
      <c r="QT612" s="9"/>
      <c r="QU612" s="9"/>
      <c r="QV612" s="9"/>
      <c r="QW612" s="9"/>
      <c r="QX612" s="9"/>
      <c r="QY612" s="9"/>
      <c r="QZ612" s="9"/>
      <c r="RA612" s="9"/>
      <c r="RB612" s="9"/>
      <c r="RC612" s="9"/>
      <c r="RD612" s="9"/>
      <c r="RE612" s="9"/>
      <c r="RF612" s="9"/>
      <c r="RG612" s="9"/>
      <c r="RH612" s="9"/>
      <c r="RI612" s="9"/>
      <c r="RJ612" s="9"/>
      <c r="RK612" s="9"/>
      <c r="RL612" s="9"/>
      <c r="RM612" s="9"/>
      <c r="RN612" s="9"/>
      <c r="RO612" s="9"/>
      <c r="RP612" s="9"/>
      <c r="RQ612" s="9"/>
      <c r="RR612" s="9"/>
      <c r="RS612" s="9"/>
      <c r="RT612" s="9"/>
      <c r="RU612" s="9"/>
      <c r="RV612" s="9"/>
      <c r="RW612" s="9"/>
      <c r="RX612" s="9"/>
      <c r="RY612" s="9"/>
      <c r="RZ612" s="9"/>
      <c r="SA612" s="9"/>
      <c r="SB612" s="9"/>
      <c r="SC612" s="9"/>
      <c r="SD612" s="9"/>
      <c r="SE612" s="9"/>
      <c r="SF612" s="9"/>
      <c r="SG612" s="9"/>
      <c r="SH612" s="9"/>
      <c r="SI612" s="9"/>
      <c r="SJ612" s="9"/>
      <c r="SK612" s="9"/>
      <c r="SL612" s="9"/>
      <c r="SM612" s="9"/>
      <c r="SN612" s="9"/>
      <c r="SO612" s="9"/>
      <c r="SP612" s="9"/>
      <c r="SQ612" s="9"/>
      <c r="SR612" s="9"/>
      <c r="SS612" s="9"/>
      <c r="ST612" s="9"/>
      <c r="SU612" s="9"/>
      <c r="SV612" s="9"/>
      <c r="SW612" s="9"/>
      <c r="SX612" s="9"/>
      <c r="SY612" s="9"/>
      <c r="SZ612" s="9"/>
      <c r="TA612" s="9"/>
      <c r="TB612" s="9"/>
      <c r="TC612" s="9"/>
      <c r="TD612" s="9"/>
      <c r="TE612" s="9"/>
      <c r="TF612" s="9"/>
      <c r="TG612" s="9"/>
      <c r="TH612" s="9"/>
      <c r="TI612" s="9"/>
      <c r="TJ612" s="9"/>
      <c r="TK612" s="9"/>
      <c r="TL612" s="9"/>
      <c r="TM612" s="9"/>
      <c r="TN612" s="9"/>
      <c r="TO612" s="9"/>
      <c r="TP612" s="9"/>
      <c r="TQ612" s="9"/>
      <c r="TR612" s="9"/>
      <c r="TS612" s="9"/>
      <c r="TT612" s="9"/>
      <c r="TU612" s="9"/>
      <c r="TV612" s="9"/>
      <c r="TW612" s="9"/>
      <c r="TX612" s="9"/>
      <c r="TY612" s="9"/>
      <c r="TZ612" s="9"/>
      <c r="UA612" s="9"/>
      <c r="UB612" s="9"/>
      <c r="UC612" s="9"/>
      <c r="UD612" s="9"/>
      <c r="UE612" s="9"/>
      <c r="UF612" s="9"/>
      <c r="UG612" s="9"/>
      <c r="UH612" s="9"/>
      <c r="UI612" s="9"/>
      <c r="UJ612" s="9"/>
    </row>
    <row r="613">
      <c r="A613" s="8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  <c r="IC613" s="9"/>
      <c r="ID613" s="9"/>
      <c r="IE613" s="9"/>
      <c r="IF613" s="9"/>
      <c r="IG613" s="9"/>
      <c r="IH613" s="9"/>
      <c r="II613" s="9"/>
      <c r="IJ613" s="9"/>
      <c r="IK613" s="9"/>
      <c r="IL613" s="9"/>
      <c r="IM613" s="9"/>
      <c r="IN613" s="9"/>
      <c r="IO613" s="9"/>
      <c r="IP613" s="9"/>
      <c r="IQ613" s="9"/>
      <c r="IR613" s="9"/>
      <c r="IS613" s="9"/>
      <c r="IT613" s="9"/>
      <c r="IU613" s="9"/>
      <c r="IV613" s="9"/>
      <c r="IW613" s="9"/>
      <c r="IX613" s="9"/>
      <c r="IY613" s="9"/>
      <c r="IZ613" s="9"/>
      <c r="JA613" s="9"/>
      <c r="JB613" s="9"/>
      <c r="JC613" s="9"/>
      <c r="JD613" s="9"/>
      <c r="JE613" s="9"/>
      <c r="JF613" s="9"/>
      <c r="JG613" s="9"/>
      <c r="JH613" s="9"/>
      <c r="JI613" s="9"/>
      <c r="JJ613" s="9"/>
      <c r="JK613" s="9"/>
      <c r="JL613" s="9"/>
      <c r="JM613" s="9"/>
      <c r="JN613" s="9"/>
      <c r="JO613" s="9"/>
      <c r="JP613" s="9"/>
      <c r="JQ613" s="9"/>
      <c r="JR613" s="9"/>
      <c r="JS613" s="9"/>
      <c r="JT613" s="9"/>
      <c r="JU613" s="9"/>
      <c r="JV613" s="9"/>
      <c r="JW613" s="9"/>
      <c r="JX613" s="9"/>
      <c r="JY613" s="9"/>
      <c r="JZ613" s="9"/>
      <c r="KA613" s="9"/>
      <c r="KB613" s="9"/>
      <c r="KC613" s="9"/>
      <c r="KD613" s="9"/>
      <c r="KE613" s="9"/>
      <c r="KF613" s="9"/>
      <c r="KG613" s="9"/>
      <c r="KH613" s="9"/>
      <c r="KI613" s="9"/>
      <c r="KJ613" s="9"/>
      <c r="KK613" s="9"/>
      <c r="KL613" s="9"/>
      <c r="KM613" s="9"/>
      <c r="KN613" s="9"/>
      <c r="KO613" s="9"/>
      <c r="KP613" s="9"/>
      <c r="KQ613" s="9"/>
      <c r="KR613" s="9"/>
      <c r="KS613" s="9"/>
      <c r="KT613" s="9"/>
      <c r="KU613" s="9"/>
      <c r="KV613" s="9"/>
      <c r="KW613" s="9"/>
      <c r="KX613" s="9"/>
      <c r="KY613" s="9"/>
      <c r="KZ613" s="9"/>
      <c r="LA613" s="9"/>
      <c r="LB613" s="9"/>
      <c r="LC613" s="9"/>
      <c r="LD613" s="9"/>
      <c r="LE613" s="9"/>
      <c r="LF613" s="9"/>
      <c r="LG613" s="9"/>
      <c r="LH613" s="9"/>
      <c r="LI613" s="9"/>
      <c r="LJ613" s="9"/>
      <c r="LK613" s="9"/>
      <c r="LL613" s="9"/>
      <c r="LM613" s="9"/>
      <c r="LN613" s="9"/>
      <c r="LO613" s="9"/>
      <c r="LP613" s="9"/>
      <c r="LQ613" s="9"/>
      <c r="LR613" s="9"/>
      <c r="LS613" s="9"/>
      <c r="LT613" s="9"/>
      <c r="LU613" s="9"/>
      <c r="LV613" s="9"/>
      <c r="LW613" s="9"/>
      <c r="LX613" s="9"/>
      <c r="LY613" s="9"/>
      <c r="LZ613" s="9"/>
      <c r="MA613" s="9"/>
      <c r="MB613" s="9"/>
      <c r="MC613" s="9"/>
      <c r="MD613" s="9"/>
      <c r="ME613" s="9"/>
      <c r="MF613" s="9"/>
      <c r="MG613" s="9"/>
      <c r="MH613" s="9"/>
      <c r="MI613" s="9"/>
      <c r="MJ613" s="9"/>
      <c r="MK613" s="9"/>
      <c r="ML613" s="9"/>
      <c r="MM613" s="9"/>
      <c r="MN613" s="9"/>
      <c r="MO613" s="9"/>
      <c r="MP613" s="9"/>
      <c r="MQ613" s="9"/>
      <c r="MR613" s="9"/>
      <c r="MS613" s="9"/>
      <c r="MT613" s="9"/>
      <c r="MU613" s="9"/>
      <c r="MV613" s="9"/>
      <c r="MW613" s="9"/>
      <c r="MX613" s="9"/>
      <c r="MY613" s="9"/>
      <c r="MZ613" s="9"/>
      <c r="NA613" s="9"/>
      <c r="NB613" s="9"/>
      <c r="NC613" s="9"/>
      <c r="ND613" s="9"/>
      <c r="NE613" s="9"/>
      <c r="NF613" s="9"/>
      <c r="NG613" s="9"/>
      <c r="NH613" s="9"/>
      <c r="NI613" s="9"/>
      <c r="NJ613" s="9"/>
      <c r="NK613" s="9"/>
      <c r="NL613" s="9"/>
      <c r="NM613" s="9"/>
      <c r="NN613" s="9"/>
      <c r="NO613" s="9"/>
      <c r="NP613" s="9"/>
      <c r="NQ613" s="9"/>
      <c r="NR613" s="9"/>
      <c r="NS613" s="9"/>
      <c r="NT613" s="9"/>
      <c r="NU613" s="9"/>
      <c r="NV613" s="9"/>
      <c r="NW613" s="9"/>
      <c r="NX613" s="9"/>
      <c r="NY613" s="9"/>
      <c r="NZ613" s="9"/>
      <c r="OA613" s="9"/>
      <c r="OB613" s="9"/>
      <c r="OC613" s="9"/>
      <c r="OD613" s="9"/>
      <c r="OE613" s="9"/>
      <c r="OF613" s="9"/>
      <c r="OG613" s="9"/>
      <c r="OH613" s="9"/>
      <c r="OI613" s="9"/>
      <c r="OJ613" s="9"/>
      <c r="OK613" s="9"/>
      <c r="OL613" s="9"/>
      <c r="OM613" s="9"/>
      <c r="ON613" s="9"/>
      <c r="OO613" s="9"/>
      <c r="OP613" s="9"/>
      <c r="OQ613" s="9"/>
      <c r="OR613" s="9"/>
      <c r="OS613" s="9"/>
      <c r="OT613" s="9"/>
      <c r="OU613" s="9"/>
      <c r="OV613" s="9"/>
      <c r="OW613" s="9"/>
      <c r="OX613" s="9"/>
      <c r="OY613" s="9"/>
      <c r="OZ613" s="9"/>
      <c r="PA613" s="9"/>
      <c r="PB613" s="9"/>
      <c r="PC613" s="9"/>
      <c r="PD613" s="9"/>
      <c r="PE613" s="9"/>
      <c r="PF613" s="9"/>
      <c r="PG613" s="9"/>
      <c r="PH613" s="9"/>
      <c r="PI613" s="9"/>
      <c r="PJ613" s="9"/>
      <c r="PK613" s="9"/>
      <c r="PL613" s="9"/>
      <c r="PM613" s="9"/>
      <c r="PN613" s="9"/>
      <c r="PO613" s="9"/>
      <c r="PP613" s="9"/>
      <c r="PQ613" s="9"/>
      <c r="PR613" s="9"/>
      <c r="PS613" s="9"/>
      <c r="PT613" s="9"/>
      <c r="PU613" s="9"/>
      <c r="PV613" s="9"/>
      <c r="PW613" s="9"/>
      <c r="PX613" s="9"/>
      <c r="PY613" s="9"/>
      <c r="PZ613" s="9"/>
      <c r="QA613" s="9"/>
      <c r="QB613" s="9"/>
      <c r="QC613" s="9"/>
      <c r="QD613" s="9"/>
      <c r="QE613" s="9"/>
      <c r="QF613" s="9"/>
      <c r="QG613" s="9"/>
      <c r="QH613" s="9"/>
      <c r="QI613" s="9"/>
      <c r="QJ613" s="9"/>
      <c r="QK613" s="9"/>
      <c r="QL613" s="9"/>
      <c r="QM613" s="9"/>
      <c r="QN613" s="9"/>
      <c r="QO613" s="9"/>
      <c r="QP613" s="9"/>
      <c r="QQ613" s="9"/>
      <c r="QR613" s="9"/>
      <c r="QS613" s="9"/>
      <c r="QT613" s="9"/>
      <c r="QU613" s="9"/>
      <c r="QV613" s="9"/>
      <c r="QW613" s="9"/>
      <c r="QX613" s="9"/>
      <c r="QY613" s="9"/>
      <c r="QZ613" s="9"/>
      <c r="RA613" s="9"/>
      <c r="RB613" s="9"/>
      <c r="RC613" s="9"/>
      <c r="RD613" s="9"/>
      <c r="RE613" s="9"/>
      <c r="RF613" s="9"/>
      <c r="RG613" s="9"/>
      <c r="RH613" s="9"/>
      <c r="RI613" s="9"/>
      <c r="RJ613" s="9"/>
      <c r="RK613" s="9"/>
      <c r="RL613" s="9"/>
      <c r="RM613" s="9"/>
      <c r="RN613" s="9"/>
      <c r="RO613" s="9"/>
      <c r="RP613" s="9"/>
      <c r="RQ613" s="9"/>
      <c r="RR613" s="9"/>
      <c r="RS613" s="9"/>
      <c r="RT613" s="9"/>
      <c r="RU613" s="9"/>
      <c r="RV613" s="9"/>
      <c r="RW613" s="9"/>
      <c r="RX613" s="9"/>
      <c r="RY613" s="9"/>
      <c r="RZ613" s="9"/>
      <c r="SA613" s="9"/>
      <c r="SB613" s="9"/>
      <c r="SC613" s="9"/>
      <c r="SD613" s="9"/>
      <c r="SE613" s="9"/>
      <c r="SF613" s="9"/>
      <c r="SG613" s="9"/>
      <c r="SH613" s="9"/>
      <c r="SI613" s="9"/>
      <c r="SJ613" s="9"/>
      <c r="SK613" s="9"/>
      <c r="SL613" s="9"/>
      <c r="SM613" s="9"/>
      <c r="SN613" s="9"/>
      <c r="SO613" s="9"/>
      <c r="SP613" s="9"/>
      <c r="SQ613" s="9"/>
      <c r="SR613" s="9"/>
      <c r="SS613" s="9"/>
      <c r="ST613" s="9"/>
      <c r="SU613" s="9"/>
      <c r="SV613" s="9"/>
      <c r="SW613" s="9"/>
      <c r="SX613" s="9"/>
      <c r="SY613" s="9"/>
      <c r="SZ613" s="9"/>
      <c r="TA613" s="9"/>
      <c r="TB613" s="9"/>
      <c r="TC613" s="9"/>
      <c r="TD613" s="9"/>
      <c r="TE613" s="9"/>
      <c r="TF613" s="9"/>
      <c r="TG613" s="9"/>
      <c r="TH613" s="9"/>
      <c r="TI613" s="9"/>
      <c r="TJ613" s="9"/>
      <c r="TK613" s="9"/>
      <c r="TL613" s="9"/>
      <c r="TM613" s="9"/>
      <c r="TN613" s="9"/>
      <c r="TO613" s="9"/>
      <c r="TP613" s="9"/>
      <c r="TQ613" s="9"/>
      <c r="TR613" s="9"/>
      <c r="TS613" s="9"/>
      <c r="TT613" s="9"/>
      <c r="TU613" s="9"/>
      <c r="TV613" s="9"/>
      <c r="TW613" s="9"/>
      <c r="TX613" s="9"/>
      <c r="TY613" s="9"/>
      <c r="TZ613" s="9"/>
      <c r="UA613" s="9"/>
      <c r="UB613" s="9"/>
      <c r="UC613" s="9"/>
      <c r="UD613" s="9"/>
      <c r="UE613" s="9"/>
      <c r="UF613" s="9"/>
      <c r="UG613" s="9"/>
      <c r="UH613" s="9"/>
      <c r="UI613" s="9"/>
      <c r="UJ613" s="9"/>
    </row>
    <row r="614">
      <c r="A614" s="8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  <c r="HZ614" s="9"/>
      <c r="IA614" s="9"/>
      <c r="IB614" s="9"/>
      <c r="IC614" s="9"/>
      <c r="ID614" s="9"/>
      <c r="IE614" s="9"/>
      <c r="IF614" s="9"/>
      <c r="IG614" s="9"/>
      <c r="IH614" s="9"/>
      <c r="II614" s="9"/>
      <c r="IJ614" s="9"/>
      <c r="IK614" s="9"/>
      <c r="IL614" s="9"/>
      <c r="IM614" s="9"/>
      <c r="IN614" s="9"/>
      <c r="IO614" s="9"/>
      <c r="IP614" s="9"/>
      <c r="IQ614" s="9"/>
      <c r="IR614" s="9"/>
      <c r="IS614" s="9"/>
      <c r="IT614" s="9"/>
      <c r="IU614" s="9"/>
      <c r="IV614" s="9"/>
      <c r="IW614" s="9"/>
      <c r="IX614" s="9"/>
      <c r="IY614" s="9"/>
      <c r="IZ614" s="9"/>
      <c r="JA614" s="9"/>
      <c r="JB614" s="9"/>
      <c r="JC614" s="9"/>
      <c r="JD614" s="9"/>
      <c r="JE614" s="9"/>
      <c r="JF614" s="9"/>
      <c r="JG614" s="9"/>
      <c r="JH614" s="9"/>
      <c r="JI614" s="9"/>
      <c r="JJ614" s="9"/>
      <c r="JK614" s="9"/>
      <c r="JL614" s="9"/>
      <c r="JM614" s="9"/>
      <c r="JN614" s="9"/>
      <c r="JO614" s="9"/>
      <c r="JP614" s="9"/>
      <c r="JQ614" s="9"/>
      <c r="JR614" s="9"/>
      <c r="JS614" s="9"/>
      <c r="JT614" s="9"/>
      <c r="JU614" s="9"/>
      <c r="JV614" s="9"/>
      <c r="JW614" s="9"/>
      <c r="JX614" s="9"/>
      <c r="JY614" s="9"/>
      <c r="JZ614" s="9"/>
      <c r="KA614" s="9"/>
      <c r="KB614" s="9"/>
      <c r="KC614" s="9"/>
      <c r="KD614" s="9"/>
      <c r="KE614" s="9"/>
      <c r="KF614" s="9"/>
      <c r="KG614" s="9"/>
      <c r="KH614" s="9"/>
      <c r="KI614" s="9"/>
      <c r="KJ614" s="9"/>
      <c r="KK614" s="9"/>
      <c r="KL614" s="9"/>
      <c r="KM614" s="9"/>
      <c r="KN614" s="9"/>
      <c r="KO614" s="9"/>
      <c r="KP614" s="9"/>
      <c r="KQ614" s="9"/>
      <c r="KR614" s="9"/>
      <c r="KS614" s="9"/>
      <c r="KT614" s="9"/>
      <c r="KU614" s="9"/>
      <c r="KV614" s="9"/>
      <c r="KW614" s="9"/>
      <c r="KX614" s="9"/>
      <c r="KY614" s="9"/>
      <c r="KZ614" s="9"/>
      <c r="LA614" s="9"/>
      <c r="LB614" s="9"/>
      <c r="LC614" s="9"/>
      <c r="LD614" s="9"/>
      <c r="LE614" s="9"/>
      <c r="LF614" s="9"/>
      <c r="LG614" s="9"/>
      <c r="LH614" s="9"/>
      <c r="LI614" s="9"/>
      <c r="LJ614" s="9"/>
      <c r="LK614" s="9"/>
      <c r="LL614" s="9"/>
      <c r="LM614" s="9"/>
      <c r="LN614" s="9"/>
      <c r="LO614" s="9"/>
      <c r="LP614" s="9"/>
      <c r="LQ614" s="9"/>
      <c r="LR614" s="9"/>
      <c r="LS614" s="9"/>
      <c r="LT614" s="9"/>
      <c r="LU614" s="9"/>
      <c r="LV614" s="9"/>
      <c r="LW614" s="9"/>
      <c r="LX614" s="9"/>
      <c r="LY614" s="9"/>
      <c r="LZ614" s="9"/>
      <c r="MA614" s="9"/>
      <c r="MB614" s="9"/>
      <c r="MC614" s="9"/>
      <c r="MD614" s="9"/>
      <c r="ME614" s="9"/>
      <c r="MF614" s="9"/>
      <c r="MG614" s="9"/>
      <c r="MH614" s="9"/>
      <c r="MI614" s="9"/>
      <c r="MJ614" s="9"/>
      <c r="MK614" s="9"/>
      <c r="ML614" s="9"/>
      <c r="MM614" s="9"/>
      <c r="MN614" s="9"/>
      <c r="MO614" s="9"/>
      <c r="MP614" s="9"/>
      <c r="MQ614" s="9"/>
      <c r="MR614" s="9"/>
      <c r="MS614" s="9"/>
      <c r="MT614" s="9"/>
      <c r="MU614" s="9"/>
      <c r="MV614" s="9"/>
      <c r="MW614" s="9"/>
      <c r="MX614" s="9"/>
      <c r="MY614" s="9"/>
      <c r="MZ614" s="9"/>
      <c r="NA614" s="9"/>
      <c r="NB614" s="9"/>
      <c r="NC614" s="9"/>
      <c r="ND614" s="9"/>
      <c r="NE614" s="9"/>
      <c r="NF614" s="9"/>
      <c r="NG614" s="9"/>
      <c r="NH614" s="9"/>
      <c r="NI614" s="9"/>
      <c r="NJ614" s="9"/>
      <c r="NK614" s="9"/>
      <c r="NL614" s="9"/>
      <c r="NM614" s="9"/>
      <c r="NN614" s="9"/>
      <c r="NO614" s="9"/>
      <c r="NP614" s="9"/>
      <c r="NQ614" s="9"/>
      <c r="NR614" s="9"/>
      <c r="NS614" s="9"/>
      <c r="NT614" s="9"/>
      <c r="NU614" s="9"/>
      <c r="NV614" s="9"/>
      <c r="NW614" s="9"/>
      <c r="NX614" s="9"/>
      <c r="NY614" s="9"/>
      <c r="NZ614" s="9"/>
      <c r="OA614" s="9"/>
      <c r="OB614" s="9"/>
      <c r="OC614" s="9"/>
      <c r="OD614" s="9"/>
      <c r="OE614" s="9"/>
      <c r="OF614" s="9"/>
      <c r="OG614" s="9"/>
      <c r="OH614" s="9"/>
      <c r="OI614" s="9"/>
      <c r="OJ614" s="9"/>
      <c r="OK614" s="9"/>
      <c r="OL614" s="9"/>
      <c r="OM614" s="9"/>
      <c r="ON614" s="9"/>
      <c r="OO614" s="9"/>
      <c r="OP614" s="9"/>
      <c r="OQ614" s="9"/>
      <c r="OR614" s="9"/>
      <c r="OS614" s="9"/>
      <c r="OT614" s="9"/>
      <c r="OU614" s="9"/>
      <c r="OV614" s="9"/>
      <c r="OW614" s="9"/>
      <c r="OX614" s="9"/>
      <c r="OY614" s="9"/>
      <c r="OZ614" s="9"/>
      <c r="PA614" s="9"/>
      <c r="PB614" s="9"/>
      <c r="PC614" s="9"/>
      <c r="PD614" s="9"/>
      <c r="PE614" s="9"/>
      <c r="PF614" s="9"/>
      <c r="PG614" s="9"/>
      <c r="PH614" s="9"/>
      <c r="PI614" s="9"/>
      <c r="PJ614" s="9"/>
      <c r="PK614" s="9"/>
      <c r="PL614" s="9"/>
      <c r="PM614" s="9"/>
      <c r="PN614" s="9"/>
      <c r="PO614" s="9"/>
      <c r="PP614" s="9"/>
      <c r="PQ614" s="9"/>
      <c r="PR614" s="9"/>
      <c r="PS614" s="9"/>
      <c r="PT614" s="9"/>
      <c r="PU614" s="9"/>
      <c r="PV614" s="9"/>
      <c r="PW614" s="9"/>
      <c r="PX614" s="9"/>
      <c r="PY614" s="9"/>
      <c r="PZ614" s="9"/>
      <c r="QA614" s="9"/>
      <c r="QB614" s="9"/>
      <c r="QC614" s="9"/>
      <c r="QD614" s="9"/>
      <c r="QE614" s="9"/>
      <c r="QF614" s="9"/>
      <c r="QG614" s="9"/>
      <c r="QH614" s="9"/>
      <c r="QI614" s="9"/>
      <c r="QJ614" s="9"/>
      <c r="QK614" s="9"/>
      <c r="QL614" s="9"/>
      <c r="QM614" s="9"/>
      <c r="QN614" s="9"/>
      <c r="QO614" s="9"/>
      <c r="QP614" s="9"/>
      <c r="QQ614" s="9"/>
      <c r="QR614" s="9"/>
      <c r="QS614" s="9"/>
      <c r="QT614" s="9"/>
      <c r="QU614" s="9"/>
      <c r="QV614" s="9"/>
      <c r="QW614" s="9"/>
      <c r="QX614" s="9"/>
      <c r="QY614" s="9"/>
      <c r="QZ614" s="9"/>
      <c r="RA614" s="9"/>
      <c r="RB614" s="9"/>
      <c r="RC614" s="9"/>
      <c r="RD614" s="9"/>
      <c r="RE614" s="9"/>
      <c r="RF614" s="9"/>
      <c r="RG614" s="9"/>
      <c r="RH614" s="9"/>
      <c r="RI614" s="9"/>
      <c r="RJ614" s="9"/>
      <c r="RK614" s="9"/>
      <c r="RL614" s="9"/>
      <c r="RM614" s="9"/>
      <c r="RN614" s="9"/>
      <c r="RO614" s="9"/>
      <c r="RP614" s="9"/>
      <c r="RQ614" s="9"/>
      <c r="RR614" s="9"/>
      <c r="RS614" s="9"/>
      <c r="RT614" s="9"/>
      <c r="RU614" s="9"/>
      <c r="RV614" s="9"/>
      <c r="RW614" s="9"/>
      <c r="RX614" s="9"/>
      <c r="RY614" s="9"/>
      <c r="RZ614" s="9"/>
      <c r="SA614" s="9"/>
      <c r="SB614" s="9"/>
      <c r="SC614" s="9"/>
      <c r="SD614" s="9"/>
      <c r="SE614" s="9"/>
      <c r="SF614" s="9"/>
      <c r="SG614" s="9"/>
      <c r="SH614" s="9"/>
      <c r="SI614" s="9"/>
      <c r="SJ614" s="9"/>
      <c r="SK614" s="9"/>
      <c r="SL614" s="9"/>
      <c r="SM614" s="9"/>
      <c r="SN614" s="9"/>
      <c r="SO614" s="9"/>
      <c r="SP614" s="9"/>
      <c r="SQ614" s="9"/>
      <c r="SR614" s="9"/>
      <c r="SS614" s="9"/>
      <c r="ST614" s="9"/>
      <c r="SU614" s="9"/>
      <c r="SV614" s="9"/>
      <c r="SW614" s="9"/>
      <c r="SX614" s="9"/>
      <c r="SY614" s="9"/>
      <c r="SZ614" s="9"/>
      <c r="TA614" s="9"/>
      <c r="TB614" s="9"/>
      <c r="TC614" s="9"/>
      <c r="TD614" s="9"/>
      <c r="TE614" s="9"/>
      <c r="TF614" s="9"/>
      <c r="TG614" s="9"/>
      <c r="TH614" s="9"/>
      <c r="TI614" s="9"/>
      <c r="TJ614" s="9"/>
      <c r="TK614" s="9"/>
      <c r="TL614" s="9"/>
      <c r="TM614" s="9"/>
      <c r="TN614" s="9"/>
      <c r="TO614" s="9"/>
      <c r="TP614" s="9"/>
      <c r="TQ614" s="9"/>
      <c r="TR614" s="9"/>
      <c r="TS614" s="9"/>
      <c r="TT614" s="9"/>
      <c r="TU614" s="9"/>
      <c r="TV614" s="9"/>
      <c r="TW614" s="9"/>
      <c r="TX614" s="9"/>
      <c r="TY614" s="9"/>
      <c r="TZ614" s="9"/>
      <c r="UA614" s="9"/>
      <c r="UB614" s="9"/>
      <c r="UC614" s="9"/>
      <c r="UD614" s="9"/>
      <c r="UE614" s="9"/>
      <c r="UF614" s="9"/>
      <c r="UG614" s="9"/>
      <c r="UH614" s="9"/>
      <c r="UI614" s="9"/>
      <c r="UJ614" s="9"/>
    </row>
    <row r="615">
      <c r="A615" s="8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  <c r="IC615" s="9"/>
      <c r="ID615" s="9"/>
      <c r="IE615" s="9"/>
      <c r="IF615" s="9"/>
      <c r="IG615" s="9"/>
      <c r="IH615" s="9"/>
      <c r="II615" s="9"/>
      <c r="IJ615" s="9"/>
      <c r="IK615" s="9"/>
      <c r="IL615" s="9"/>
      <c r="IM615" s="9"/>
      <c r="IN615" s="9"/>
      <c r="IO615" s="9"/>
      <c r="IP615" s="9"/>
      <c r="IQ615" s="9"/>
      <c r="IR615" s="9"/>
      <c r="IS615" s="9"/>
      <c r="IT615" s="9"/>
      <c r="IU615" s="9"/>
      <c r="IV615" s="9"/>
      <c r="IW615" s="9"/>
      <c r="IX615" s="9"/>
      <c r="IY615" s="9"/>
      <c r="IZ615" s="9"/>
      <c r="JA615" s="9"/>
      <c r="JB615" s="9"/>
      <c r="JC615" s="9"/>
      <c r="JD615" s="9"/>
      <c r="JE615" s="9"/>
      <c r="JF615" s="9"/>
      <c r="JG615" s="9"/>
      <c r="JH615" s="9"/>
      <c r="JI615" s="9"/>
      <c r="JJ615" s="9"/>
      <c r="JK615" s="9"/>
      <c r="JL615" s="9"/>
      <c r="JM615" s="9"/>
      <c r="JN615" s="9"/>
      <c r="JO615" s="9"/>
      <c r="JP615" s="9"/>
      <c r="JQ615" s="9"/>
      <c r="JR615" s="9"/>
      <c r="JS615" s="9"/>
      <c r="JT615" s="9"/>
      <c r="JU615" s="9"/>
      <c r="JV615" s="9"/>
      <c r="JW615" s="9"/>
      <c r="JX615" s="9"/>
      <c r="JY615" s="9"/>
      <c r="JZ615" s="9"/>
      <c r="KA615" s="9"/>
      <c r="KB615" s="9"/>
      <c r="KC615" s="9"/>
      <c r="KD615" s="9"/>
      <c r="KE615" s="9"/>
      <c r="KF615" s="9"/>
      <c r="KG615" s="9"/>
      <c r="KH615" s="9"/>
      <c r="KI615" s="9"/>
      <c r="KJ615" s="9"/>
      <c r="KK615" s="9"/>
      <c r="KL615" s="9"/>
      <c r="KM615" s="9"/>
      <c r="KN615" s="9"/>
      <c r="KO615" s="9"/>
      <c r="KP615" s="9"/>
      <c r="KQ615" s="9"/>
      <c r="KR615" s="9"/>
      <c r="KS615" s="9"/>
      <c r="KT615" s="9"/>
      <c r="KU615" s="9"/>
      <c r="KV615" s="9"/>
      <c r="KW615" s="9"/>
      <c r="KX615" s="9"/>
      <c r="KY615" s="9"/>
      <c r="KZ615" s="9"/>
      <c r="LA615" s="9"/>
      <c r="LB615" s="9"/>
      <c r="LC615" s="9"/>
      <c r="LD615" s="9"/>
      <c r="LE615" s="9"/>
      <c r="LF615" s="9"/>
      <c r="LG615" s="9"/>
      <c r="LH615" s="9"/>
      <c r="LI615" s="9"/>
      <c r="LJ615" s="9"/>
      <c r="LK615" s="9"/>
      <c r="LL615" s="9"/>
      <c r="LM615" s="9"/>
      <c r="LN615" s="9"/>
      <c r="LO615" s="9"/>
      <c r="LP615" s="9"/>
      <c r="LQ615" s="9"/>
      <c r="LR615" s="9"/>
      <c r="LS615" s="9"/>
      <c r="LT615" s="9"/>
      <c r="LU615" s="9"/>
      <c r="LV615" s="9"/>
      <c r="LW615" s="9"/>
      <c r="LX615" s="9"/>
      <c r="LY615" s="9"/>
      <c r="LZ615" s="9"/>
      <c r="MA615" s="9"/>
      <c r="MB615" s="9"/>
      <c r="MC615" s="9"/>
      <c r="MD615" s="9"/>
      <c r="ME615" s="9"/>
      <c r="MF615" s="9"/>
      <c r="MG615" s="9"/>
      <c r="MH615" s="9"/>
      <c r="MI615" s="9"/>
      <c r="MJ615" s="9"/>
      <c r="MK615" s="9"/>
      <c r="ML615" s="9"/>
      <c r="MM615" s="9"/>
      <c r="MN615" s="9"/>
      <c r="MO615" s="9"/>
      <c r="MP615" s="9"/>
      <c r="MQ615" s="9"/>
      <c r="MR615" s="9"/>
      <c r="MS615" s="9"/>
      <c r="MT615" s="9"/>
      <c r="MU615" s="9"/>
      <c r="MV615" s="9"/>
      <c r="MW615" s="9"/>
      <c r="MX615" s="9"/>
      <c r="MY615" s="9"/>
      <c r="MZ615" s="9"/>
      <c r="NA615" s="9"/>
      <c r="NB615" s="9"/>
      <c r="NC615" s="9"/>
      <c r="ND615" s="9"/>
      <c r="NE615" s="9"/>
      <c r="NF615" s="9"/>
      <c r="NG615" s="9"/>
      <c r="NH615" s="9"/>
      <c r="NI615" s="9"/>
      <c r="NJ615" s="9"/>
      <c r="NK615" s="9"/>
      <c r="NL615" s="9"/>
      <c r="NM615" s="9"/>
      <c r="NN615" s="9"/>
      <c r="NO615" s="9"/>
      <c r="NP615" s="9"/>
      <c r="NQ615" s="9"/>
      <c r="NR615" s="9"/>
      <c r="NS615" s="9"/>
      <c r="NT615" s="9"/>
      <c r="NU615" s="9"/>
      <c r="NV615" s="9"/>
      <c r="NW615" s="9"/>
      <c r="NX615" s="9"/>
      <c r="NY615" s="9"/>
      <c r="NZ615" s="9"/>
      <c r="OA615" s="9"/>
      <c r="OB615" s="9"/>
      <c r="OC615" s="9"/>
      <c r="OD615" s="9"/>
      <c r="OE615" s="9"/>
      <c r="OF615" s="9"/>
      <c r="OG615" s="9"/>
      <c r="OH615" s="9"/>
      <c r="OI615" s="9"/>
      <c r="OJ615" s="9"/>
      <c r="OK615" s="9"/>
      <c r="OL615" s="9"/>
      <c r="OM615" s="9"/>
      <c r="ON615" s="9"/>
      <c r="OO615" s="9"/>
      <c r="OP615" s="9"/>
      <c r="OQ615" s="9"/>
      <c r="OR615" s="9"/>
      <c r="OS615" s="9"/>
      <c r="OT615" s="9"/>
      <c r="OU615" s="9"/>
      <c r="OV615" s="9"/>
      <c r="OW615" s="9"/>
      <c r="OX615" s="9"/>
      <c r="OY615" s="9"/>
      <c r="OZ615" s="9"/>
      <c r="PA615" s="9"/>
      <c r="PB615" s="9"/>
      <c r="PC615" s="9"/>
      <c r="PD615" s="9"/>
      <c r="PE615" s="9"/>
      <c r="PF615" s="9"/>
      <c r="PG615" s="9"/>
      <c r="PH615" s="9"/>
      <c r="PI615" s="9"/>
      <c r="PJ615" s="9"/>
      <c r="PK615" s="9"/>
      <c r="PL615" s="9"/>
      <c r="PM615" s="9"/>
      <c r="PN615" s="9"/>
      <c r="PO615" s="9"/>
      <c r="PP615" s="9"/>
      <c r="PQ615" s="9"/>
      <c r="PR615" s="9"/>
      <c r="PS615" s="9"/>
      <c r="PT615" s="9"/>
      <c r="PU615" s="9"/>
      <c r="PV615" s="9"/>
      <c r="PW615" s="9"/>
      <c r="PX615" s="9"/>
      <c r="PY615" s="9"/>
      <c r="PZ615" s="9"/>
      <c r="QA615" s="9"/>
      <c r="QB615" s="9"/>
      <c r="QC615" s="9"/>
      <c r="QD615" s="9"/>
      <c r="QE615" s="9"/>
      <c r="QF615" s="9"/>
      <c r="QG615" s="9"/>
      <c r="QH615" s="9"/>
      <c r="QI615" s="9"/>
      <c r="QJ615" s="9"/>
      <c r="QK615" s="9"/>
      <c r="QL615" s="9"/>
      <c r="QM615" s="9"/>
      <c r="QN615" s="9"/>
      <c r="QO615" s="9"/>
      <c r="QP615" s="9"/>
      <c r="QQ615" s="9"/>
      <c r="QR615" s="9"/>
      <c r="QS615" s="9"/>
      <c r="QT615" s="9"/>
      <c r="QU615" s="9"/>
      <c r="QV615" s="9"/>
      <c r="QW615" s="9"/>
      <c r="QX615" s="9"/>
      <c r="QY615" s="9"/>
      <c r="QZ615" s="9"/>
      <c r="RA615" s="9"/>
      <c r="RB615" s="9"/>
      <c r="RC615" s="9"/>
      <c r="RD615" s="9"/>
      <c r="RE615" s="9"/>
      <c r="RF615" s="9"/>
      <c r="RG615" s="9"/>
      <c r="RH615" s="9"/>
      <c r="RI615" s="9"/>
      <c r="RJ615" s="9"/>
      <c r="RK615" s="9"/>
      <c r="RL615" s="9"/>
      <c r="RM615" s="9"/>
      <c r="RN615" s="9"/>
      <c r="RO615" s="9"/>
      <c r="RP615" s="9"/>
      <c r="RQ615" s="9"/>
      <c r="RR615" s="9"/>
      <c r="RS615" s="9"/>
      <c r="RT615" s="9"/>
      <c r="RU615" s="9"/>
      <c r="RV615" s="9"/>
      <c r="RW615" s="9"/>
      <c r="RX615" s="9"/>
      <c r="RY615" s="9"/>
      <c r="RZ615" s="9"/>
      <c r="SA615" s="9"/>
      <c r="SB615" s="9"/>
      <c r="SC615" s="9"/>
      <c r="SD615" s="9"/>
      <c r="SE615" s="9"/>
      <c r="SF615" s="9"/>
      <c r="SG615" s="9"/>
      <c r="SH615" s="9"/>
      <c r="SI615" s="9"/>
      <c r="SJ615" s="9"/>
      <c r="SK615" s="9"/>
      <c r="SL615" s="9"/>
      <c r="SM615" s="9"/>
      <c r="SN615" s="9"/>
      <c r="SO615" s="9"/>
      <c r="SP615" s="9"/>
      <c r="SQ615" s="9"/>
      <c r="SR615" s="9"/>
      <c r="SS615" s="9"/>
      <c r="ST615" s="9"/>
      <c r="SU615" s="9"/>
      <c r="SV615" s="9"/>
      <c r="SW615" s="9"/>
      <c r="SX615" s="9"/>
      <c r="SY615" s="9"/>
      <c r="SZ615" s="9"/>
      <c r="TA615" s="9"/>
      <c r="TB615" s="9"/>
      <c r="TC615" s="9"/>
      <c r="TD615" s="9"/>
      <c r="TE615" s="9"/>
      <c r="TF615" s="9"/>
      <c r="TG615" s="9"/>
      <c r="TH615" s="9"/>
      <c r="TI615" s="9"/>
      <c r="TJ615" s="9"/>
      <c r="TK615" s="9"/>
      <c r="TL615" s="9"/>
      <c r="TM615" s="9"/>
      <c r="TN615" s="9"/>
      <c r="TO615" s="9"/>
      <c r="TP615" s="9"/>
      <c r="TQ615" s="9"/>
      <c r="TR615" s="9"/>
      <c r="TS615" s="9"/>
      <c r="TT615" s="9"/>
      <c r="TU615" s="9"/>
      <c r="TV615" s="9"/>
      <c r="TW615" s="9"/>
      <c r="TX615" s="9"/>
      <c r="TY615" s="9"/>
      <c r="TZ615" s="9"/>
      <c r="UA615" s="9"/>
      <c r="UB615" s="9"/>
      <c r="UC615" s="9"/>
      <c r="UD615" s="9"/>
      <c r="UE615" s="9"/>
      <c r="UF615" s="9"/>
      <c r="UG615" s="9"/>
      <c r="UH615" s="9"/>
      <c r="UI615" s="9"/>
      <c r="UJ615" s="9"/>
    </row>
    <row r="616">
      <c r="A616" s="8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9"/>
      <c r="IA616" s="9"/>
      <c r="IB616" s="9"/>
      <c r="IC616" s="9"/>
      <c r="ID616" s="9"/>
      <c r="IE616" s="9"/>
      <c r="IF616" s="9"/>
      <c r="IG616" s="9"/>
      <c r="IH616" s="9"/>
      <c r="II616" s="9"/>
      <c r="IJ616" s="9"/>
      <c r="IK616" s="9"/>
      <c r="IL616" s="9"/>
      <c r="IM616" s="9"/>
      <c r="IN616" s="9"/>
      <c r="IO616" s="9"/>
      <c r="IP616" s="9"/>
      <c r="IQ616" s="9"/>
      <c r="IR616" s="9"/>
      <c r="IS616" s="9"/>
      <c r="IT616" s="9"/>
      <c r="IU616" s="9"/>
      <c r="IV616" s="9"/>
      <c r="IW616" s="9"/>
      <c r="IX616" s="9"/>
      <c r="IY616" s="9"/>
      <c r="IZ616" s="9"/>
      <c r="JA616" s="9"/>
      <c r="JB616" s="9"/>
      <c r="JC616" s="9"/>
      <c r="JD616" s="9"/>
      <c r="JE616" s="9"/>
      <c r="JF616" s="9"/>
      <c r="JG616" s="9"/>
      <c r="JH616" s="9"/>
      <c r="JI616" s="9"/>
      <c r="JJ616" s="9"/>
      <c r="JK616" s="9"/>
      <c r="JL616" s="9"/>
      <c r="JM616" s="9"/>
      <c r="JN616" s="9"/>
      <c r="JO616" s="9"/>
      <c r="JP616" s="9"/>
      <c r="JQ616" s="9"/>
      <c r="JR616" s="9"/>
      <c r="JS616" s="9"/>
      <c r="JT616" s="9"/>
      <c r="JU616" s="9"/>
      <c r="JV616" s="9"/>
      <c r="JW616" s="9"/>
      <c r="JX616" s="9"/>
      <c r="JY616" s="9"/>
      <c r="JZ616" s="9"/>
      <c r="KA616" s="9"/>
      <c r="KB616" s="9"/>
      <c r="KC616" s="9"/>
      <c r="KD616" s="9"/>
      <c r="KE616" s="9"/>
      <c r="KF616" s="9"/>
      <c r="KG616" s="9"/>
      <c r="KH616" s="9"/>
      <c r="KI616" s="9"/>
      <c r="KJ616" s="9"/>
      <c r="KK616" s="9"/>
      <c r="KL616" s="9"/>
      <c r="KM616" s="9"/>
      <c r="KN616" s="9"/>
      <c r="KO616" s="9"/>
      <c r="KP616" s="9"/>
      <c r="KQ616" s="9"/>
      <c r="KR616" s="9"/>
      <c r="KS616" s="9"/>
      <c r="KT616" s="9"/>
      <c r="KU616" s="9"/>
      <c r="KV616" s="9"/>
      <c r="KW616" s="9"/>
      <c r="KX616" s="9"/>
      <c r="KY616" s="9"/>
      <c r="KZ616" s="9"/>
      <c r="LA616" s="9"/>
      <c r="LB616" s="9"/>
      <c r="LC616" s="9"/>
      <c r="LD616" s="9"/>
      <c r="LE616" s="9"/>
      <c r="LF616" s="9"/>
      <c r="LG616" s="9"/>
      <c r="LH616" s="9"/>
      <c r="LI616" s="9"/>
      <c r="LJ616" s="9"/>
      <c r="LK616" s="9"/>
      <c r="LL616" s="9"/>
      <c r="LM616" s="9"/>
      <c r="LN616" s="9"/>
      <c r="LO616" s="9"/>
      <c r="LP616" s="9"/>
      <c r="LQ616" s="9"/>
      <c r="LR616" s="9"/>
      <c r="LS616" s="9"/>
      <c r="LT616" s="9"/>
      <c r="LU616" s="9"/>
      <c r="LV616" s="9"/>
      <c r="LW616" s="9"/>
      <c r="LX616" s="9"/>
      <c r="LY616" s="9"/>
      <c r="LZ616" s="9"/>
      <c r="MA616" s="9"/>
      <c r="MB616" s="9"/>
      <c r="MC616" s="9"/>
      <c r="MD616" s="9"/>
      <c r="ME616" s="9"/>
      <c r="MF616" s="9"/>
      <c r="MG616" s="9"/>
      <c r="MH616" s="9"/>
      <c r="MI616" s="9"/>
      <c r="MJ616" s="9"/>
      <c r="MK616" s="9"/>
      <c r="ML616" s="9"/>
      <c r="MM616" s="9"/>
      <c r="MN616" s="9"/>
      <c r="MO616" s="9"/>
      <c r="MP616" s="9"/>
      <c r="MQ616" s="9"/>
      <c r="MR616" s="9"/>
      <c r="MS616" s="9"/>
      <c r="MT616" s="9"/>
      <c r="MU616" s="9"/>
      <c r="MV616" s="9"/>
      <c r="MW616" s="9"/>
      <c r="MX616" s="9"/>
      <c r="MY616" s="9"/>
      <c r="MZ616" s="9"/>
      <c r="NA616" s="9"/>
      <c r="NB616" s="9"/>
      <c r="NC616" s="9"/>
      <c r="ND616" s="9"/>
      <c r="NE616" s="9"/>
      <c r="NF616" s="9"/>
      <c r="NG616" s="9"/>
      <c r="NH616" s="9"/>
      <c r="NI616" s="9"/>
      <c r="NJ616" s="9"/>
      <c r="NK616" s="9"/>
      <c r="NL616" s="9"/>
      <c r="NM616" s="9"/>
      <c r="NN616" s="9"/>
      <c r="NO616" s="9"/>
      <c r="NP616" s="9"/>
      <c r="NQ616" s="9"/>
      <c r="NR616" s="9"/>
      <c r="NS616" s="9"/>
      <c r="NT616" s="9"/>
      <c r="NU616" s="9"/>
      <c r="NV616" s="9"/>
      <c r="NW616" s="9"/>
      <c r="NX616" s="9"/>
      <c r="NY616" s="9"/>
      <c r="NZ616" s="9"/>
      <c r="OA616" s="9"/>
      <c r="OB616" s="9"/>
      <c r="OC616" s="9"/>
      <c r="OD616" s="9"/>
      <c r="OE616" s="9"/>
      <c r="OF616" s="9"/>
      <c r="OG616" s="9"/>
      <c r="OH616" s="9"/>
      <c r="OI616" s="9"/>
      <c r="OJ616" s="9"/>
      <c r="OK616" s="9"/>
      <c r="OL616" s="9"/>
      <c r="OM616" s="9"/>
      <c r="ON616" s="9"/>
      <c r="OO616" s="9"/>
      <c r="OP616" s="9"/>
      <c r="OQ616" s="9"/>
      <c r="OR616" s="9"/>
      <c r="OS616" s="9"/>
      <c r="OT616" s="9"/>
      <c r="OU616" s="9"/>
      <c r="OV616" s="9"/>
      <c r="OW616" s="9"/>
      <c r="OX616" s="9"/>
      <c r="OY616" s="9"/>
      <c r="OZ616" s="9"/>
      <c r="PA616" s="9"/>
      <c r="PB616" s="9"/>
      <c r="PC616" s="9"/>
      <c r="PD616" s="9"/>
      <c r="PE616" s="9"/>
      <c r="PF616" s="9"/>
      <c r="PG616" s="9"/>
      <c r="PH616" s="9"/>
      <c r="PI616" s="9"/>
      <c r="PJ616" s="9"/>
      <c r="PK616" s="9"/>
      <c r="PL616" s="9"/>
      <c r="PM616" s="9"/>
      <c r="PN616" s="9"/>
      <c r="PO616" s="9"/>
      <c r="PP616" s="9"/>
      <c r="PQ616" s="9"/>
      <c r="PR616" s="9"/>
      <c r="PS616" s="9"/>
      <c r="PT616" s="9"/>
      <c r="PU616" s="9"/>
      <c r="PV616" s="9"/>
      <c r="PW616" s="9"/>
      <c r="PX616" s="9"/>
      <c r="PY616" s="9"/>
      <c r="PZ616" s="9"/>
      <c r="QA616" s="9"/>
      <c r="QB616" s="9"/>
      <c r="QC616" s="9"/>
      <c r="QD616" s="9"/>
      <c r="QE616" s="9"/>
      <c r="QF616" s="9"/>
      <c r="QG616" s="9"/>
      <c r="QH616" s="9"/>
      <c r="QI616" s="9"/>
      <c r="QJ616" s="9"/>
      <c r="QK616" s="9"/>
      <c r="QL616" s="9"/>
      <c r="QM616" s="9"/>
      <c r="QN616" s="9"/>
      <c r="QO616" s="9"/>
      <c r="QP616" s="9"/>
      <c r="QQ616" s="9"/>
      <c r="QR616" s="9"/>
      <c r="QS616" s="9"/>
      <c r="QT616" s="9"/>
      <c r="QU616" s="9"/>
      <c r="QV616" s="9"/>
      <c r="QW616" s="9"/>
      <c r="QX616" s="9"/>
      <c r="QY616" s="9"/>
      <c r="QZ616" s="9"/>
      <c r="RA616" s="9"/>
      <c r="RB616" s="9"/>
      <c r="RC616" s="9"/>
      <c r="RD616" s="9"/>
      <c r="RE616" s="9"/>
      <c r="RF616" s="9"/>
      <c r="RG616" s="9"/>
      <c r="RH616" s="9"/>
      <c r="RI616" s="9"/>
      <c r="RJ616" s="9"/>
      <c r="RK616" s="9"/>
      <c r="RL616" s="9"/>
      <c r="RM616" s="9"/>
      <c r="RN616" s="9"/>
      <c r="RO616" s="9"/>
      <c r="RP616" s="9"/>
      <c r="RQ616" s="9"/>
      <c r="RR616" s="9"/>
      <c r="RS616" s="9"/>
      <c r="RT616" s="9"/>
      <c r="RU616" s="9"/>
      <c r="RV616" s="9"/>
      <c r="RW616" s="9"/>
      <c r="RX616" s="9"/>
      <c r="RY616" s="9"/>
      <c r="RZ616" s="9"/>
      <c r="SA616" s="9"/>
      <c r="SB616" s="9"/>
      <c r="SC616" s="9"/>
      <c r="SD616" s="9"/>
      <c r="SE616" s="9"/>
      <c r="SF616" s="9"/>
      <c r="SG616" s="9"/>
      <c r="SH616" s="9"/>
      <c r="SI616" s="9"/>
      <c r="SJ616" s="9"/>
      <c r="SK616" s="9"/>
      <c r="SL616" s="9"/>
      <c r="SM616" s="9"/>
      <c r="SN616" s="9"/>
      <c r="SO616" s="9"/>
      <c r="SP616" s="9"/>
      <c r="SQ616" s="9"/>
      <c r="SR616" s="9"/>
      <c r="SS616" s="9"/>
      <c r="ST616" s="9"/>
      <c r="SU616" s="9"/>
      <c r="SV616" s="9"/>
      <c r="SW616" s="9"/>
      <c r="SX616" s="9"/>
      <c r="SY616" s="9"/>
      <c r="SZ616" s="9"/>
      <c r="TA616" s="9"/>
      <c r="TB616" s="9"/>
      <c r="TC616" s="9"/>
      <c r="TD616" s="9"/>
      <c r="TE616" s="9"/>
      <c r="TF616" s="9"/>
      <c r="TG616" s="9"/>
      <c r="TH616" s="9"/>
      <c r="TI616" s="9"/>
      <c r="TJ616" s="9"/>
      <c r="TK616" s="9"/>
      <c r="TL616" s="9"/>
      <c r="TM616" s="9"/>
      <c r="TN616" s="9"/>
      <c r="TO616" s="9"/>
      <c r="TP616" s="9"/>
      <c r="TQ616" s="9"/>
      <c r="TR616" s="9"/>
      <c r="TS616" s="9"/>
      <c r="TT616" s="9"/>
      <c r="TU616" s="9"/>
      <c r="TV616" s="9"/>
      <c r="TW616" s="9"/>
      <c r="TX616" s="9"/>
      <c r="TY616" s="9"/>
      <c r="TZ616" s="9"/>
      <c r="UA616" s="9"/>
      <c r="UB616" s="9"/>
      <c r="UC616" s="9"/>
      <c r="UD616" s="9"/>
      <c r="UE616" s="9"/>
      <c r="UF616" s="9"/>
      <c r="UG616" s="9"/>
      <c r="UH616" s="9"/>
      <c r="UI616" s="9"/>
      <c r="UJ616" s="9"/>
    </row>
    <row r="617">
      <c r="A617" s="8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  <c r="IC617" s="9"/>
      <c r="ID617" s="9"/>
      <c r="IE617" s="9"/>
      <c r="IF617" s="9"/>
      <c r="IG617" s="9"/>
      <c r="IH617" s="9"/>
      <c r="II617" s="9"/>
      <c r="IJ617" s="9"/>
      <c r="IK617" s="9"/>
      <c r="IL617" s="9"/>
      <c r="IM617" s="9"/>
      <c r="IN617" s="9"/>
      <c r="IO617" s="9"/>
      <c r="IP617" s="9"/>
      <c r="IQ617" s="9"/>
      <c r="IR617" s="9"/>
      <c r="IS617" s="9"/>
      <c r="IT617" s="9"/>
      <c r="IU617" s="9"/>
      <c r="IV617" s="9"/>
      <c r="IW617" s="9"/>
      <c r="IX617" s="9"/>
      <c r="IY617" s="9"/>
      <c r="IZ617" s="9"/>
      <c r="JA617" s="9"/>
      <c r="JB617" s="9"/>
      <c r="JC617" s="9"/>
      <c r="JD617" s="9"/>
      <c r="JE617" s="9"/>
      <c r="JF617" s="9"/>
      <c r="JG617" s="9"/>
      <c r="JH617" s="9"/>
      <c r="JI617" s="9"/>
      <c r="JJ617" s="9"/>
      <c r="JK617" s="9"/>
      <c r="JL617" s="9"/>
      <c r="JM617" s="9"/>
      <c r="JN617" s="9"/>
      <c r="JO617" s="9"/>
      <c r="JP617" s="9"/>
      <c r="JQ617" s="9"/>
      <c r="JR617" s="9"/>
      <c r="JS617" s="9"/>
      <c r="JT617" s="9"/>
      <c r="JU617" s="9"/>
      <c r="JV617" s="9"/>
      <c r="JW617" s="9"/>
      <c r="JX617" s="9"/>
      <c r="JY617" s="9"/>
      <c r="JZ617" s="9"/>
      <c r="KA617" s="9"/>
      <c r="KB617" s="9"/>
      <c r="KC617" s="9"/>
      <c r="KD617" s="9"/>
      <c r="KE617" s="9"/>
      <c r="KF617" s="9"/>
      <c r="KG617" s="9"/>
      <c r="KH617" s="9"/>
      <c r="KI617" s="9"/>
      <c r="KJ617" s="9"/>
      <c r="KK617" s="9"/>
      <c r="KL617" s="9"/>
      <c r="KM617" s="9"/>
      <c r="KN617" s="9"/>
      <c r="KO617" s="9"/>
      <c r="KP617" s="9"/>
      <c r="KQ617" s="9"/>
      <c r="KR617" s="9"/>
      <c r="KS617" s="9"/>
      <c r="KT617" s="9"/>
      <c r="KU617" s="9"/>
      <c r="KV617" s="9"/>
      <c r="KW617" s="9"/>
      <c r="KX617" s="9"/>
      <c r="KY617" s="9"/>
      <c r="KZ617" s="9"/>
      <c r="LA617" s="9"/>
      <c r="LB617" s="9"/>
      <c r="LC617" s="9"/>
      <c r="LD617" s="9"/>
      <c r="LE617" s="9"/>
      <c r="LF617" s="9"/>
      <c r="LG617" s="9"/>
      <c r="LH617" s="9"/>
      <c r="LI617" s="9"/>
      <c r="LJ617" s="9"/>
      <c r="LK617" s="9"/>
      <c r="LL617" s="9"/>
      <c r="LM617" s="9"/>
      <c r="LN617" s="9"/>
      <c r="LO617" s="9"/>
      <c r="LP617" s="9"/>
      <c r="LQ617" s="9"/>
      <c r="LR617" s="9"/>
      <c r="LS617" s="9"/>
      <c r="LT617" s="9"/>
      <c r="LU617" s="9"/>
      <c r="LV617" s="9"/>
      <c r="LW617" s="9"/>
      <c r="LX617" s="9"/>
      <c r="LY617" s="9"/>
      <c r="LZ617" s="9"/>
      <c r="MA617" s="9"/>
      <c r="MB617" s="9"/>
      <c r="MC617" s="9"/>
      <c r="MD617" s="9"/>
      <c r="ME617" s="9"/>
      <c r="MF617" s="9"/>
      <c r="MG617" s="9"/>
      <c r="MH617" s="9"/>
      <c r="MI617" s="9"/>
      <c r="MJ617" s="9"/>
      <c r="MK617" s="9"/>
      <c r="ML617" s="9"/>
      <c r="MM617" s="9"/>
      <c r="MN617" s="9"/>
      <c r="MO617" s="9"/>
      <c r="MP617" s="9"/>
      <c r="MQ617" s="9"/>
      <c r="MR617" s="9"/>
      <c r="MS617" s="9"/>
      <c r="MT617" s="9"/>
      <c r="MU617" s="9"/>
      <c r="MV617" s="9"/>
      <c r="MW617" s="9"/>
      <c r="MX617" s="9"/>
      <c r="MY617" s="9"/>
      <c r="MZ617" s="9"/>
      <c r="NA617" s="9"/>
      <c r="NB617" s="9"/>
      <c r="NC617" s="9"/>
      <c r="ND617" s="9"/>
      <c r="NE617" s="9"/>
      <c r="NF617" s="9"/>
      <c r="NG617" s="9"/>
      <c r="NH617" s="9"/>
      <c r="NI617" s="9"/>
      <c r="NJ617" s="9"/>
      <c r="NK617" s="9"/>
      <c r="NL617" s="9"/>
      <c r="NM617" s="9"/>
      <c r="NN617" s="9"/>
      <c r="NO617" s="9"/>
      <c r="NP617" s="9"/>
      <c r="NQ617" s="9"/>
      <c r="NR617" s="9"/>
      <c r="NS617" s="9"/>
      <c r="NT617" s="9"/>
      <c r="NU617" s="9"/>
      <c r="NV617" s="9"/>
      <c r="NW617" s="9"/>
      <c r="NX617" s="9"/>
      <c r="NY617" s="9"/>
      <c r="NZ617" s="9"/>
      <c r="OA617" s="9"/>
      <c r="OB617" s="9"/>
      <c r="OC617" s="9"/>
      <c r="OD617" s="9"/>
      <c r="OE617" s="9"/>
      <c r="OF617" s="9"/>
      <c r="OG617" s="9"/>
      <c r="OH617" s="9"/>
      <c r="OI617" s="9"/>
      <c r="OJ617" s="9"/>
      <c r="OK617" s="9"/>
      <c r="OL617" s="9"/>
      <c r="OM617" s="9"/>
      <c r="ON617" s="9"/>
      <c r="OO617" s="9"/>
      <c r="OP617" s="9"/>
      <c r="OQ617" s="9"/>
      <c r="OR617" s="9"/>
      <c r="OS617" s="9"/>
      <c r="OT617" s="9"/>
      <c r="OU617" s="9"/>
      <c r="OV617" s="9"/>
      <c r="OW617" s="9"/>
      <c r="OX617" s="9"/>
      <c r="OY617" s="9"/>
      <c r="OZ617" s="9"/>
      <c r="PA617" s="9"/>
      <c r="PB617" s="9"/>
      <c r="PC617" s="9"/>
      <c r="PD617" s="9"/>
      <c r="PE617" s="9"/>
      <c r="PF617" s="9"/>
      <c r="PG617" s="9"/>
      <c r="PH617" s="9"/>
      <c r="PI617" s="9"/>
      <c r="PJ617" s="9"/>
      <c r="PK617" s="9"/>
      <c r="PL617" s="9"/>
      <c r="PM617" s="9"/>
      <c r="PN617" s="9"/>
      <c r="PO617" s="9"/>
      <c r="PP617" s="9"/>
      <c r="PQ617" s="9"/>
      <c r="PR617" s="9"/>
      <c r="PS617" s="9"/>
      <c r="PT617" s="9"/>
      <c r="PU617" s="9"/>
      <c r="PV617" s="9"/>
      <c r="PW617" s="9"/>
      <c r="PX617" s="9"/>
      <c r="PY617" s="9"/>
      <c r="PZ617" s="9"/>
      <c r="QA617" s="9"/>
      <c r="QB617" s="9"/>
      <c r="QC617" s="9"/>
      <c r="QD617" s="9"/>
      <c r="QE617" s="9"/>
      <c r="QF617" s="9"/>
      <c r="QG617" s="9"/>
      <c r="QH617" s="9"/>
      <c r="QI617" s="9"/>
      <c r="QJ617" s="9"/>
      <c r="QK617" s="9"/>
      <c r="QL617" s="9"/>
      <c r="QM617" s="9"/>
      <c r="QN617" s="9"/>
      <c r="QO617" s="9"/>
      <c r="QP617" s="9"/>
      <c r="QQ617" s="9"/>
      <c r="QR617" s="9"/>
      <c r="QS617" s="9"/>
      <c r="QT617" s="9"/>
      <c r="QU617" s="9"/>
      <c r="QV617" s="9"/>
      <c r="QW617" s="9"/>
      <c r="QX617" s="9"/>
      <c r="QY617" s="9"/>
      <c r="QZ617" s="9"/>
      <c r="RA617" s="9"/>
      <c r="RB617" s="9"/>
      <c r="RC617" s="9"/>
      <c r="RD617" s="9"/>
      <c r="RE617" s="9"/>
      <c r="RF617" s="9"/>
      <c r="RG617" s="9"/>
      <c r="RH617" s="9"/>
      <c r="RI617" s="9"/>
      <c r="RJ617" s="9"/>
      <c r="RK617" s="9"/>
      <c r="RL617" s="9"/>
      <c r="RM617" s="9"/>
      <c r="RN617" s="9"/>
      <c r="RO617" s="9"/>
      <c r="RP617" s="9"/>
      <c r="RQ617" s="9"/>
      <c r="RR617" s="9"/>
      <c r="RS617" s="9"/>
      <c r="RT617" s="9"/>
      <c r="RU617" s="9"/>
      <c r="RV617" s="9"/>
      <c r="RW617" s="9"/>
      <c r="RX617" s="9"/>
      <c r="RY617" s="9"/>
      <c r="RZ617" s="9"/>
      <c r="SA617" s="9"/>
      <c r="SB617" s="9"/>
      <c r="SC617" s="9"/>
      <c r="SD617" s="9"/>
      <c r="SE617" s="9"/>
      <c r="SF617" s="9"/>
      <c r="SG617" s="9"/>
      <c r="SH617" s="9"/>
      <c r="SI617" s="9"/>
      <c r="SJ617" s="9"/>
      <c r="SK617" s="9"/>
      <c r="SL617" s="9"/>
      <c r="SM617" s="9"/>
      <c r="SN617" s="9"/>
      <c r="SO617" s="9"/>
      <c r="SP617" s="9"/>
      <c r="SQ617" s="9"/>
      <c r="SR617" s="9"/>
      <c r="SS617" s="9"/>
      <c r="ST617" s="9"/>
      <c r="SU617" s="9"/>
      <c r="SV617" s="9"/>
      <c r="SW617" s="9"/>
      <c r="SX617" s="9"/>
      <c r="SY617" s="9"/>
      <c r="SZ617" s="9"/>
      <c r="TA617" s="9"/>
      <c r="TB617" s="9"/>
      <c r="TC617" s="9"/>
      <c r="TD617" s="9"/>
      <c r="TE617" s="9"/>
      <c r="TF617" s="9"/>
      <c r="TG617" s="9"/>
      <c r="TH617" s="9"/>
      <c r="TI617" s="9"/>
      <c r="TJ617" s="9"/>
      <c r="TK617" s="9"/>
      <c r="TL617" s="9"/>
      <c r="TM617" s="9"/>
      <c r="TN617" s="9"/>
      <c r="TO617" s="9"/>
      <c r="TP617" s="9"/>
      <c r="TQ617" s="9"/>
      <c r="TR617" s="9"/>
      <c r="TS617" s="9"/>
      <c r="TT617" s="9"/>
      <c r="TU617" s="9"/>
      <c r="TV617" s="9"/>
      <c r="TW617" s="9"/>
      <c r="TX617" s="9"/>
      <c r="TY617" s="9"/>
      <c r="TZ617" s="9"/>
      <c r="UA617" s="9"/>
      <c r="UB617" s="9"/>
      <c r="UC617" s="9"/>
      <c r="UD617" s="9"/>
      <c r="UE617" s="9"/>
      <c r="UF617" s="9"/>
      <c r="UG617" s="9"/>
      <c r="UH617" s="9"/>
      <c r="UI617" s="9"/>
      <c r="UJ617" s="9"/>
    </row>
    <row r="618">
      <c r="A618" s="8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9"/>
      <c r="IA618" s="9"/>
      <c r="IB618" s="9"/>
      <c r="IC618" s="9"/>
      <c r="ID618" s="9"/>
      <c r="IE618" s="9"/>
      <c r="IF618" s="9"/>
      <c r="IG618" s="9"/>
      <c r="IH618" s="9"/>
      <c r="II618" s="9"/>
      <c r="IJ618" s="9"/>
      <c r="IK618" s="9"/>
      <c r="IL618" s="9"/>
      <c r="IM618" s="9"/>
      <c r="IN618" s="9"/>
      <c r="IO618" s="9"/>
      <c r="IP618" s="9"/>
      <c r="IQ618" s="9"/>
      <c r="IR618" s="9"/>
      <c r="IS618" s="9"/>
      <c r="IT618" s="9"/>
      <c r="IU618" s="9"/>
      <c r="IV618" s="9"/>
      <c r="IW618" s="9"/>
      <c r="IX618" s="9"/>
      <c r="IY618" s="9"/>
      <c r="IZ618" s="9"/>
      <c r="JA618" s="9"/>
      <c r="JB618" s="9"/>
      <c r="JC618" s="9"/>
      <c r="JD618" s="9"/>
      <c r="JE618" s="9"/>
      <c r="JF618" s="9"/>
      <c r="JG618" s="9"/>
      <c r="JH618" s="9"/>
      <c r="JI618" s="9"/>
      <c r="JJ618" s="9"/>
      <c r="JK618" s="9"/>
      <c r="JL618" s="9"/>
      <c r="JM618" s="9"/>
      <c r="JN618" s="9"/>
      <c r="JO618" s="9"/>
      <c r="JP618" s="9"/>
      <c r="JQ618" s="9"/>
      <c r="JR618" s="9"/>
      <c r="JS618" s="9"/>
      <c r="JT618" s="9"/>
      <c r="JU618" s="9"/>
      <c r="JV618" s="9"/>
      <c r="JW618" s="9"/>
      <c r="JX618" s="9"/>
      <c r="JY618" s="9"/>
      <c r="JZ618" s="9"/>
      <c r="KA618" s="9"/>
      <c r="KB618" s="9"/>
      <c r="KC618" s="9"/>
      <c r="KD618" s="9"/>
      <c r="KE618" s="9"/>
      <c r="KF618" s="9"/>
      <c r="KG618" s="9"/>
      <c r="KH618" s="9"/>
      <c r="KI618" s="9"/>
      <c r="KJ618" s="9"/>
      <c r="KK618" s="9"/>
      <c r="KL618" s="9"/>
      <c r="KM618" s="9"/>
      <c r="KN618" s="9"/>
      <c r="KO618" s="9"/>
      <c r="KP618" s="9"/>
      <c r="KQ618" s="9"/>
      <c r="KR618" s="9"/>
      <c r="KS618" s="9"/>
      <c r="KT618" s="9"/>
      <c r="KU618" s="9"/>
      <c r="KV618" s="9"/>
      <c r="KW618" s="9"/>
      <c r="KX618" s="9"/>
      <c r="KY618" s="9"/>
      <c r="KZ618" s="9"/>
      <c r="LA618" s="9"/>
      <c r="LB618" s="9"/>
      <c r="LC618" s="9"/>
      <c r="LD618" s="9"/>
      <c r="LE618" s="9"/>
      <c r="LF618" s="9"/>
      <c r="LG618" s="9"/>
      <c r="LH618" s="9"/>
      <c r="LI618" s="9"/>
      <c r="LJ618" s="9"/>
      <c r="LK618" s="9"/>
      <c r="LL618" s="9"/>
      <c r="LM618" s="9"/>
      <c r="LN618" s="9"/>
      <c r="LO618" s="9"/>
      <c r="LP618" s="9"/>
      <c r="LQ618" s="9"/>
      <c r="LR618" s="9"/>
      <c r="LS618" s="9"/>
      <c r="LT618" s="9"/>
      <c r="LU618" s="9"/>
      <c r="LV618" s="9"/>
      <c r="LW618" s="9"/>
      <c r="LX618" s="9"/>
      <c r="LY618" s="9"/>
      <c r="LZ618" s="9"/>
      <c r="MA618" s="9"/>
      <c r="MB618" s="9"/>
      <c r="MC618" s="9"/>
      <c r="MD618" s="9"/>
      <c r="ME618" s="9"/>
      <c r="MF618" s="9"/>
      <c r="MG618" s="9"/>
      <c r="MH618" s="9"/>
      <c r="MI618" s="9"/>
      <c r="MJ618" s="9"/>
      <c r="MK618" s="9"/>
      <c r="ML618" s="9"/>
      <c r="MM618" s="9"/>
      <c r="MN618" s="9"/>
      <c r="MO618" s="9"/>
      <c r="MP618" s="9"/>
      <c r="MQ618" s="9"/>
      <c r="MR618" s="9"/>
      <c r="MS618" s="9"/>
      <c r="MT618" s="9"/>
      <c r="MU618" s="9"/>
      <c r="MV618" s="9"/>
      <c r="MW618" s="9"/>
      <c r="MX618" s="9"/>
      <c r="MY618" s="9"/>
      <c r="MZ618" s="9"/>
      <c r="NA618" s="9"/>
      <c r="NB618" s="9"/>
      <c r="NC618" s="9"/>
      <c r="ND618" s="9"/>
      <c r="NE618" s="9"/>
      <c r="NF618" s="9"/>
      <c r="NG618" s="9"/>
      <c r="NH618" s="9"/>
      <c r="NI618" s="9"/>
      <c r="NJ618" s="9"/>
      <c r="NK618" s="9"/>
      <c r="NL618" s="9"/>
      <c r="NM618" s="9"/>
      <c r="NN618" s="9"/>
      <c r="NO618" s="9"/>
      <c r="NP618" s="9"/>
      <c r="NQ618" s="9"/>
      <c r="NR618" s="9"/>
      <c r="NS618" s="9"/>
      <c r="NT618" s="9"/>
      <c r="NU618" s="9"/>
      <c r="NV618" s="9"/>
      <c r="NW618" s="9"/>
      <c r="NX618" s="9"/>
      <c r="NY618" s="9"/>
      <c r="NZ618" s="9"/>
      <c r="OA618" s="9"/>
      <c r="OB618" s="9"/>
      <c r="OC618" s="9"/>
      <c r="OD618" s="9"/>
      <c r="OE618" s="9"/>
      <c r="OF618" s="9"/>
      <c r="OG618" s="9"/>
      <c r="OH618" s="9"/>
      <c r="OI618" s="9"/>
      <c r="OJ618" s="9"/>
      <c r="OK618" s="9"/>
      <c r="OL618" s="9"/>
      <c r="OM618" s="9"/>
      <c r="ON618" s="9"/>
      <c r="OO618" s="9"/>
      <c r="OP618" s="9"/>
      <c r="OQ618" s="9"/>
      <c r="OR618" s="9"/>
      <c r="OS618" s="9"/>
      <c r="OT618" s="9"/>
      <c r="OU618" s="9"/>
      <c r="OV618" s="9"/>
      <c r="OW618" s="9"/>
      <c r="OX618" s="9"/>
      <c r="OY618" s="9"/>
      <c r="OZ618" s="9"/>
      <c r="PA618" s="9"/>
      <c r="PB618" s="9"/>
      <c r="PC618" s="9"/>
      <c r="PD618" s="9"/>
      <c r="PE618" s="9"/>
      <c r="PF618" s="9"/>
      <c r="PG618" s="9"/>
      <c r="PH618" s="9"/>
      <c r="PI618" s="9"/>
      <c r="PJ618" s="9"/>
      <c r="PK618" s="9"/>
      <c r="PL618" s="9"/>
      <c r="PM618" s="9"/>
      <c r="PN618" s="9"/>
      <c r="PO618" s="9"/>
      <c r="PP618" s="9"/>
      <c r="PQ618" s="9"/>
      <c r="PR618" s="9"/>
      <c r="PS618" s="9"/>
      <c r="PT618" s="9"/>
      <c r="PU618" s="9"/>
      <c r="PV618" s="9"/>
      <c r="PW618" s="9"/>
      <c r="PX618" s="9"/>
      <c r="PY618" s="9"/>
      <c r="PZ618" s="9"/>
      <c r="QA618" s="9"/>
      <c r="QB618" s="9"/>
      <c r="QC618" s="9"/>
      <c r="QD618" s="9"/>
      <c r="QE618" s="9"/>
      <c r="QF618" s="9"/>
      <c r="QG618" s="9"/>
      <c r="QH618" s="9"/>
      <c r="QI618" s="9"/>
      <c r="QJ618" s="9"/>
      <c r="QK618" s="9"/>
      <c r="QL618" s="9"/>
      <c r="QM618" s="9"/>
      <c r="QN618" s="9"/>
      <c r="QO618" s="9"/>
      <c r="QP618" s="9"/>
      <c r="QQ618" s="9"/>
      <c r="QR618" s="9"/>
      <c r="QS618" s="9"/>
      <c r="QT618" s="9"/>
      <c r="QU618" s="9"/>
      <c r="QV618" s="9"/>
      <c r="QW618" s="9"/>
      <c r="QX618" s="9"/>
      <c r="QY618" s="9"/>
      <c r="QZ618" s="9"/>
      <c r="RA618" s="9"/>
      <c r="RB618" s="9"/>
      <c r="RC618" s="9"/>
      <c r="RD618" s="9"/>
      <c r="RE618" s="9"/>
      <c r="RF618" s="9"/>
      <c r="RG618" s="9"/>
      <c r="RH618" s="9"/>
      <c r="RI618" s="9"/>
      <c r="RJ618" s="9"/>
      <c r="RK618" s="9"/>
      <c r="RL618" s="9"/>
      <c r="RM618" s="9"/>
      <c r="RN618" s="9"/>
      <c r="RO618" s="9"/>
      <c r="RP618" s="9"/>
      <c r="RQ618" s="9"/>
      <c r="RR618" s="9"/>
      <c r="RS618" s="9"/>
      <c r="RT618" s="9"/>
      <c r="RU618" s="9"/>
      <c r="RV618" s="9"/>
      <c r="RW618" s="9"/>
      <c r="RX618" s="9"/>
      <c r="RY618" s="9"/>
      <c r="RZ618" s="9"/>
      <c r="SA618" s="9"/>
      <c r="SB618" s="9"/>
      <c r="SC618" s="9"/>
      <c r="SD618" s="9"/>
      <c r="SE618" s="9"/>
      <c r="SF618" s="9"/>
      <c r="SG618" s="9"/>
      <c r="SH618" s="9"/>
      <c r="SI618" s="9"/>
      <c r="SJ618" s="9"/>
      <c r="SK618" s="9"/>
      <c r="SL618" s="9"/>
      <c r="SM618" s="9"/>
      <c r="SN618" s="9"/>
      <c r="SO618" s="9"/>
      <c r="SP618" s="9"/>
      <c r="SQ618" s="9"/>
      <c r="SR618" s="9"/>
      <c r="SS618" s="9"/>
      <c r="ST618" s="9"/>
      <c r="SU618" s="9"/>
      <c r="SV618" s="9"/>
      <c r="SW618" s="9"/>
      <c r="SX618" s="9"/>
      <c r="SY618" s="9"/>
      <c r="SZ618" s="9"/>
      <c r="TA618" s="9"/>
      <c r="TB618" s="9"/>
      <c r="TC618" s="9"/>
      <c r="TD618" s="9"/>
      <c r="TE618" s="9"/>
      <c r="TF618" s="9"/>
      <c r="TG618" s="9"/>
      <c r="TH618" s="9"/>
      <c r="TI618" s="9"/>
      <c r="TJ618" s="9"/>
      <c r="TK618" s="9"/>
      <c r="TL618" s="9"/>
      <c r="TM618" s="9"/>
      <c r="TN618" s="9"/>
      <c r="TO618" s="9"/>
      <c r="TP618" s="9"/>
      <c r="TQ618" s="9"/>
      <c r="TR618" s="9"/>
      <c r="TS618" s="9"/>
      <c r="TT618" s="9"/>
      <c r="TU618" s="9"/>
      <c r="TV618" s="9"/>
      <c r="TW618" s="9"/>
      <c r="TX618" s="9"/>
      <c r="TY618" s="9"/>
      <c r="TZ618" s="9"/>
      <c r="UA618" s="9"/>
      <c r="UB618" s="9"/>
      <c r="UC618" s="9"/>
      <c r="UD618" s="9"/>
      <c r="UE618" s="9"/>
      <c r="UF618" s="9"/>
      <c r="UG618" s="9"/>
      <c r="UH618" s="9"/>
      <c r="UI618" s="9"/>
      <c r="UJ618" s="9"/>
    </row>
    <row r="619">
      <c r="A619" s="8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  <c r="IC619" s="9"/>
      <c r="ID619" s="9"/>
      <c r="IE619" s="9"/>
      <c r="IF619" s="9"/>
      <c r="IG619" s="9"/>
      <c r="IH619" s="9"/>
      <c r="II619" s="9"/>
      <c r="IJ619" s="9"/>
      <c r="IK619" s="9"/>
      <c r="IL619" s="9"/>
      <c r="IM619" s="9"/>
      <c r="IN619" s="9"/>
      <c r="IO619" s="9"/>
      <c r="IP619" s="9"/>
      <c r="IQ619" s="9"/>
      <c r="IR619" s="9"/>
      <c r="IS619" s="9"/>
      <c r="IT619" s="9"/>
      <c r="IU619" s="9"/>
      <c r="IV619" s="9"/>
      <c r="IW619" s="9"/>
      <c r="IX619" s="9"/>
      <c r="IY619" s="9"/>
      <c r="IZ619" s="9"/>
      <c r="JA619" s="9"/>
      <c r="JB619" s="9"/>
      <c r="JC619" s="9"/>
      <c r="JD619" s="9"/>
      <c r="JE619" s="9"/>
      <c r="JF619" s="9"/>
      <c r="JG619" s="9"/>
      <c r="JH619" s="9"/>
      <c r="JI619" s="9"/>
      <c r="JJ619" s="9"/>
      <c r="JK619" s="9"/>
      <c r="JL619" s="9"/>
      <c r="JM619" s="9"/>
      <c r="JN619" s="9"/>
      <c r="JO619" s="9"/>
      <c r="JP619" s="9"/>
      <c r="JQ619" s="9"/>
      <c r="JR619" s="9"/>
      <c r="JS619" s="9"/>
      <c r="JT619" s="9"/>
      <c r="JU619" s="9"/>
      <c r="JV619" s="9"/>
      <c r="JW619" s="9"/>
      <c r="JX619" s="9"/>
      <c r="JY619" s="9"/>
      <c r="JZ619" s="9"/>
      <c r="KA619" s="9"/>
      <c r="KB619" s="9"/>
      <c r="KC619" s="9"/>
      <c r="KD619" s="9"/>
      <c r="KE619" s="9"/>
      <c r="KF619" s="9"/>
      <c r="KG619" s="9"/>
      <c r="KH619" s="9"/>
      <c r="KI619" s="9"/>
      <c r="KJ619" s="9"/>
      <c r="KK619" s="9"/>
      <c r="KL619" s="9"/>
      <c r="KM619" s="9"/>
      <c r="KN619" s="9"/>
      <c r="KO619" s="9"/>
      <c r="KP619" s="9"/>
      <c r="KQ619" s="9"/>
      <c r="KR619" s="9"/>
      <c r="KS619" s="9"/>
      <c r="KT619" s="9"/>
      <c r="KU619" s="9"/>
      <c r="KV619" s="9"/>
      <c r="KW619" s="9"/>
      <c r="KX619" s="9"/>
      <c r="KY619" s="9"/>
      <c r="KZ619" s="9"/>
      <c r="LA619" s="9"/>
      <c r="LB619" s="9"/>
      <c r="LC619" s="9"/>
      <c r="LD619" s="9"/>
      <c r="LE619" s="9"/>
      <c r="LF619" s="9"/>
      <c r="LG619" s="9"/>
      <c r="LH619" s="9"/>
      <c r="LI619" s="9"/>
      <c r="LJ619" s="9"/>
      <c r="LK619" s="9"/>
      <c r="LL619" s="9"/>
      <c r="LM619" s="9"/>
      <c r="LN619" s="9"/>
      <c r="LO619" s="9"/>
      <c r="LP619" s="9"/>
      <c r="LQ619" s="9"/>
      <c r="LR619" s="9"/>
      <c r="LS619" s="9"/>
      <c r="LT619" s="9"/>
      <c r="LU619" s="9"/>
      <c r="LV619" s="9"/>
      <c r="LW619" s="9"/>
      <c r="LX619" s="9"/>
      <c r="LY619" s="9"/>
      <c r="LZ619" s="9"/>
      <c r="MA619" s="9"/>
      <c r="MB619" s="9"/>
      <c r="MC619" s="9"/>
      <c r="MD619" s="9"/>
      <c r="ME619" s="9"/>
      <c r="MF619" s="9"/>
      <c r="MG619" s="9"/>
      <c r="MH619" s="9"/>
      <c r="MI619" s="9"/>
      <c r="MJ619" s="9"/>
      <c r="MK619" s="9"/>
      <c r="ML619" s="9"/>
      <c r="MM619" s="9"/>
      <c r="MN619" s="9"/>
      <c r="MO619" s="9"/>
      <c r="MP619" s="9"/>
      <c r="MQ619" s="9"/>
      <c r="MR619" s="9"/>
      <c r="MS619" s="9"/>
      <c r="MT619" s="9"/>
      <c r="MU619" s="9"/>
      <c r="MV619" s="9"/>
      <c r="MW619" s="9"/>
      <c r="MX619" s="9"/>
      <c r="MY619" s="9"/>
      <c r="MZ619" s="9"/>
      <c r="NA619" s="9"/>
      <c r="NB619" s="9"/>
      <c r="NC619" s="9"/>
      <c r="ND619" s="9"/>
      <c r="NE619" s="9"/>
      <c r="NF619" s="9"/>
      <c r="NG619" s="9"/>
      <c r="NH619" s="9"/>
      <c r="NI619" s="9"/>
      <c r="NJ619" s="9"/>
      <c r="NK619" s="9"/>
      <c r="NL619" s="9"/>
      <c r="NM619" s="9"/>
      <c r="NN619" s="9"/>
      <c r="NO619" s="9"/>
      <c r="NP619" s="9"/>
      <c r="NQ619" s="9"/>
      <c r="NR619" s="9"/>
      <c r="NS619" s="9"/>
      <c r="NT619" s="9"/>
      <c r="NU619" s="9"/>
      <c r="NV619" s="9"/>
      <c r="NW619" s="9"/>
      <c r="NX619" s="9"/>
      <c r="NY619" s="9"/>
      <c r="NZ619" s="9"/>
      <c r="OA619" s="9"/>
      <c r="OB619" s="9"/>
      <c r="OC619" s="9"/>
      <c r="OD619" s="9"/>
      <c r="OE619" s="9"/>
      <c r="OF619" s="9"/>
      <c r="OG619" s="9"/>
      <c r="OH619" s="9"/>
      <c r="OI619" s="9"/>
      <c r="OJ619" s="9"/>
      <c r="OK619" s="9"/>
      <c r="OL619" s="9"/>
      <c r="OM619" s="9"/>
      <c r="ON619" s="9"/>
      <c r="OO619" s="9"/>
      <c r="OP619" s="9"/>
      <c r="OQ619" s="9"/>
      <c r="OR619" s="9"/>
      <c r="OS619" s="9"/>
      <c r="OT619" s="9"/>
      <c r="OU619" s="9"/>
      <c r="OV619" s="9"/>
      <c r="OW619" s="9"/>
      <c r="OX619" s="9"/>
      <c r="OY619" s="9"/>
      <c r="OZ619" s="9"/>
      <c r="PA619" s="9"/>
      <c r="PB619" s="9"/>
      <c r="PC619" s="9"/>
      <c r="PD619" s="9"/>
      <c r="PE619" s="9"/>
      <c r="PF619" s="9"/>
      <c r="PG619" s="9"/>
      <c r="PH619" s="9"/>
      <c r="PI619" s="9"/>
      <c r="PJ619" s="9"/>
      <c r="PK619" s="9"/>
      <c r="PL619" s="9"/>
      <c r="PM619" s="9"/>
      <c r="PN619" s="9"/>
      <c r="PO619" s="9"/>
      <c r="PP619" s="9"/>
      <c r="PQ619" s="9"/>
      <c r="PR619" s="9"/>
      <c r="PS619" s="9"/>
      <c r="PT619" s="9"/>
      <c r="PU619" s="9"/>
      <c r="PV619" s="9"/>
      <c r="PW619" s="9"/>
      <c r="PX619" s="9"/>
      <c r="PY619" s="9"/>
      <c r="PZ619" s="9"/>
      <c r="QA619" s="9"/>
      <c r="QB619" s="9"/>
      <c r="QC619" s="9"/>
      <c r="QD619" s="9"/>
      <c r="QE619" s="9"/>
      <c r="QF619" s="9"/>
      <c r="QG619" s="9"/>
      <c r="QH619" s="9"/>
      <c r="QI619" s="9"/>
      <c r="QJ619" s="9"/>
      <c r="QK619" s="9"/>
      <c r="QL619" s="9"/>
      <c r="QM619" s="9"/>
      <c r="QN619" s="9"/>
      <c r="QO619" s="9"/>
      <c r="QP619" s="9"/>
      <c r="QQ619" s="9"/>
      <c r="QR619" s="9"/>
      <c r="QS619" s="9"/>
      <c r="QT619" s="9"/>
      <c r="QU619" s="9"/>
      <c r="QV619" s="9"/>
      <c r="QW619" s="9"/>
      <c r="QX619" s="9"/>
      <c r="QY619" s="9"/>
      <c r="QZ619" s="9"/>
      <c r="RA619" s="9"/>
      <c r="RB619" s="9"/>
      <c r="RC619" s="9"/>
      <c r="RD619" s="9"/>
      <c r="RE619" s="9"/>
      <c r="RF619" s="9"/>
      <c r="RG619" s="9"/>
      <c r="RH619" s="9"/>
      <c r="RI619" s="9"/>
      <c r="RJ619" s="9"/>
      <c r="RK619" s="9"/>
      <c r="RL619" s="9"/>
      <c r="RM619" s="9"/>
      <c r="RN619" s="9"/>
      <c r="RO619" s="9"/>
      <c r="RP619" s="9"/>
      <c r="RQ619" s="9"/>
      <c r="RR619" s="9"/>
      <c r="RS619" s="9"/>
      <c r="RT619" s="9"/>
      <c r="RU619" s="9"/>
      <c r="RV619" s="9"/>
      <c r="RW619" s="9"/>
      <c r="RX619" s="9"/>
      <c r="RY619" s="9"/>
      <c r="RZ619" s="9"/>
      <c r="SA619" s="9"/>
      <c r="SB619" s="9"/>
      <c r="SC619" s="9"/>
      <c r="SD619" s="9"/>
      <c r="SE619" s="9"/>
      <c r="SF619" s="9"/>
      <c r="SG619" s="9"/>
      <c r="SH619" s="9"/>
      <c r="SI619" s="9"/>
      <c r="SJ619" s="9"/>
      <c r="SK619" s="9"/>
      <c r="SL619" s="9"/>
      <c r="SM619" s="9"/>
      <c r="SN619" s="9"/>
      <c r="SO619" s="9"/>
      <c r="SP619" s="9"/>
      <c r="SQ619" s="9"/>
      <c r="SR619" s="9"/>
      <c r="SS619" s="9"/>
      <c r="ST619" s="9"/>
      <c r="SU619" s="9"/>
      <c r="SV619" s="9"/>
      <c r="SW619" s="9"/>
      <c r="SX619" s="9"/>
      <c r="SY619" s="9"/>
      <c r="SZ619" s="9"/>
      <c r="TA619" s="9"/>
      <c r="TB619" s="9"/>
      <c r="TC619" s="9"/>
      <c r="TD619" s="9"/>
      <c r="TE619" s="9"/>
      <c r="TF619" s="9"/>
      <c r="TG619" s="9"/>
      <c r="TH619" s="9"/>
      <c r="TI619" s="9"/>
      <c r="TJ619" s="9"/>
      <c r="TK619" s="9"/>
      <c r="TL619" s="9"/>
      <c r="TM619" s="9"/>
      <c r="TN619" s="9"/>
      <c r="TO619" s="9"/>
      <c r="TP619" s="9"/>
      <c r="TQ619" s="9"/>
      <c r="TR619" s="9"/>
      <c r="TS619" s="9"/>
      <c r="TT619" s="9"/>
      <c r="TU619" s="9"/>
      <c r="TV619" s="9"/>
      <c r="TW619" s="9"/>
      <c r="TX619" s="9"/>
      <c r="TY619" s="9"/>
      <c r="TZ619" s="9"/>
      <c r="UA619" s="9"/>
      <c r="UB619" s="9"/>
      <c r="UC619" s="9"/>
      <c r="UD619" s="9"/>
      <c r="UE619" s="9"/>
      <c r="UF619" s="9"/>
      <c r="UG619" s="9"/>
      <c r="UH619" s="9"/>
      <c r="UI619" s="9"/>
      <c r="UJ619" s="9"/>
    </row>
    <row r="620">
      <c r="A620" s="8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  <c r="IC620" s="9"/>
      <c r="ID620" s="9"/>
      <c r="IE620" s="9"/>
      <c r="IF620" s="9"/>
      <c r="IG620" s="9"/>
      <c r="IH620" s="9"/>
      <c r="II620" s="9"/>
      <c r="IJ620" s="9"/>
      <c r="IK620" s="9"/>
      <c r="IL620" s="9"/>
      <c r="IM620" s="9"/>
      <c r="IN620" s="9"/>
      <c r="IO620" s="9"/>
      <c r="IP620" s="9"/>
      <c r="IQ620" s="9"/>
      <c r="IR620" s="9"/>
      <c r="IS620" s="9"/>
      <c r="IT620" s="9"/>
      <c r="IU620" s="9"/>
      <c r="IV620" s="9"/>
      <c r="IW620" s="9"/>
      <c r="IX620" s="9"/>
      <c r="IY620" s="9"/>
      <c r="IZ620" s="9"/>
      <c r="JA620" s="9"/>
      <c r="JB620" s="9"/>
      <c r="JC620" s="9"/>
      <c r="JD620" s="9"/>
      <c r="JE620" s="9"/>
      <c r="JF620" s="9"/>
      <c r="JG620" s="9"/>
      <c r="JH620" s="9"/>
      <c r="JI620" s="9"/>
      <c r="JJ620" s="9"/>
      <c r="JK620" s="9"/>
      <c r="JL620" s="9"/>
      <c r="JM620" s="9"/>
      <c r="JN620" s="9"/>
      <c r="JO620" s="9"/>
      <c r="JP620" s="9"/>
      <c r="JQ620" s="9"/>
      <c r="JR620" s="9"/>
      <c r="JS620" s="9"/>
      <c r="JT620" s="9"/>
      <c r="JU620" s="9"/>
      <c r="JV620" s="9"/>
      <c r="JW620" s="9"/>
      <c r="JX620" s="9"/>
      <c r="JY620" s="9"/>
      <c r="JZ620" s="9"/>
      <c r="KA620" s="9"/>
      <c r="KB620" s="9"/>
      <c r="KC620" s="9"/>
      <c r="KD620" s="9"/>
      <c r="KE620" s="9"/>
      <c r="KF620" s="9"/>
      <c r="KG620" s="9"/>
      <c r="KH620" s="9"/>
      <c r="KI620" s="9"/>
      <c r="KJ620" s="9"/>
      <c r="KK620" s="9"/>
      <c r="KL620" s="9"/>
      <c r="KM620" s="9"/>
      <c r="KN620" s="9"/>
      <c r="KO620" s="9"/>
      <c r="KP620" s="9"/>
      <c r="KQ620" s="9"/>
      <c r="KR620" s="9"/>
      <c r="KS620" s="9"/>
      <c r="KT620" s="9"/>
      <c r="KU620" s="9"/>
      <c r="KV620" s="9"/>
      <c r="KW620" s="9"/>
      <c r="KX620" s="9"/>
      <c r="KY620" s="9"/>
      <c r="KZ620" s="9"/>
      <c r="LA620" s="9"/>
      <c r="LB620" s="9"/>
      <c r="LC620" s="9"/>
      <c r="LD620" s="9"/>
      <c r="LE620" s="9"/>
      <c r="LF620" s="9"/>
      <c r="LG620" s="9"/>
      <c r="LH620" s="9"/>
      <c r="LI620" s="9"/>
      <c r="LJ620" s="9"/>
      <c r="LK620" s="9"/>
      <c r="LL620" s="9"/>
      <c r="LM620" s="9"/>
      <c r="LN620" s="9"/>
      <c r="LO620" s="9"/>
      <c r="LP620" s="9"/>
      <c r="LQ620" s="9"/>
      <c r="LR620" s="9"/>
      <c r="LS620" s="9"/>
      <c r="LT620" s="9"/>
      <c r="LU620" s="9"/>
      <c r="LV620" s="9"/>
      <c r="LW620" s="9"/>
      <c r="LX620" s="9"/>
      <c r="LY620" s="9"/>
      <c r="LZ620" s="9"/>
      <c r="MA620" s="9"/>
      <c r="MB620" s="9"/>
      <c r="MC620" s="9"/>
      <c r="MD620" s="9"/>
      <c r="ME620" s="9"/>
      <c r="MF620" s="9"/>
      <c r="MG620" s="9"/>
      <c r="MH620" s="9"/>
      <c r="MI620" s="9"/>
      <c r="MJ620" s="9"/>
      <c r="MK620" s="9"/>
      <c r="ML620" s="9"/>
      <c r="MM620" s="9"/>
      <c r="MN620" s="9"/>
      <c r="MO620" s="9"/>
      <c r="MP620" s="9"/>
      <c r="MQ620" s="9"/>
      <c r="MR620" s="9"/>
      <c r="MS620" s="9"/>
      <c r="MT620" s="9"/>
      <c r="MU620" s="9"/>
      <c r="MV620" s="9"/>
      <c r="MW620" s="9"/>
      <c r="MX620" s="9"/>
      <c r="MY620" s="9"/>
      <c r="MZ620" s="9"/>
      <c r="NA620" s="9"/>
      <c r="NB620" s="9"/>
      <c r="NC620" s="9"/>
      <c r="ND620" s="9"/>
      <c r="NE620" s="9"/>
      <c r="NF620" s="9"/>
      <c r="NG620" s="9"/>
      <c r="NH620" s="9"/>
      <c r="NI620" s="9"/>
      <c r="NJ620" s="9"/>
      <c r="NK620" s="9"/>
      <c r="NL620" s="9"/>
      <c r="NM620" s="9"/>
      <c r="NN620" s="9"/>
      <c r="NO620" s="9"/>
      <c r="NP620" s="9"/>
      <c r="NQ620" s="9"/>
      <c r="NR620" s="9"/>
      <c r="NS620" s="9"/>
      <c r="NT620" s="9"/>
      <c r="NU620" s="9"/>
      <c r="NV620" s="9"/>
      <c r="NW620" s="9"/>
      <c r="NX620" s="9"/>
      <c r="NY620" s="9"/>
      <c r="NZ620" s="9"/>
      <c r="OA620" s="9"/>
      <c r="OB620" s="9"/>
      <c r="OC620" s="9"/>
      <c r="OD620" s="9"/>
      <c r="OE620" s="9"/>
      <c r="OF620" s="9"/>
      <c r="OG620" s="9"/>
      <c r="OH620" s="9"/>
      <c r="OI620" s="9"/>
      <c r="OJ620" s="9"/>
      <c r="OK620" s="9"/>
      <c r="OL620" s="9"/>
      <c r="OM620" s="9"/>
      <c r="ON620" s="9"/>
      <c r="OO620" s="9"/>
      <c r="OP620" s="9"/>
      <c r="OQ620" s="9"/>
      <c r="OR620" s="9"/>
      <c r="OS620" s="9"/>
      <c r="OT620" s="9"/>
      <c r="OU620" s="9"/>
      <c r="OV620" s="9"/>
      <c r="OW620" s="9"/>
      <c r="OX620" s="9"/>
      <c r="OY620" s="9"/>
      <c r="OZ620" s="9"/>
      <c r="PA620" s="9"/>
      <c r="PB620" s="9"/>
      <c r="PC620" s="9"/>
      <c r="PD620" s="9"/>
      <c r="PE620" s="9"/>
      <c r="PF620" s="9"/>
      <c r="PG620" s="9"/>
      <c r="PH620" s="9"/>
      <c r="PI620" s="9"/>
      <c r="PJ620" s="9"/>
      <c r="PK620" s="9"/>
      <c r="PL620" s="9"/>
      <c r="PM620" s="9"/>
      <c r="PN620" s="9"/>
      <c r="PO620" s="9"/>
      <c r="PP620" s="9"/>
      <c r="PQ620" s="9"/>
      <c r="PR620" s="9"/>
      <c r="PS620" s="9"/>
      <c r="PT620" s="9"/>
      <c r="PU620" s="9"/>
      <c r="PV620" s="9"/>
      <c r="PW620" s="9"/>
      <c r="PX620" s="9"/>
      <c r="PY620" s="9"/>
      <c r="PZ620" s="9"/>
      <c r="QA620" s="9"/>
      <c r="QB620" s="9"/>
      <c r="QC620" s="9"/>
      <c r="QD620" s="9"/>
      <c r="QE620" s="9"/>
      <c r="QF620" s="9"/>
      <c r="QG620" s="9"/>
      <c r="QH620" s="9"/>
      <c r="QI620" s="9"/>
      <c r="QJ620" s="9"/>
      <c r="QK620" s="9"/>
      <c r="QL620" s="9"/>
      <c r="QM620" s="9"/>
      <c r="QN620" s="9"/>
      <c r="QO620" s="9"/>
      <c r="QP620" s="9"/>
      <c r="QQ620" s="9"/>
      <c r="QR620" s="9"/>
      <c r="QS620" s="9"/>
      <c r="QT620" s="9"/>
      <c r="QU620" s="9"/>
      <c r="QV620" s="9"/>
      <c r="QW620" s="9"/>
      <c r="QX620" s="9"/>
      <c r="QY620" s="9"/>
      <c r="QZ620" s="9"/>
      <c r="RA620" s="9"/>
      <c r="RB620" s="9"/>
      <c r="RC620" s="9"/>
      <c r="RD620" s="9"/>
      <c r="RE620" s="9"/>
      <c r="RF620" s="9"/>
      <c r="RG620" s="9"/>
      <c r="RH620" s="9"/>
      <c r="RI620" s="9"/>
      <c r="RJ620" s="9"/>
      <c r="RK620" s="9"/>
      <c r="RL620" s="9"/>
      <c r="RM620" s="9"/>
      <c r="RN620" s="9"/>
      <c r="RO620" s="9"/>
      <c r="RP620" s="9"/>
      <c r="RQ620" s="9"/>
      <c r="RR620" s="9"/>
      <c r="RS620" s="9"/>
      <c r="RT620" s="9"/>
      <c r="RU620" s="9"/>
      <c r="RV620" s="9"/>
      <c r="RW620" s="9"/>
      <c r="RX620" s="9"/>
      <c r="RY620" s="9"/>
      <c r="RZ620" s="9"/>
      <c r="SA620" s="9"/>
      <c r="SB620" s="9"/>
      <c r="SC620" s="9"/>
      <c r="SD620" s="9"/>
      <c r="SE620" s="9"/>
      <c r="SF620" s="9"/>
      <c r="SG620" s="9"/>
      <c r="SH620" s="9"/>
      <c r="SI620" s="9"/>
      <c r="SJ620" s="9"/>
      <c r="SK620" s="9"/>
      <c r="SL620" s="9"/>
      <c r="SM620" s="9"/>
      <c r="SN620" s="9"/>
      <c r="SO620" s="9"/>
      <c r="SP620" s="9"/>
      <c r="SQ620" s="9"/>
      <c r="SR620" s="9"/>
      <c r="SS620" s="9"/>
      <c r="ST620" s="9"/>
      <c r="SU620" s="9"/>
      <c r="SV620" s="9"/>
      <c r="SW620" s="9"/>
      <c r="SX620" s="9"/>
      <c r="SY620" s="9"/>
      <c r="SZ620" s="9"/>
      <c r="TA620" s="9"/>
      <c r="TB620" s="9"/>
      <c r="TC620" s="9"/>
      <c r="TD620" s="9"/>
      <c r="TE620" s="9"/>
      <c r="TF620" s="9"/>
      <c r="TG620" s="9"/>
      <c r="TH620" s="9"/>
      <c r="TI620" s="9"/>
      <c r="TJ620" s="9"/>
      <c r="TK620" s="9"/>
      <c r="TL620" s="9"/>
      <c r="TM620" s="9"/>
      <c r="TN620" s="9"/>
      <c r="TO620" s="9"/>
      <c r="TP620" s="9"/>
      <c r="TQ620" s="9"/>
      <c r="TR620" s="9"/>
      <c r="TS620" s="9"/>
      <c r="TT620" s="9"/>
      <c r="TU620" s="9"/>
      <c r="TV620" s="9"/>
      <c r="TW620" s="9"/>
      <c r="TX620" s="9"/>
      <c r="TY620" s="9"/>
      <c r="TZ620" s="9"/>
      <c r="UA620" s="9"/>
      <c r="UB620" s="9"/>
      <c r="UC620" s="9"/>
      <c r="UD620" s="9"/>
      <c r="UE620" s="9"/>
      <c r="UF620" s="9"/>
      <c r="UG620" s="9"/>
      <c r="UH620" s="9"/>
      <c r="UI620" s="9"/>
      <c r="UJ620" s="9"/>
    </row>
    <row r="621">
      <c r="A621" s="8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  <c r="IN621" s="9"/>
      <c r="IO621" s="9"/>
      <c r="IP621" s="9"/>
      <c r="IQ621" s="9"/>
      <c r="IR621" s="9"/>
      <c r="IS621" s="9"/>
      <c r="IT621" s="9"/>
      <c r="IU621" s="9"/>
      <c r="IV621" s="9"/>
      <c r="IW621" s="9"/>
      <c r="IX621" s="9"/>
      <c r="IY621" s="9"/>
      <c r="IZ621" s="9"/>
      <c r="JA621" s="9"/>
      <c r="JB621" s="9"/>
      <c r="JC621" s="9"/>
      <c r="JD621" s="9"/>
      <c r="JE621" s="9"/>
      <c r="JF621" s="9"/>
      <c r="JG621" s="9"/>
      <c r="JH621" s="9"/>
      <c r="JI621" s="9"/>
      <c r="JJ621" s="9"/>
      <c r="JK621" s="9"/>
      <c r="JL621" s="9"/>
      <c r="JM621" s="9"/>
      <c r="JN621" s="9"/>
      <c r="JO621" s="9"/>
      <c r="JP621" s="9"/>
      <c r="JQ621" s="9"/>
      <c r="JR621" s="9"/>
      <c r="JS621" s="9"/>
      <c r="JT621" s="9"/>
      <c r="JU621" s="9"/>
      <c r="JV621" s="9"/>
      <c r="JW621" s="9"/>
      <c r="JX621" s="9"/>
      <c r="JY621" s="9"/>
      <c r="JZ621" s="9"/>
      <c r="KA621" s="9"/>
      <c r="KB621" s="9"/>
      <c r="KC621" s="9"/>
      <c r="KD621" s="9"/>
      <c r="KE621" s="9"/>
      <c r="KF621" s="9"/>
      <c r="KG621" s="9"/>
      <c r="KH621" s="9"/>
      <c r="KI621" s="9"/>
      <c r="KJ621" s="9"/>
      <c r="KK621" s="9"/>
      <c r="KL621" s="9"/>
      <c r="KM621" s="9"/>
      <c r="KN621" s="9"/>
      <c r="KO621" s="9"/>
      <c r="KP621" s="9"/>
      <c r="KQ621" s="9"/>
      <c r="KR621" s="9"/>
      <c r="KS621" s="9"/>
      <c r="KT621" s="9"/>
      <c r="KU621" s="9"/>
      <c r="KV621" s="9"/>
      <c r="KW621" s="9"/>
      <c r="KX621" s="9"/>
      <c r="KY621" s="9"/>
      <c r="KZ621" s="9"/>
      <c r="LA621" s="9"/>
      <c r="LB621" s="9"/>
      <c r="LC621" s="9"/>
      <c r="LD621" s="9"/>
      <c r="LE621" s="9"/>
      <c r="LF621" s="9"/>
      <c r="LG621" s="9"/>
      <c r="LH621" s="9"/>
      <c r="LI621" s="9"/>
      <c r="LJ621" s="9"/>
      <c r="LK621" s="9"/>
      <c r="LL621" s="9"/>
      <c r="LM621" s="9"/>
      <c r="LN621" s="9"/>
      <c r="LO621" s="9"/>
      <c r="LP621" s="9"/>
      <c r="LQ621" s="9"/>
      <c r="LR621" s="9"/>
      <c r="LS621" s="9"/>
      <c r="LT621" s="9"/>
      <c r="LU621" s="9"/>
      <c r="LV621" s="9"/>
      <c r="LW621" s="9"/>
      <c r="LX621" s="9"/>
      <c r="LY621" s="9"/>
      <c r="LZ621" s="9"/>
      <c r="MA621" s="9"/>
      <c r="MB621" s="9"/>
      <c r="MC621" s="9"/>
      <c r="MD621" s="9"/>
      <c r="ME621" s="9"/>
      <c r="MF621" s="9"/>
      <c r="MG621" s="9"/>
      <c r="MH621" s="9"/>
      <c r="MI621" s="9"/>
      <c r="MJ621" s="9"/>
      <c r="MK621" s="9"/>
      <c r="ML621" s="9"/>
      <c r="MM621" s="9"/>
      <c r="MN621" s="9"/>
      <c r="MO621" s="9"/>
      <c r="MP621" s="9"/>
      <c r="MQ621" s="9"/>
      <c r="MR621" s="9"/>
      <c r="MS621" s="9"/>
      <c r="MT621" s="9"/>
      <c r="MU621" s="9"/>
      <c r="MV621" s="9"/>
      <c r="MW621" s="9"/>
      <c r="MX621" s="9"/>
      <c r="MY621" s="9"/>
      <c r="MZ621" s="9"/>
      <c r="NA621" s="9"/>
      <c r="NB621" s="9"/>
      <c r="NC621" s="9"/>
      <c r="ND621" s="9"/>
      <c r="NE621" s="9"/>
      <c r="NF621" s="9"/>
      <c r="NG621" s="9"/>
      <c r="NH621" s="9"/>
      <c r="NI621" s="9"/>
      <c r="NJ621" s="9"/>
      <c r="NK621" s="9"/>
      <c r="NL621" s="9"/>
      <c r="NM621" s="9"/>
      <c r="NN621" s="9"/>
      <c r="NO621" s="9"/>
      <c r="NP621" s="9"/>
      <c r="NQ621" s="9"/>
      <c r="NR621" s="9"/>
      <c r="NS621" s="9"/>
      <c r="NT621" s="9"/>
      <c r="NU621" s="9"/>
      <c r="NV621" s="9"/>
      <c r="NW621" s="9"/>
      <c r="NX621" s="9"/>
      <c r="NY621" s="9"/>
      <c r="NZ621" s="9"/>
      <c r="OA621" s="9"/>
      <c r="OB621" s="9"/>
      <c r="OC621" s="9"/>
      <c r="OD621" s="9"/>
      <c r="OE621" s="9"/>
      <c r="OF621" s="9"/>
      <c r="OG621" s="9"/>
      <c r="OH621" s="9"/>
      <c r="OI621" s="9"/>
      <c r="OJ621" s="9"/>
      <c r="OK621" s="9"/>
      <c r="OL621" s="9"/>
      <c r="OM621" s="9"/>
      <c r="ON621" s="9"/>
      <c r="OO621" s="9"/>
      <c r="OP621" s="9"/>
      <c r="OQ621" s="9"/>
      <c r="OR621" s="9"/>
      <c r="OS621" s="9"/>
      <c r="OT621" s="9"/>
      <c r="OU621" s="9"/>
      <c r="OV621" s="9"/>
      <c r="OW621" s="9"/>
      <c r="OX621" s="9"/>
      <c r="OY621" s="9"/>
      <c r="OZ621" s="9"/>
      <c r="PA621" s="9"/>
      <c r="PB621" s="9"/>
      <c r="PC621" s="9"/>
      <c r="PD621" s="9"/>
      <c r="PE621" s="9"/>
      <c r="PF621" s="9"/>
      <c r="PG621" s="9"/>
      <c r="PH621" s="9"/>
      <c r="PI621" s="9"/>
      <c r="PJ621" s="9"/>
      <c r="PK621" s="9"/>
      <c r="PL621" s="9"/>
      <c r="PM621" s="9"/>
      <c r="PN621" s="9"/>
      <c r="PO621" s="9"/>
      <c r="PP621" s="9"/>
      <c r="PQ621" s="9"/>
      <c r="PR621" s="9"/>
      <c r="PS621" s="9"/>
      <c r="PT621" s="9"/>
      <c r="PU621" s="9"/>
      <c r="PV621" s="9"/>
      <c r="PW621" s="9"/>
      <c r="PX621" s="9"/>
      <c r="PY621" s="9"/>
      <c r="PZ621" s="9"/>
      <c r="QA621" s="9"/>
      <c r="QB621" s="9"/>
      <c r="QC621" s="9"/>
      <c r="QD621" s="9"/>
      <c r="QE621" s="9"/>
      <c r="QF621" s="9"/>
      <c r="QG621" s="9"/>
      <c r="QH621" s="9"/>
      <c r="QI621" s="9"/>
      <c r="QJ621" s="9"/>
      <c r="QK621" s="9"/>
      <c r="QL621" s="9"/>
      <c r="QM621" s="9"/>
      <c r="QN621" s="9"/>
      <c r="QO621" s="9"/>
      <c r="QP621" s="9"/>
      <c r="QQ621" s="9"/>
      <c r="QR621" s="9"/>
      <c r="QS621" s="9"/>
      <c r="QT621" s="9"/>
      <c r="QU621" s="9"/>
      <c r="QV621" s="9"/>
      <c r="QW621" s="9"/>
      <c r="QX621" s="9"/>
      <c r="QY621" s="9"/>
      <c r="QZ621" s="9"/>
      <c r="RA621" s="9"/>
      <c r="RB621" s="9"/>
      <c r="RC621" s="9"/>
      <c r="RD621" s="9"/>
      <c r="RE621" s="9"/>
      <c r="RF621" s="9"/>
      <c r="RG621" s="9"/>
      <c r="RH621" s="9"/>
      <c r="RI621" s="9"/>
      <c r="RJ621" s="9"/>
      <c r="RK621" s="9"/>
      <c r="RL621" s="9"/>
      <c r="RM621" s="9"/>
      <c r="RN621" s="9"/>
      <c r="RO621" s="9"/>
      <c r="RP621" s="9"/>
      <c r="RQ621" s="9"/>
      <c r="RR621" s="9"/>
      <c r="RS621" s="9"/>
      <c r="RT621" s="9"/>
      <c r="RU621" s="9"/>
      <c r="RV621" s="9"/>
      <c r="RW621" s="9"/>
      <c r="RX621" s="9"/>
      <c r="RY621" s="9"/>
      <c r="RZ621" s="9"/>
      <c r="SA621" s="9"/>
      <c r="SB621" s="9"/>
      <c r="SC621" s="9"/>
      <c r="SD621" s="9"/>
      <c r="SE621" s="9"/>
      <c r="SF621" s="9"/>
      <c r="SG621" s="9"/>
      <c r="SH621" s="9"/>
      <c r="SI621" s="9"/>
      <c r="SJ621" s="9"/>
      <c r="SK621" s="9"/>
      <c r="SL621" s="9"/>
      <c r="SM621" s="9"/>
      <c r="SN621" s="9"/>
      <c r="SO621" s="9"/>
      <c r="SP621" s="9"/>
      <c r="SQ621" s="9"/>
      <c r="SR621" s="9"/>
      <c r="SS621" s="9"/>
      <c r="ST621" s="9"/>
      <c r="SU621" s="9"/>
      <c r="SV621" s="9"/>
      <c r="SW621" s="9"/>
      <c r="SX621" s="9"/>
      <c r="SY621" s="9"/>
      <c r="SZ621" s="9"/>
      <c r="TA621" s="9"/>
      <c r="TB621" s="9"/>
      <c r="TC621" s="9"/>
      <c r="TD621" s="9"/>
      <c r="TE621" s="9"/>
      <c r="TF621" s="9"/>
      <c r="TG621" s="9"/>
      <c r="TH621" s="9"/>
      <c r="TI621" s="9"/>
      <c r="TJ621" s="9"/>
      <c r="TK621" s="9"/>
      <c r="TL621" s="9"/>
      <c r="TM621" s="9"/>
      <c r="TN621" s="9"/>
      <c r="TO621" s="9"/>
      <c r="TP621" s="9"/>
      <c r="TQ621" s="9"/>
      <c r="TR621" s="9"/>
      <c r="TS621" s="9"/>
      <c r="TT621" s="9"/>
      <c r="TU621" s="9"/>
      <c r="TV621" s="9"/>
      <c r="TW621" s="9"/>
      <c r="TX621" s="9"/>
      <c r="TY621" s="9"/>
      <c r="TZ621" s="9"/>
      <c r="UA621" s="9"/>
      <c r="UB621" s="9"/>
      <c r="UC621" s="9"/>
      <c r="UD621" s="9"/>
      <c r="UE621" s="9"/>
      <c r="UF621" s="9"/>
      <c r="UG621" s="9"/>
      <c r="UH621" s="9"/>
      <c r="UI621" s="9"/>
      <c r="UJ621" s="9"/>
    </row>
    <row r="622">
      <c r="A622" s="8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  <c r="HZ622" s="9"/>
      <c r="IA622" s="9"/>
      <c r="IB622" s="9"/>
      <c r="IC622" s="9"/>
      <c r="ID622" s="9"/>
      <c r="IE622" s="9"/>
      <c r="IF622" s="9"/>
      <c r="IG622" s="9"/>
      <c r="IH622" s="9"/>
      <c r="II622" s="9"/>
      <c r="IJ622" s="9"/>
      <c r="IK622" s="9"/>
      <c r="IL622" s="9"/>
      <c r="IM622" s="9"/>
      <c r="IN622" s="9"/>
      <c r="IO622" s="9"/>
      <c r="IP622" s="9"/>
      <c r="IQ622" s="9"/>
      <c r="IR622" s="9"/>
      <c r="IS622" s="9"/>
      <c r="IT622" s="9"/>
      <c r="IU622" s="9"/>
      <c r="IV622" s="9"/>
      <c r="IW622" s="9"/>
      <c r="IX622" s="9"/>
      <c r="IY622" s="9"/>
      <c r="IZ622" s="9"/>
      <c r="JA622" s="9"/>
      <c r="JB622" s="9"/>
      <c r="JC622" s="9"/>
      <c r="JD622" s="9"/>
      <c r="JE622" s="9"/>
      <c r="JF622" s="9"/>
      <c r="JG622" s="9"/>
      <c r="JH622" s="9"/>
      <c r="JI622" s="9"/>
      <c r="JJ622" s="9"/>
      <c r="JK622" s="9"/>
      <c r="JL622" s="9"/>
      <c r="JM622" s="9"/>
      <c r="JN622" s="9"/>
      <c r="JO622" s="9"/>
      <c r="JP622" s="9"/>
      <c r="JQ622" s="9"/>
      <c r="JR622" s="9"/>
      <c r="JS622" s="9"/>
      <c r="JT622" s="9"/>
      <c r="JU622" s="9"/>
      <c r="JV622" s="9"/>
      <c r="JW622" s="9"/>
      <c r="JX622" s="9"/>
      <c r="JY622" s="9"/>
      <c r="JZ622" s="9"/>
      <c r="KA622" s="9"/>
      <c r="KB622" s="9"/>
      <c r="KC622" s="9"/>
      <c r="KD622" s="9"/>
      <c r="KE622" s="9"/>
      <c r="KF622" s="9"/>
      <c r="KG622" s="9"/>
      <c r="KH622" s="9"/>
      <c r="KI622" s="9"/>
      <c r="KJ622" s="9"/>
      <c r="KK622" s="9"/>
      <c r="KL622" s="9"/>
      <c r="KM622" s="9"/>
      <c r="KN622" s="9"/>
      <c r="KO622" s="9"/>
      <c r="KP622" s="9"/>
      <c r="KQ622" s="9"/>
      <c r="KR622" s="9"/>
      <c r="KS622" s="9"/>
      <c r="KT622" s="9"/>
      <c r="KU622" s="9"/>
      <c r="KV622" s="9"/>
      <c r="KW622" s="9"/>
      <c r="KX622" s="9"/>
      <c r="KY622" s="9"/>
      <c r="KZ622" s="9"/>
      <c r="LA622" s="9"/>
      <c r="LB622" s="9"/>
      <c r="LC622" s="9"/>
      <c r="LD622" s="9"/>
      <c r="LE622" s="9"/>
      <c r="LF622" s="9"/>
      <c r="LG622" s="9"/>
      <c r="LH622" s="9"/>
      <c r="LI622" s="9"/>
      <c r="LJ622" s="9"/>
      <c r="LK622" s="9"/>
      <c r="LL622" s="9"/>
      <c r="LM622" s="9"/>
      <c r="LN622" s="9"/>
      <c r="LO622" s="9"/>
      <c r="LP622" s="9"/>
      <c r="LQ622" s="9"/>
      <c r="LR622" s="9"/>
      <c r="LS622" s="9"/>
      <c r="LT622" s="9"/>
      <c r="LU622" s="9"/>
      <c r="LV622" s="9"/>
      <c r="LW622" s="9"/>
      <c r="LX622" s="9"/>
      <c r="LY622" s="9"/>
      <c r="LZ622" s="9"/>
      <c r="MA622" s="9"/>
      <c r="MB622" s="9"/>
      <c r="MC622" s="9"/>
      <c r="MD622" s="9"/>
      <c r="ME622" s="9"/>
      <c r="MF622" s="9"/>
      <c r="MG622" s="9"/>
      <c r="MH622" s="9"/>
      <c r="MI622" s="9"/>
      <c r="MJ622" s="9"/>
      <c r="MK622" s="9"/>
      <c r="ML622" s="9"/>
      <c r="MM622" s="9"/>
      <c r="MN622" s="9"/>
      <c r="MO622" s="9"/>
      <c r="MP622" s="9"/>
      <c r="MQ622" s="9"/>
      <c r="MR622" s="9"/>
      <c r="MS622" s="9"/>
      <c r="MT622" s="9"/>
      <c r="MU622" s="9"/>
      <c r="MV622" s="9"/>
      <c r="MW622" s="9"/>
      <c r="MX622" s="9"/>
      <c r="MY622" s="9"/>
      <c r="MZ622" s="9"/>
      <c r="NA622" s="9"/>
      <c r="NB622" s="9"/>
      <c r="NC622" s="9"/>
      <c r="ND622" s="9"/>
      <c r="NE622" s="9"/>
      <c r="NF622" s="9"/>
      <c r="NG622" s="9"/>
      <c r="NH622" s="9"/>
      <c r="NI622" s="9"/>
      <c r="NJ622" s="9"/>
      <c r="NK622" s="9"/>
      <c r="NL622" s="9"/>
      <c r="NM622" s="9"/>
      <c r="NN622" s="9"/>
      <c r="NO622" s="9"/>
      <c r="NP622" s="9"/>
      <c r="NQ622" s="9"/>
      <c r="NR622" s="9"/>
      <c r="NS622" s="9"/>
      <c r="NT622" s="9"/>
      <c r="NU622" s="9"/>
      <c r="NV622" s="9"/>
      <c r="NW622" s="9"/>
      <c r="NX622" s="9"/>
      <c r="NY622" s="9"/>
      <c r="NZ622" s="9"/>
      <c r="OA622" s="9"/>
      <c r="OB622" s="9"/>
      <c r="OC622" s="9"/>
      <c r="OD622" s="9"/>
      <c r="OE622" s="9"/>
      <c r="OF622" s="9"/>
      <c r="OG622" s="9"/>
      <c r="OH622" s="9"/>
      <c r="OI622" s="9"/>
      <c r="OJ622" s="9"/>
      <c r="OK622" s="9"/>
      <c r="OL622" s="9"/>
      <c r="OM622" s="9"/>
      <c r="ON622" s="9"/>
      <c r="OO622" s="9"/>
      <c r="OP622" s="9"/>
      <c r="OQ622" s="9"/>
      <c r="OR622" s="9"/>
      <c r="OS622" s="9"/>
      <c r="OT622" s="9"/>
      <c r="OU622" s="9"/>
      <c r="OV622" s="9"/>
      <c r="OW622" s="9"/>
      <c r="OX622" s="9"/>
      <c r="OY622" s="9"/>
      <c r="OZ622" s="9"/>
      <c r="PA622" s="9"/>
      <c r="PB622" s="9"/>
      <c r="PC622" s="9"/>
      <c r="PD622" s="9"/>
      <c r="PE622" s="9"/>
      <c r="PF622" s="9"/>
      <c r="PG622" s="9"/>
      <c r="PH622" s="9"/>
      <c r="PI622" s="9"/>
      <c r="PJ622" s="9"/>
      <c r="PK622" s="9"/>
      <c r="PL622" s="9"/>
      <c r="PM622" s="9"/>
      <c r="PN622" s="9"/>
      <c r="PO622" s="9"/>
      <c r="PP622" s="9"/>
      <c r="PQ622" s="9"/>
      <c r="PR622" s="9"/>
      <c r="PS622" s="9"/>
      <c r="PT622" s="9"/>
      <c r="PU622" s="9"/>
      <c r="PV622" s="9"/>
      <c r="PW622" s="9"/>
      <c r="PX622" s="9"/>
      <c r="PY622" s="9"/>
      <c r="PZ622" s="9"/>
      <c r="QA622" s="9"/>
      <c r="QB622" s="9"/>
      <c r="QC622" s="9"/>
      <c r="QD622" s="9"/>
      <c r="QE622" s="9"/>
      <c r="QF622" s="9"/>
      <c r="QG622" s="9"/>
      <c r="QH622" s="9"/>
      <c r="QI622" s="9"/>
      <c r="QJ622" s="9"/>
      <c r="QK622" s="9"/>
      <c r="QL622" s="9"/>
      <c r="QM622" s="9"/>
      <c r="QN622" s="9"/>
      <c r="QO622" s="9"/>
      <c r="QP622" s="9"/>
      <c r="QQ622" s="9"/>
      <c r="QR622" s="9"/>
      <c r="QS622" s="9"/>
      <c r="QT622" s="9"/>
      <c r="QU622" s="9"/>
      <c r="QV622" s="9"/>
      <c r="QW622" s="9"/>
      <c r="QX622" s="9"/>
      <c r="QY622" s="9"/>
      <c r="QZ622" s="9"/>
      <c r="RA622" s="9"/>
      <c r="RB622" s="9"/>
      <c r="RC622" s="9"/>
      <c r="RD622" s="9"/>
      <c r="RE622" s="9"/>
      <c r="RF622" s="9"/>
      <c r="RG622" s="9"/>
      <c r="RH622" s="9"/>
      <c r="RI622" s="9"/>
      <c r="RJ622" s="9"/>
      <c r="RK622" s="9"/>
      <c r="RL622" s="9"/>
      <c r="RM622" s="9"/>
      <c r="RN622" s="9"/>
      <c r="RO622" s="9"/>
      <c r="RP622" s="9"/>
      <c r="RQ622" s="9"/>
      <c r="RR622" s="9"/>
      <c r="RS622" s="9"/>
      <c r="RT622" s="9"/>
      <c r="RU622" s="9"/>
      <c r="RV622" s="9"/>
      <c r="RW622" s="9"/>
      <c r="RX622" s="9"/>
      <c r="RY622" s="9"/>
      <c r="RZ622" s="9"/>
      <c r="SA622" s="9"/>
      <c r="SB622" s="9"/>
      <c r="SC622" s="9"/>
      <c r="SD622" s="9"/>
      <c r="SE622" s="9"/>
      <c r="SF622" s="9"/>
      <c r="SG622" s="9"/>
      <c r="SH622" s="9"/>
      <c r="SI622" s="9"/>
      <c r="SJ622" s="9"/>
      <c r="SK622" s="9"/>
      <c r="SL622" s="9"/>
      <c r="SM622" s="9"/>
      <c r="SN622" s="9"/>
      <c r="SO622" s="9"/>
      <c r="SP622" s="9"/>
      <c r="SQ622" s="9"/>
      <c r="SR622" s="9"/>
      <c r="SS622" s="9"/>
      <c r="ST622" s="9"/>
      <c r="SU622" s="9"/>
      <c r="SV622" s="9"/>
      <c r="SW622" s="9"/>
      <c r="SX622" s="9"/>
      <c r="SY622" s="9"/>
      <c r="SZ622" s="9"/>
      <c r="TA622" s="9"/>
      <c r="TB622" s="9"/>
      <c r="TC622" s="9"/>
      <c r="TD622" s="9"/>
      <c r="TE622" s="9"/>
      <c r="TF622" s="9"/>
      <c r="TG622" s="9"/>
      <c r="TH622" s="9"/>
      <c r="TI622" s="9"/>
      <c r="TJ622" s="9"/>
      <c r="TK622" s="9"/>
      <c r="TL622" s="9"/>
      <c r="TM622" s="9"/>
      <c r="TN622" s="9"/>
      <c r="TO622" s="9"/>
      <c r="TP622" s="9"/>
      <c r="TQ622" s="9"/>
      <c r="TR622" s="9"/>
      <c r="TS622" s="9"/>
      <c r="TT622" s="9"/>
      <c r="TU622" s="9"/>
      <c r="TV622" s="9"/>
      <c r="TW622" s="9"/>
      <c r="TX622" s="9"/>
      <c r="TY622" s="9"/>
      <c r="TZ622" s="9"/>
      <c r="UA622" s="9"/>
      <c r="UB622" s="9"/>
      <c r="UC622" s="9"/>
      <c r="UD622" s="9"/>
      <c r="UE622" s="9"/>
      <c r="UF622" s="9"/>
      <c r="UG622" s="9"/>
      <c r="UH622" s="9"/>
      <c r="UI622" s="9"/>
      <c r="UJ622" s="9"/>
    </row>
    <row r="623">
      <c r="A623" s="8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  <c r="IC623" s="9"/>
      <c r="ID623" s="9"/>
      <c r="IE623" s="9"/>
      <c r="IF623" s="9"/>
      <c r="IG623" s="9"/>
      <c r="IH623" s="9"/>
      <c r="II623" s="9"/>
      <c r="IJ623" s="9"/>
      <c r="IK623" s="9"/>
      <c r="IL623" s="9"/>
      <c r="IM623" s="9"/>
      <c r="IN623" s="9"/>
      <c r="IO623" s="9"/>
      <c r="IP623" s="9"/>
      <c r="IQ623" s="9"/>
      <c r="IR623" s="9"/>
      <c r="IS623" s="9"/>
      <c r="IT623" s="9"/>
      <c r="IU623" s="9"/>
      <c r="IV623" s="9"/>
      <c r="IW623" s="9"/>
      <c r="IX623" s="9"/>
      <c r="IY623" s="9"/>
      <c r="IZ623" s="9"/>
      <c r="JA623" s="9"/>
      <c r="JB623" s="9"/>
      <c r="JC623" s="9"/>
      <c r="JD623" s="9"/>
      <c r="JE623" s="9"/>
      <c r="JF623" s="9"/>
      <c r="JG623" s="9"/>
      <c r="JH623" s="9"/>
      <c r="JI623" s="9"/>
      <c r="JJ623" s="9"/>
      <c r="JK623" s="9"/>
      <c r="JL623" s="9"/>
      <c r="JM623" s="9"/>
      <c r="JN623" s="9"/>
      <c r="JO623" s="9"/>
      <c r="JP623" s="9"/>
      <c r="JQ623" s="9"/>
      <c r="JR623" s="9"/>
      <c r="JS623" s="9"/>
      <c r="JT623" s="9"/>
      <c r="JU623" s="9"/>
      <c r="JV623" s="9"/>
      <c r="JW623" s="9"/>
      <c r="JX623" s="9"/>
      <c r="JY623" s="9"/>
      <c r="JZ623" s="9"/>
      <c r="KA623" s="9"/>
      <c r="KB623" s="9"/>
      <c r="KC623" s="9"/>
      <c r="KD623" s="9"/>
      <c r="KE623" s="9"/>
      <c r="KF623" s="9"/>
      <c r="KG623" s="9"/>
      <c r="KH623" s="9"/>
      <c r="KI623" s="9"/>
      <c r="KJ623" s="9"/>
      <c r="KK623" s="9"/>
      <c r="KL623" s="9"/>
      <c r="KM623" s="9"/>
      <c r="KN623" s="9"/>
      <c r="KO623" s="9"/>
      <c r="KP623" s="9"/>
      <c r="KQ623" s="9"/>
      <c r="KR623" s="9"/>
      <c r="KS623" s="9"/>
      <c r="KT623" s="9"/>
      <c r="KU623" s="9"/>
      <c r="KV623" s="9"/>
      <c r="KW623" s="9"/>
      <c r="KX623" s="9"/>
      <c r="KY623" s="9"/>
      <c r="KZ623" s="9"/>
      <c r="LA623" s="9"/>
      <c r="LB623" s="9"/>
      <c r="LC623" s="9"/>
      <c r="LD623" s="9"/>
      <c r="LE623" s="9"/>
      <c r="LF623" s="9"/>
      <c r="LG623" s="9"/>
      <c r="LH623" s="9"/>
      <c r="LI623" s="9"/>
      <c r="LJ623" s="9"/>
      <c r="LK623" s="9"/>
      <c r="LL623" s="9"/>
      <c r="LM623" s="9"/>
      <c r="LN623" s="9"/>
      <c r="LO623" s="9"/>
      <c r="LP623" s="9"/>
      <c r="LQ623" s="9"/>
      <c r="LR623" s="9"/>
      <c r="LS623" s="9"/>
      <c r="LT623" s="9"/>
      <c r="LU623" s="9"/>
      <c r="LV623" s="9"/>
      <c r="LW623" s="9"/>
      <c r="LX623" s="9"/>
      <c r="LY623" s="9"/>
      <c r="LZ623" s="9"/>
      <c r="MA623" s="9"/>
      <c r="MB623" s="9"/>
      <c r="MC623" s="9"/>
      <c r="MD623" s="9"/>
      <c r="ME623" s="9"/>
      <c r="MF623" s="9"/>
      <c r="MG623" s="9"/>
      <c r="MH623" s="9"/>
      <c r="MI623" s="9"/>
      <c r="MJ623" s="9"/>
      <c r="MK623" s="9"/>
      <c r="ML623" s="9"/>
      <c r="MM623" s="9"/>
      <c r="MN623" s="9"/>
      <c r="MO623" s="9"/>
      <c r="MP623" s="9"/>
      <c r="MQ623" s="9"/>
      <c r="MR623" s="9"/>
      <c r="MS623" s="9"/>
      <c r="MT623" s="9"/>
      <c r="MU623" s="9"/>
      <c r="MV623" s="9"/>
      <c r="MW623" s="9"/>
      <c r="MX623" s="9"/>
      <c r="MY623" s="9"/>
      <c r="MZ623" s="9"/>
      <c r="NA623" s="9"/>
      <c r="NB623" s="9"/>
      <c r="NC623" s="9"/>
      <c r="ND623" s="9"/>
      <c r="NE623" s="9"/>
      <c r="NF623" s="9"/>
      <c r="NG623" s="9"/>
      <c r="NH623" s="9"/>
      <c r="NI623" s="9"/>
      <c r="NJ623" s="9"/>
      <c r="NK623" s="9"/>
      <c r="NL623" s="9"/>
      <c r="NM623" s="9"/>
      <c r="NN623" s="9"/>
      <c r="NO623" s="9"/>
      <c r="NP623" s="9"/>
      <c r="NQ623" s="9"/>
      <c r="NR623" s="9"/>
      <c r="NS623" s="9"/>
      <c r="NT623" s="9"/>
      <c r="NU623" s="9"/>
      <c r="NV623" s="9"/>
      <c r="NW623" s="9"/>
      <c r="NX623" s="9"/>
      <c r="NY623" s="9"/>
      <c r="NZ623" s="9"/>
      <c r="OA623" s="9"/>
      <c r="OB623" s="9"/>
      <c r="OC623" s="9"/>
      <c r="OD623" s="9"/>
      <c r="OE623" s="9"/>
      <c r="OF623" s="9"/>
      <c r="OG623" s="9"/>
      <c r="OH623" s="9"/>
      <c r="OI623" s="9"/>
      <c r="OJ623" s="9"/>
      <c r="OK623" s="9"/>
      <c r="OL623" s="9"/>
      <c r="OM623" s="9"/>
      <c r="ON623" s="9"/>
      <c r="OO623" s="9"/>
      <c r="OP623" s="9"/>
      <c r="OQ623" s="9"/>
      <c r="OR623" s="9"/>
      <c r="OS623" s="9"/>
      <c r="OT623" s="9"/>
      <c r="OU623" s="9"/>
      <c r="OV623" s="9"/>
      <c r="OW623" s="9"/>
      <c r="OX623" s="9"/>
      <c r="OY623" s="9"/>
      <c r="OZ623" s="9"/>
      <c r="PA623" s="9"/>
      <c r="PB623" s="9"/>
      <c r="PC623" s="9"/>
      <c r="PD623" s="9"/>
      <c r="PE623" s="9"/>
      <c r="PF623" s="9"/>
      <c r="PG623" s="9"/>
      <c r="PH623" s="9"/>
      <c r="PI623" s="9"/>
      <c r="PJ623" s="9"/>
      <c r="PK623" s="9"/>
      <c r="PL623" s="9"/>
      <c r="PM623" s="9"/>
      <c r="PN623" s="9"/>
      <c r="PO623" s="9"/>
      <c r="PP623" s="9"/>
      <c r="PQ623" s="9"/>
      <c r="PR623" s="9"/>
      <c r="PS623" s="9"/>
      <c r="PT623" s="9"/>
      <c r="PU623" s="9"/>
      <c r="PV623" s="9"/>
      <c r="PW623" s="9"/>
      <c r="PX623" s="9"/>
      <c r="PY623" s="9"/>
      <c r="PZ623" s="9"/>
      <c r="QA623" s="9"/>
      <c r="QB623" s="9"/>
      <c r="QC623" s="9"/>
      <c r="QD623" s="9"/>
      <c r="QE623" s="9"/>
      <c r="QF623" s="9"/>
      <c r="QG623" s="9"/>
      <c r="QH623" s="9"/>
      <c r="QI623" s="9"/>
      <c r="QJ623" s="9"/>
      <c r="QK623" s="9"/>
      <c r="QL623" s="9"/>
      <c r="QM623" s="9"/>
      <c r="QN623" s="9"/>
      <c r="QO623" s="9"/>
      <c r="QP623" s="9"/>
      <c r="QQ623" s="9"/>
      <c r="QR623" s="9"/>
      <c r="QS623" s="9"/>
      <c r="QT623" s="9"/>
      <c r="QU623" s="9"/>
      <c r="QV623" s="9"/>
      <c r="QW623" s="9"/>
      <c r="QX623" s="9"/>
      <c r="QY623" s="9"/>
      <c r="QZ623" s="9"/>
      <c r="RA623" s="9"/>
      <c r="RB623" s="9"/>
      <c r="RC623" s="9"/>
      <c r="RD623" s="9"/>
      <c r="RE623" s="9"/>
      <c r="RF623" s="9"/>
      <c r="RG623" s="9"/>
      <c r="RH623" s="9"/>
      <c r="RI623" s="9"/>
      <c r="RJ623" s="9"/>
      <c r="RK623" s="9"/>
      <c r="RL623" s="9"/>
      <c r="RM623" s="9"/>
      <c r="RN623" s="9"/>
      <c r="RO623" s="9"/>
      <c r="RP623" s="9"/>
      <c r="RQ623" s="9"/>
      <c r="RR623" s="9"/>
      <c r="RS623" s="9"/>
      <c r="RT623" s="9"/>
      <c r="RU623" s="9"/>
      <c r="RV623" s="9"/>
      <c r="RW623" s="9"/>
      <c r="RX623" s="9"/>
      <c r="RY623" s="9"/>
      <c r="RZ623" s="9"/>
      <c r="SA623" s="9"/>
      <c r="SB623" s="9"/>
      <c r="SC623" s="9"/>
      <c r="SD623" s="9"/>
      <c r="SE623" s="9"/>
      <c r="SF623" s="9"/>
      <c r="SG623" s="9"/>
      <c r="SH623" s="9"/>
      <c r="SI623" s="9"/>
      <c r="SJ623" s="9"/>
      <c r="SK623" s="9"/>
      <c r="SL623" s="9"/>
      <c r="SM623" s="9"/>
      <c r="SN623" s="9"/>
      <c r="SO623" s="9"/>
      <c r="SP623" s="9"/>
      <c r="SQ623" s="9"/>
      <c r="SR623" s="9"/>
      <c r="SS623" s="9"/>
      <c r="ST623" s="9"/>
      <c r="SU623" s="9"/>
      <c r="SV623" s="9"/>
      <c r="SW623" s="9"/>
      <c r="SX623" s="9"/>
      <c r="SY623" s="9"/>
      <c r="SZ623" s="9"/>
      <c r="TA623" s="9"/>
      <c r="TB623" s="9"/>
      <c r="TC623" s="9"/>
      <c r="TD623" s="9"/>
      <c r="TE623" s="9"/>
      <c r="TF623" s="9"/>
      <c r="TG623" s="9"/>
      <c r="TH623" s="9"/>
      <c r="TI623" s="9"/>
      <c r="TJ623" s="9"/>
      <c r="TK623" s="9"/>
      <c r="TL623" s="9"/>
      <c r="TM623" s="9"/>
      <c r="TN623" s="9"/>
      <c r="TO623" s="9"/>
      <c r="TP623" s="9"/>
      <c r="TQ623" s="9"/>
      <c r="TR623" s="9"/>
      <c r="TS623" s="9"/>
      <c r="TT623" s="9"/>
      <c r="TU623" s="9"/>
      <c r="TV623" s="9"/>
      <c r="TW623" s="9"/>
      <c r="TX623" s="9"/>
      <c r="TY623" s="9"/>
      <c r="TZ623" s="9"/>
      <c r="UA623" s="9"/>
      <c r="UB623" s="9"/>
      <c r="UC623" s="9"/>
      <c r="UD623" s="9"/>
      <c r="UE623" s="9"/>
      <c r="UF623" s="9"/>
      <c r="UG623" s="9"/>
      <c r="UH623" s="9"/>
      <c r="UI623" s="9"/>
      <c r="UJ623" s="9"/>
    </row>
    <row r="624">
      <c r="A624" s="8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  <c r="IC624" s="9"/>
      <c r="ID624" s="9"/>
      <c r="IE624" s="9"/>
      <c r="IF624" s="9"/>
      <c r="IG624" s="9"/>
      <c r="IH624" s="9"/>
      <c r="II624" s="9"/>
      <c r="IJ624" s="9"/>
      <c r="IK624" s="9"/>
      <c r="IL624" s="9"/>
      <c r="IM624" s="9"/>
      <c r="IN624" s="9"/>
      <c r="IO624" s="9"/>
      <c r="IP624" s="9"/>
      <c r="IQ624" s="9"/>
      <c r="IR624" s="9"/>
      <c r="IS624" s="9"/>
      <c r="IT624" s="9"/>
      <c r="IU624" s="9"/>
      <c r="IV624" s="9"/>
      <c r="IW624" s="9"/>
      <c r="IX624" s="9"/>
      <c r="IY624" s="9"/>
      <c r="IZ624" s="9"/>
      <c r="JA624" s="9"/>
      <c r="JB624" s="9"/>
      <c r="JC624" s="9"/>
      <c r="JD624" s="9"/>
      <c r="JE624" s="9"/>
      <c r="JF624" s="9"/>
      <c r="JG624" s="9"/>
      <c r="JH624" s="9"/>
      <c r="JI624" s="9"/>
      <c r="JJ624" s="9"/>
      <c r="JK624" s="9"/>
      <c r="JL624" s="9"/>
      <c r="JM624" s="9"/>
      <c r="JN624" s="9"/>
      <c r="JO624" s="9"/>
      <c r="JP624" s="9"/>
      <c r="JQ624" s="9"/>
      <c r="JR624" s="9"/>
      <c r="JS624" s="9"/>
      <c r="JT624" s="9"/>
      <c r="JU624" s="9"/>
      <c r="JV624" s="9"/>
      <c r="JW624" s="9"/>
      <c r="JX624" s="9"/>
      <c r="JY624" s="9"/>
      <c r="JZ624" s="9"/>
      <c r="KA624" s="9"/>
      <c r="KB624" s="9"/>
      <c r="KC624" s="9"/>
      <c r="KD624" s="9"/>
      <c r="KE624" s="9"/>
      <c r="KF624" s="9"/>
      <c r="KG624" s="9"/>
      <c r="KH624" s="9"/>
      <c r="KI624" s="9"/>
      <c r="KJ624" s="9"/>
      <c r="KK624" s="9"/>
      <c r="KL624" s="9"/>
      <c r="KM624" s="9"/>
      <c r="KN624" s="9"/>
      <c r="KO624" s="9"/>
      <c r="KP624" s="9"/>
      <c r="KQ624" s="9"/>
      <c r="KR624" s="9"/>
      <c r="KS624" s="9"/>
      <c r="KT624" s="9"/>
      <c r="KU624" s="9"/>
      <c r="KV624" s="9"/>
      <c r="KW624" s="9"/>
      <c r="KX624" s="9"/>
      <c r="KY624" s="9"/>
      <c r="KZ624" s="9"/>
      <c r="LA624" s="9"/>
      <c r="LB624" s="9"/>
      <c r="LC624" s="9"/>
      <c r="LD624" s="9"/>
      <c r="LE624" s="9"/>
      <c r="LF624" s="9"/>
      <c r="LG624" s="9"/>
      <c r="LH624" s="9"/>
      <c r="LI624" s="9"/>
      <c r="LJ624" s="9"/>
      <c r="LK624" s="9"/>
      <c r="LL624" s="9"/>
      <c r="LM624" s="9"/>
      <c r="LN624" s="9"/>
      <c r="LO624" s="9"/>
      <c r="LP624" s="9"/>
      <c r="LQ624" s="9"/>
      <c r="LR624" s="9"/>
      <c r="LS624" s="9"/>
      <c r="LT624" s="9"/>
      <c r="LU624" s="9"/>
      <c r="LV624" s="9"/>
      <c r="LW624" s="9"/>
      <c r="LX624" s="9"/>
      <c r="LY624" s="9"/>
      <c r="LZ624" s="9"/>
      <c r="MA624" s="9"/>
      <c r="MB624" s="9"/>
      <c r="MC624" s="9"/>
      <c r="MD624" s="9"/>
      <c r="ME624" s="9"/>
      <c r="MF624" s="9"/>
      <c r="MG624" s="9"/>
      <c r="MH624" s="9"/>
      <c r="MI624" s="9"/>
      <c r="MJ624" s="9"/>
      <c r="MK624" s="9"/>
      <c r="ML624" s="9"/>
      <c r="MM624" s="9"/>
      <c r="MN624" s="9"/>
      <c r="MO624" s="9"/>
      <c r="MP624" s="9"/>
      <c r="MQ624" s="9"/>
      <c r="MR624" s="9"/>
      <c r="MS624" s="9"/>
      <c r="MT624" s="9"/>
      <c r="MU624" s="9"/>
      <c r="MV624" s="9"/>
      <c r="MW624" s="9"/>
      <c r="MX624" s="9"/>
      <c r="MY624" s="9"/>
      <c r="MZ624" s="9"/>
      <c r="NA624" s="9"/>
      <c r="NB624" s="9"/>
      <c r="NC624" s="9"/>
      <c r="ND624" s="9"/>
      <c r="NE624" s="9"/>
      <c r="NF624" s="9"/>
      <c r="NG624" s="9"/>
      <c r="NH624" s="9"/>
      <c r="NI624" s="9"/>
      <c r="NJ624" s="9"/>
      <c r="NK624" s="9"/>
      <c r="NL624" s="9"/>
      <c r="NM624" s="9"/>
      <c r="NN624" s="9"/>
      <c r="NO624" s="9"/>
      <c r="NP624" s="9"/>
      <c r="NQ624" s="9"/>
      <c r="NR624" s="9"/>
      <c r="NS624" s="9"/>
      <c r="NT624" s="9"/>
      <c r="NU624" s="9"/>
      <c r="NV624" s="9"/>
      <c r="NW624" s="9"/>
      <c r="NX624" s="9"/>
      <c r="NY624" s="9"/>
      <c r="NZ624" s="9"/>
      <c r="OA624" s="9"/>
      <c r="OB624" s="9"/>
      <c r="OC624" s="9"/>
      <c r="OD624" s="9"/>
      <c r="OE624" s="9"/>
      <c r="OF624" s="9"/>
      <c r="OG624" s="9"/>
      <c r="OH624" s="9"/>
      <c r="OI624" s="9"/>
      <c r="OJ624" s="9"/>
      <c r="OK624" s="9"/>
      <c r="OL624" s="9"/>
      <c r="OM624" s="9"/>
      <c r="ON624" s="9"/>
      <c r="OO624" s="9"/>
      <c r="OP624" s="9"/>
      <c r="OQ624" s="9"/>
      <c r="OR624" s="9"/>
      <c r="OS624" s="9"/>
      <c r="OT624" s="9"/>
      <c r="OU624" s="9"/>
      <c r="OV624" s="9"/>
      <c r="OW624" s="9"/>
      <c r="OX624" s="9"/>
      <c r="OY624" s="9"/>
      <c r="OZ624" s="9"/>
      <c r="PA624" s="9"/>
      <c r="PB624" s="9"/>
      <c r="PC624" s="9"/>
      <c r="PD624" s="9"/>
      <c r="PE624" s="9"/>
      <c r="PF624" s="9"/>
      <c r="PG624" s="9"/>
      <c r="PH624" s="9"/>
      <c r="PI624" s="9"/>
      <c r="PJ624" s="9"/>
      <c r="PK624" s="9"/>
      <c r="PL624" s="9"/>
      <c r="PM624" s="9"/>
      <c r="PN624" s="9"/>
      <c r="PO624" s="9"/>
      <c r="PP624" s="9"/>
      <c r="PQ624" s="9"/>
      <c r="PR624" s="9"/>
      <c r="PS624" s="9"/>
      <c r="PT624" s="9"/>
      <c r="PU624" s="9"/>
      <c r="PV624" s="9"/>
      <c r="PW624" s="9"/>
      <c r="PX624" s="9"/>
      <c r="PY624" s="9"/>
      <c r="PZ624" s="9"/>
      <c r="QA624" s="9"/>
      <c r="QB624" s="9"/>
      <c r="QC624" s="9"/>
      <c r="QD624" s="9"/>
      <c r="QE624" s="9"/>
      <c r="QF624" s="9"/>
      <c r="QG624" s="9"/>
      <c r="QH624" s="9"/>
      <c r="QI624" s="9"/>
      <c r="QJ624" s="9"/>
      <c r="QK624" s="9"/>
      <c r="QL624" s="9"/>
      <c r="QM624" s="9"/>
      <c r="QN624" s="9"/>
      <c r="QO624" s="9"/>
      <c r="QP624" s="9"/>
      <c r="QQ624" s="9"/>
      <c r="QR624" s="9"/>
      <c r="QS624" s="9"/>
      <c r="QT624" s="9"/>
      <c r="QU624" s="9"/>
      <c r="QV624" s="9"/>
      <c r="QW624" s="9"/>
      <c r="QX624" s="9"/>
      <c r="QY624" s="9"/>
      <c r="QZ624" s="9"/>
      <c r="RA624" s="9"/>
      <c r="RB624" s="9"/>
      <c r="RC624" s="9"/>
      <c r="RD624" s="9"/>
      <c r="RE624" s="9"/>
      <c r="RF624" s="9"/>
      <c r="RG624" s="9"/>
      <c r="RH624" s="9"/>
      <c r="RI624" s="9"/>
      <c r="RJ624" s="9"/>
      <c r="RK624" s="9"/>
      <c r="RL624" s="9"/>
      <c r="RM624" s="9"/>
      <c r="RN624" s="9"/>
      <c r="RO624" s="9"/>
      <c r="RP624" s="9"/>
      <c r="RQ624" s="9"/>
      <c r="RR624" s="9"/>
      <c r="RS624" s="9"/>
      <c r="RT624" s="9"/>
      <c r="RU624" s="9"/>
      <c r="RV624" s="9"/>
      <c r="RW624" s="9"/>
      <c r="RX624" s="9"/>
      <c r="RY624" s="9"/>
      <c r="RZ624" s="9"/>
      <c r="SA624" s="9"/>
      <c r="SB624" s="9"/>
      <c r="SC624" s="9"/>
      <c r="SD624" s="9"/>
      <c r="SE624" s="9"/>
      <c r="SF624" s="9"/>
      <c r="SG624" s="9"/>
      <c r="SH624" s="9"/>
      <c r="SI624" s="9"/>
      <c r="SJ624" s="9"/>
      <c r="SK624" s="9"/>
      <c r="SL624" s="9"/>
      <c r="SM624" s="9"/>
      <c r="SN624" s="9"/>
      <c r="SO624" s="9"/>
      <c r="SP624" s="9"/>
      <c r="SQ624" s="9"/>
      <c r="SR624" s="9"/>
      <c r="SS624" s="9"/>
      <c r="ST624" s="9"/>
      <c r="SU624" s="9"/>
      <c r="SV624" s="9"/>
      <c r="SW624" s="9"/>
      <c r="SX624" s="9"/>
      <c r="SY624" s="9"/>
      <c r="SZ624" s="9"/>
      <c r="TA624" s="9"/>
      <c r="TB624" s="9"/>
      <c r="TC624" s="9"/>
      <c r="TD624" s="9"/>
      <c r="TE624" s="9"/>
      <c r="TF624" s="9"/>
      <c r="TG624" s="9"/>
      <c r="TH624" s="9"/>
      <c r="TI624" s="9"/>
      <c r="TJ624" s="9"/>
      <c r="TK624" s="9"/>
      <c r="TL624" s="9"/>
      <c r="TM624" s="9"/>
      <c r="TN624" s="9"/>
      <c r="TO624" s="9"/>
      <c r="TP624" s="9"/>
      <c r="TQ624" s="9"/>
      <c r="TR624" s="9"/>
      <c r="TS624" s="9"/>
      <c r="TT624" s="9"/>
      <c r="TU624" s="9"/>
      <c r="TV624" s="9"/>
      <c r="TW624" s="9"/>
      <c r="TX624" s="9"/>
      <c r="TY624" s="9"/>
      <c r="TZ624" s="9"/>
      <c r="UA624" s="9"/>
      <c r="UB624" s="9"/>
      <c r="UC624" s="9"/>
      <c r="UD624" s="9"/>
      <c r="UE624" s="9"/>
      <c r="UF624" s="9"/>
      <c r="UG624" s="9"/>
      <c r="UH624" s="9"/>
      <c r="UI624" s="9"/>
      <c r="UJ624" s="9"/>
    </row>
    <row r="625">
      <c r="A625" s="8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  <c r="IC625" s="9"/>
      <c r="ID625" s="9"/>
      <c r="IE625" s="9"/>
      <c r="IF625" s="9"/>
      <c r="IG625" s="9"/>
      <c r="IH625" s="9"/>
      <c r="II625" s="9"/>
      <c r="IJ625" s="9"/>
      <c r="IK625" s="9"/>
      <c r="IL625" s="9"/>
      <c r="IM625" s="9"/>
      <c r="IN625" s="9"/>
      <c r="IO625" s="9"/>
      <c r="IP625" s="9"/>
      <c r="IQ625" s="9"/>
      <c r="IR625" s="9"/>
      <c r="IS625" s="9"/>
      <c r="IT625" s="9"/>
      <c r="IU625" s="9"/>
      <c r="IV625" s="9"/>
      <c r="IW625" s="9"/>
      <c r="IX625" s="9"/>
      <c r="IY625" s="9"/>
      <c r="IZ625" s="9"/>
      <c r="JA625" s="9"/>
      <c r="JB625" s="9"/>
      <c r="JC625" s="9"/>
      <c r="JD625" s="9"/>
      <c r="JE625" s="9"/>
      <c r="JF625" s="9"/>
      <c r="JG625" s="9"/>
      <c r="JH625" s="9"/>
      <c r="JI625" s="9"/>
      <c r="JJ625" s="9"/>
      <c r="JK625" s="9"/>
      <c r="JL625" s="9"/>
      <c r="JM625" s="9"/>
      <c r="JN625" s="9"/>
      <c r="JO625" s="9"/>
      <c r="JP625" s="9"/>
      <c r="JQ625" s="9"/>
      <c r="JR625" s="9"/>
      <c r="JS625" s="9"/>
      <c r="JT625" s="9"/>
      <c r="JU625" s="9"/>
      <c r="JV625" s="9"/>
      <c r="JW625" s="9"/>
      <c r="JX625" s="9"/>
      <c r="JY625" s="9"/>
      <c r="JZ625" s="9"/>
      <c r="KA625" s="9"/>
      <c r="KB625" s="9"/>
      <c r="KC625" s="9"/>
      <c r="KD625" s="9"/>
      <c r="KE625" s="9"/>
      <c r="KF625" s="9"/>
      <c r="KG625" s="9"/>
      <c r="KH625" s="9"/>
      <c r="KI625" s="9"/>
      <c r="KJ625" s="9"/>
      <c r="KK625" s="9"/>
      <c r="KL625" s="9"/>
      <c r="KM625" s="9"/>
      <c r="KN625" s="9"/>
      <c r="KO625" s="9"/>
      <c r="KP625" s="9"/>
      <c r="KQ625" s="9"/>
      <c r="KR625" s="9"/>
      <c r="KS625" s="9"/>
      <c r="KT625" s="9"/>
      <c r="KU625" s="9"/>
      <c r="KV625" s="9"/>
      <c r="KW625" s="9"/>
      <c r="KX625" s="9"/>
      <c r="KY625" s="9"/>
      <c r="KZ625" s="9"/>
      <c r="LA625" s="9"/>
      <c r="LB625" s="9"/>
      <c r="LC625" s="9"/>
      <c r="LD625" s="9"/>
      <c r="LE625" s="9"/>
      <c r="LF625" s="9"/>
      <c r="LG625" s="9"/>
      <c r="LH625" s="9"/>
      <c r="LI625" s="9"/>
      <c r="LJ625" s="9"/>
      <c r="LK625" s="9"/>
      <c r="LL625" s="9"/>
      <c r="LM625" s="9"/>
      <c r="LN625" s="9"/>
      <c r="LO625" s="9"/>
      <c r="LP625" s="9"/>
      <c r="LQ625" s="9"/>
      <c r="LR625" s="9"/>
      <c r="LS625" s="9"/>
      <c r="LT625" s="9"/>
      <c r="LU625" s="9"/>
      <c r="LV625" s="9"/>
      <c r="LW625" s="9"/>
      <c r="LX625" s="9"/>
      <c r="LY625" s="9"/>
      <c r="LZ625" s="9"/>
      <c r="MA625" s="9"/>
      <c r="MB625" s="9"/>
      <c r="MC625" s="9"/>
      <c r="MD625" s="9"/>
      <c r="ME625" s="9"/>
      <c r="MF625" s="9"/>
      <c r="MG625" s="9"/>
      <c r="MH625" s="9"/>
      <c r="MI625" s="9"/>
      <c r="MJ625" s="9"/>
      <c r="MK625" s="9"/>
      <c r="ML625" s="9"/>
      <c r="MM625" s="9"/>
      <c r="MN625" s="9"/>
      <c r="MO625" s="9"/>
      <c r="MP625" s="9"/>
      <c r="MQ625" s="9"/>
      <c r="MR625" s="9"/>
      <c r="MS625" s="9"/>
      <c r="MT625" s="9"/>
      <c r="MU625" s="9"/>
      <c r="MV625" s="9"/>
      <c r="MW625" s="9"/>
      <c r="MX625" s="9"/>
      <c r="MY625" s="9"/>
      <c r="MZ625" s="9"/>
      <c r="NA625" s="9"/>
      <c r="NB625" s="9"/>
      <c r="NC625" s="9"/>
      <c r="ND625" s="9"/>
      <c r="NE625" s="9"/>
      <c r="NF625" s="9"/>
      <c r="NG625" s="9"/>
      <c r="NH625" s="9"/>
      <c r="NI625" s="9"/>
      <c r="NJ625" s="9"/>
      <c r="NK625" s="9"/>
      <c r="NL625" s="9"/>
      <c r="NM625" s="9"/>
      <c r="NN625" s="9"/>
      <c r="NO625" s="9"/>
      <c r="NP625" s="9"/>
      <c r="NQ625" s="9"/>
      <c r="NR625" s="9"/>
      <c r="NS625" s="9"/>
      <c r="NT625" s="9"/>
      <c r="NU625" s="9"/>
      <c r="NV625" s="9"/>
      <c r="NW625" s="9"/>
      <c r="NX625" s="9"/>
      <c r="NY625" s="9"/>
      <c r="NZ625" s="9"/>
      <c r="OA625" s="9"/>
      <c r="OB625" s="9"/>
      <c r="OC625" s="9"/>
      <c r="OD625" s="9"/>
      <c r="OE625" s="9"/>
      <c r="OF625" s="9"/>
      <c r="OG625" s="9"/>
      <c r="OH625" s="9"/>
      <c r="OI625" s="9"/>
      <c r="OJ625" s="9"/>
      <c r="OK625" s="9"/>
      <c r="OL625" s="9"/>
      <c r="OM625" s="9"/>
      <c r="ON625" s="9"/>
      <c r="OO625" s="9"/>
      <c r="OP625" s="9"/>
      <c r="OQ625" s="9"/>
      <c r="OR625" s="9"/>
      <c r="OS625" s="9"/>
      <c r="OT625" s="9"/>
      <c r="OU625" s="9"/>
      <c r="OV625" s="9"/>
      <c r="OW625" s="9"/>
      <c r="OX625" s="9"/>
      <c r="OY625" s="9"/>
      <c r="OZ625" s="9"/>
      <c r="PA625" s="9"/>
      <c r="PB625" s="9"/>
      <c r="PC625" s="9"/>
      <c r="PD625" s="9"/>
      <c r="PE625" s="9"/>
      <c r="PF625" s="9"/>
      <c r="PG625" s="9"/>
      <c r="PH625" s="9"/>
      <c r="PI625" s="9"/>
      <c r="PJ625" s="9"/>
      <c r="PK625" s="9"/>
      <c r="PL625" s="9"/>
      <c r="PM625" s="9"/>
      <c r="PN625" s="9"/>
      <c r="PO625" s="9"/>
      <c r="PP625" s="9"/>
      <c r="PQ625" s="9"/>
      <c r="PR625" s="9"/>
      <c r="PS625" s="9"/>
      <c r="PT625" s="9"/>
      <c r="PU625" s="9"/>
      <c r="PV625" s="9"/>
      <c r="PW625" s="9"/>
      <c r="PX625" s="9"/>
      <c r="PY625" s="9"/>
      <c r="PZ625" s="9"/>
      <c r="QA625" s="9"/>
      <c r="QB625" s="9"/>
      <c r="QC625" s="9"/>
      <c r="QD625" s="9"/>
      <c r="QE625" s="9"/>
      <c r="QF625" s="9"/>
      <c r="QG625" s="9"/>
      <c r="QH625" s="9"/>
      <c r="QI625" s="9"/>
      <c r="QJ625" s="9"/>
      <c r="QK625" s="9"/>
      <c r="QL625" s="9"/>
      <c r="QM625" s="9"/>
      <c r="QN625" s="9"/>
      <c r="QO625" s="9"/>
      <c r="QP625" s="9"/>
      <c r="QQ625" s="9"/>
      <c r="QR625" s="9"/>
      <c r="QS625" s="9"/>
      <c r="QT625" s="9"/>
      <c r="QU625" s="9"/>
      <c r="QV625" s="9"/>
      <c r="QW625" s="9"/>
      <c r="QX625" s="9"/>
      <c r="QY625" s="9"/>
      <c r="QZ625" s="9"/>
      <c r="RA625" s="9"/>
      <c r="RB625" s="9"/>
      <c r="RC625" s="9"/>
      <c r="RD625" s="9"/>
      <c r="RE625" s="9"/>
      <c r="RF625" s="9"/>
      <c r="RG625" s="9"/>
      <c r="RH625" s="9"/>
      <c r="RI625" s="9"/>
      <c r="RJ625" s="9"/>
      <c r="RK625" s="9"/>
      <c r="RL625" s="9"/>
      <c r="RM625" s="9"/>
      <c r="RN625" s="9"/>
      <c r="RO625" s="9"/>
      <c r="RP625" s="9"/>
      <c r="RQ625" s="9"/>
      <c r="RR625" s="9"/>
      <c r="RS625" s="9"/>
      <c r="RT625" s="9"/>
      <c r="RU625" s="9"/>
      <c r="RV625" s="9"/>
      <c r="RW625" s="9"/>
      <c r="RX625" s="9"/>
      <c r="RY625" s="9"/>
      <c r="RZ625" s="9"/>
      <c r="SA625" s="9"/>
      <c r="SB625" s="9"/>
      <c r="SC625" s="9"/>
      <c r="SD625" s="9"/>
      <c r="SE625" s="9"/>
      <c r="SF625" s="9"/>
      <c r="SG625" s="9"/>
      <c r="SH625" s="9"/>
      <c r="SI625" s="9"/>
      <c r="SJ625" s="9"/>
      <c r="SK625" s="9"/>
      <c r="SL625" s="9"/>
      <c r="SM625" s="9"/>
      <c r="SN625" s="9"/>
      <c r="SO625" s="9"/>
      <c r="SP625" s="9"/>
      <c r="SQ625" s="9"/>
      <c r="SR625" s="9"/>
      <c r="SS625" s="9"/>
      <c r="ST625" s="9"/>
      <c r="SU625" s="9"/>
      <c r="SV625" s="9"/>
      <c r="SW625" s="9"/>
      <c r="SX625" s="9"/>
      <c r="SY625" s="9"/>
      <c r="SZ625" s="9"/>
      <c r="TA625" s="9"/>
      <c r="TB625" s="9"/>
      <c r="TC625" s="9"/>
      <c r="TD625" s="9"/>
      <c r="TE625" s="9"/>
      <c r="TF625" s="9"/>
      <c r="TG625" s="9"/>
      <c r="TH625" s="9"/>
      <c r="TI625" s="9"/>
      <c r="TJ625" s="9"/>
      <c r="TK625" s="9"/>
      <c r="TL625" s="9"/>
      <c r="TM625" s="9"/>
      <c r="TN625" s="9"/>
      <c r="TO625" s="9"/>
      <c r="TP625" s="9"/>
      <c r="TQ625" s="9"/>
      <c r="TR625" s="9"/>
      <c r="TS625" s="9"/>
      <c r="TT625" s="9"/>
      <c r="TU625" s="9"/>
      <c r="TV625" s="9"/>
      <c r="TW625" s="9"/>
      <c r="TX625" s="9"/>
      <c r="TY625" s="9"/>
      <c r="TZ625" s="9"/>
      <c r="UA625" s="9"/>
      <c r="UB625" s="9"/>
      <c r="UC625" s="9"/>
      <c r="UD625" s="9"/>
      <c r="UE625" s="9"/>
      <c r="UF625" s="9"/>
      <c r="UG625" s="9"/>
      <c r="UH625" s="9"/>
      <c r="UI625" s="9"/>
      <c r="UJ625" s="9"/>
    </row>
    <row r="626">
      <c r="A626" s="8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  <c r="HZ626" s="9"/>
      <c r="IA626" s="9"/>
      <c r="IB626" s="9"/>
      <c r="IC626" s="9"/>
      <c r="ID626" s="9"/>
      <c r="IE626" s="9"/>
      <c r="IF626" s="9"/>
      <c r="IG626" s="9"/>
      <c r="IH626" s="9"/>
      <c r="II626" s="9"/>
      <c r="IJ626" s="9"/>
      <c r="IK626" s="9"/>
      <c r="IL626" s="9"/>
      <c r="IM626" s="9"/>
      <c r="IN626" s="9"/>
      <c r="IO626" s="9"/>
      <c r="IP626" s="9"/>
      <c r="IQ626" s="9"/>
      <c r="IR626" s="9"/>
      <c r="IS626" s="9"/>
      <c r="IT626" s="9"/>
      <c r="IU626" s="9"/>
      <c r="IV626" s="9"/>
      <c r="IW626" s="9"/>
      <c r="IX626" s="9"/>
      <c r="IY626" s="9"/>
      <c r="IZ626" s="9"/>
      <c r="JA626" s="9"/>
      <c r="JB626" s="9"/>
      <c r="JC626" s="9"/>
      <c r="JD626" s="9"/>
      <c r="JE626" s="9"/>
      <c r="JF626" s="9"/>
      <c r="JG626" s="9"/>
      <c r="JH626" s="9"/>
      <c r="JI626" s="9"/>
      <c r="JJ626" s="9"/>
      <c r="JK626" s="9"/>
      <c r="JL626" s="9"/>
      <c r="JM626" s="9"/>
      <c r="JN626" s="9"/>
      <c r="JO626" s="9"/>
      <c r="JP626" s="9"/>
      <c r="JQ626" s="9"/>
      <c r="JR626" s="9"/>
      <c r="JS626" s="9"/>
      <c r="JT626" s="9"/>
      <c r="JU626" s="9"/>
      <c r="JV626" s="9"/>
      <c r="JW626" s="9"/>
      <c r="JX626" s="9"/>
      <c r="JY626" s="9"/>
      <c r="JZ626" s="9"/>
      <c r="KA626" s="9"/>
      <c r="KB626" s="9"/>
      <c r="KC626" s="9"/>
      <c r="KD626" s="9"/>
      <c r="KE626" s="9"/>
      <c r="KF626" s="9"/>
      <c r="KG626" s="9"/>
      <c r="KH626" s="9"/>
      <c r="KI626" s="9"/>
      <c r="KJ626" s="9"/>
      <c r="KK626" s="9"/>
      <c r="KL626" s="9"/>
      <c r="KM626" s="9"/>
      <c r="KN626" s="9"/>
      <c r="KO626" s="9"/>
      <c r="KP626" s="9"/>
      <c r="KQ626" s="9"/>
      <c r="KR626" s="9"/>
      <c r="KS626" s="9"/>
      <c r="KT626" s="9"/>
      <c r="KU626" s="9"/>
      <c r="KV626" s="9"/>
      <c r="KW626" s="9"/>
      <c r="KX626" s="9"/>
      <c r="KY626" s="9"/>
      <c r="KZ626" s="9"/>
      <c r="LA626" s="9"/>
      <c r="LB626" s="9"/>
      <c r="LC626" s="9"/>
      <c r="LD626" s="9"/>
      <c r="LE626" s="9"/>
      <c r="LF626" s="9"/>
      <c r="LG626" s="9"/>
      <c r="LH626" s="9"/>
      <c r="LI626" s="9"/>
      <c r="LJ626" s="9"/>
      <c r="LK626" s="9"/>
      <c r="LL626" s="9"/>
      <c r="LM626" s="9"/>
      <c r="LN626" s="9"/>
      <c r="LO626" s="9"/>
      <c r="LP626" s="9"/>
      <c r="LQ626" s="9"/>
      <c r="LR626" s="9"/>
      <c r="LS626" s="9"/>
      <c r="LT626" s="9"/>
      <c r="LU626" s="9"/>
      <c r="LV626" s="9"/>
      <c r="LW626" s="9"/>
      <c r="LX626" s="9"/>
      <c r="LY626" s="9"/>
      <c r="LZ626" s="9"/>
      <c r="MA626" s="9"/>
      <c r="MB626" s="9"/>
      <c r="MC626" s="9"/>
      <c r="MD626" s="9"/>
      <c r="ME626" s="9"/>
      <c r="MF626" s="9"/>
      <c r="MG626" s="9"/>
      <c r="MH626" s="9"/>
      <c r="MI626" s="9"/>
      <c r="MJ626" s="9"/>
      <c r="MK626" s="9"/>
      <c r="ML626" s="9"/>
      <c r="MM626" s="9"/>
      <c r="MN626" s="9"/>
      <c r="MO626" s="9"/>
      <c r="MP626" s="9"/>
      <c r="MQ626" s="9"/>
      <c r="MR626" s="9"/>
      <c r="MS626" s="9"/>
      <c r="MT626" s="9"/>
      <c r="MU626" s="9"/>
      <c r="MV626" s="9"/>
      <c r="MW626" s="9"/>
      <c r="MX626" s="9"/>
      <c r="MY626" s="9"/>
      <c r="MZ626" s="9"/>
      <c r="NA626" s="9"/>
      <c r="NB626" s="9"/>
      <c r="NC626" s="9"/>
      <c r="ND626" s="9"/>
      <c r="NE626" s="9"/>
      <c r="NF626" s="9"/>
      <c r="NG626" s="9"/>
      <c r="NH626" s="9"/>
      <c r="NI626" s="9"/>
      <c r="NJ626" s="9"/>
      <c r="NK626" s="9"/>
      <c r="NL626" s="9"/>
      <c r="NM626" s="9"/>
      <c r="NN626" s="9"/>
      <c r="NO626" s="9"/>
      <c r="NP626" s="9"/>
      <c r="NQ626" s="9"/>
      <c r="NR626" s="9"/>
      <c r="NS626" s="9"/>
      <c r="NT626" s="9"/>
      <c r="NU626" s="9"/>
      <c r="NV626" s="9"/>
      <c r="NW626" s="9"/>
      <c r="NX626" s="9"/>
      <c r="NY626" s="9"/>
      <c r="NZ626" s="9"/>
      <c r="OA626" s="9"/>
      <c r="OB626" s="9"/>
      <c r="OC626" s="9"/>
      <c r="OD626" s="9"/>
      <c r="OE626" s="9"/>
      <c r="OF626" s="9"/>
      <c r="OG626" s="9"/>
      <c r="OH626" s="9"/>
      <c r="OI626" s="9"/>
      <c r="OJ626" s="9"/>
      <c r="OK626" s="9"/>
      <c r="OL626" s="9"/>
      <c r="OM626" s="9"/>
      <c r="ON626" s="9"/>
      <c r="OO626" s="9"/>
      <c r="OP626" s="9"/>
      <c r="OQ626" s="9"/>
      <c r="OR626" s="9"/>
      <c r="OS626" s="9"/>
      <c r="OT626" s="9"/>
      <c r="OU626" s="9"/>
      <c r="OV626" s="9"/>
      <c r="OW626" s="9"/>
      <c r="OX626" s="9"/>
      <c r="OY626" s="9"/>
      <c r="OZ626" s="9"/>
      <c r="PA626" s="9"/>
      <c r="PB626" s="9"/>
      <c r="PC626" s="9"/>
      <c r="PD626" s="9"/>
      <c r="PE626" s="9"/>
      <c r="PF626" s="9"/>
      <c r="PG626" s="9"/>
      <c r="PH626" s="9"/>
      <c r="PI626" s="9"/>
      <c r="PJ626" s="9"/>
      <c r="PK626" s="9"/>
      <c r="PL626" s="9"/>
      <c r="PM626" s="9"/>
      <c r="PN626" s="9"/>
      <c r="PO626" s="9"/>
      <c r="PP626" s="9"/>
      <c r="PQ626" s="9"/>
      <c r="PR626" s="9"/>
      <c r="PS626" s="9"/>
      <c r="PT626" s="9"/>
      <c r="PU626" s="9"/>
      <c r="PV626" s="9"/>
      <c r="PW626" s="9"/>
      <c r="PX626" s="9"/>
      <c r="PY626" s="9"/>
      <c r="PZ626" s="9"/>
      <c r="QA626" s="9"/>
      <c r="QB626" s="9"/>
      <c r="QC626" s="9"/>
      <c r="QD626" s="9"/>
      <c r="QE626" s="9"/>
      <c r="QF626" s="9"/>
      <c r="QG626" s="9"/>
      <c r="QH626" s="9"/>
      <c r="QI626" s="9"/>
      <c r="QJ626" s="9"/>
      <c r="QK626" s="9"/>
      <c r="QL626" s="9"/>
      <c r="QM626" s="9"/>
      <c r="QN626" s="9"/>
      <c r="QO626" s="9"/>
      <c r="QP626" s="9"/>
      <c r="QQ626" s="9"/>
      <c r="QR626" s="9"/>
      <c r="QS626" s="9"/>
      <c r="QT626" s="9"/>
      <c r="QU626" s="9"/>
      <c r="QV626" s="9"/>
      <c r="QW626" s="9"/>
      <c r="QX626" s="9"/>
      <c r="QY626" s="9"/>
      <c r="QZ626" s="9"/>
      <c r="RA626" s="9"/>
      <c r="RB626" s="9"/>
      <c r="RC626" s="9"/>
      <c r="RD626" s="9"/>
      <c r="RE626" s="9"/>
      <c r="RF626" s="9"/>
      <c r="RG626" s="9"/>
      <c r="RH626" s="9"/>
      <c r="RI626" s="9"/>
      <c r="RJ626" s="9"/>
      <c r="RK626" s="9"/>
      <c r="RL626" s="9"/>
      <c r="RM626" s="9"/>
      <c r="RN626" s="9"/>
      <c r="RO626" s="9"/>
      <c r="RP626" s="9"/>
      <c r="RQ626" s="9"/>
      <c r="RR626" s="9"/>
      <c r="RS626" s="9"/>
      <c r="RT626" s="9"/>
      <c r="RU626" s="9"/>
      <c r="RV626" s="9"/>
      <c r="RW626" s="9"/>
      <c r="RX626" s="9"/>
      <c r="RY626" s="9"/>
      <c r="RZ626" s="9"/>
      <c r="SA626" s="9"/>
      <c r="SB626" s="9"/>
      <c r="SC626" s="9"/>
      <c r="SD626" s="9"/>
      <c r="SE626" s="9"/>
      <c r="SF626" s="9"/>
      <c r="SG626" s="9"/>
      <c r="SH626" s="9"/>
      <c r="SI626" s="9"/>
      <c r="SJ626" s="9"/>
      <c r="SK626" s="9"/>
      <c r="SL626" s="9"/>
      <c r="SM626" s="9"/>
      <c r="SN626" s="9"/>
      <c r="SO626" s="9"/>
      <c r="SP626" s="9"/>
      <c r="SQ626" s="9"/>
      <c r="SR626" s="9"/>
      <c r="SS626" s="9"/>
      <c r="ST626" s="9"/>
      <c r="SU626" s="9"/>
      <c r="SV626" s="9"/>
      <c r="SW626" s="9"/>
      <c r="SX626" s="9"/>
      <c r="SY626" s="9"/>
      <c r="SZ626" s="9"/>
      <c r="TA626" s="9"/>
      <c r="TB626" s="9"/>
      <c r="TC626" s="9"/>
      <c r="TD626" s="9"/>
      <c r="TE626" s="9"/>
      <c r="TF626" s="9"/>
      <c r="TG626" s="9"/>
      <c r="TH626" s="9"/>
      <c r="TI626" s="9"/>
      <c r="TJ626" s="9"/>
      <c r="TK626" s="9"/>
      <c r="TL626" s="9"/>
      <c r="TM626" s="9"/>
      <c r="TN626" s="9"/>
      <c r="TO626" s="9"/>
      <c r="TP626" s="9"/>
      <c r="TQ626" s="9"/>
      <c r="TR626" s="9"/>
      <c r="TS626" s="9"/>
      <c r="TT626" s="9"/>
      <c r="TU626" s="9"/>
      <c r="TV626" s="9"/>
      <c r="TW626" s="9"/>
      <c r="TX626" s="9"/>
      <c r="TY626" s="9"/>
      <c r="TZ626" s="9"/>
      <c r="UA626" s="9"/>
      <c r="UB626" s="9"/>
      <c r="UC626" s="9"/>
      <c r="UD626" s="9"/>
      <c r="UE626" s="9"/>
      <c r="UF626" s="9"/>
      <c r="UG626" s="9"/>
      <c r="UH626" s="9"/>
      <c r="UI626" s="9"/>
      <c r="UJ626" s="9"/>
    </row>
    <row r="627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  <c r="IN627" s="9"/>
      <c r="IO627" s="9"/>
      <c r="IP627" s="9"/>
      <c r="IQ627" s="9"/>
      <c r="IR627" s="9"/>
      <c r="IS627" s="9"/>
      <c r="IT627" s="9"/>
      <c r="IU627" s="9"/>
      <c r="IV627" s="9"/>
      <c r="IW627" s="9"/>
      <c r="IX627" s="9"/>
      <c r="IY627" s="9"/>
      <c r="IZ627" s="9"/>
      <c r="JA627" s="9"/>
      <c r="JB627" s="9"/>
      <c r="JC627" s="9"/>
      <c r="JD627" s="9"/>
      <c r="JE627" s="9"/>
      <c r="JF627" s="9"/>
      <c r="JG627" s="9"/>
      <c r="JH627" s="9"/>
      <c r="JI627" s="9"/>
      <c r="JJ627" s="9"/>
      <c r="JK627" s="9"/>
      <c r="JL627" s="9"/>
      <c r="JM627" s="9"/>
      <c r="JN627" s="9"/>
      <c r="JO627" s="9"/>
      <c r="JP627" s="9"/>
      <c r="JQ627" s="9"/>
      <c r="JR627" s="9"/>
      <c r="JS627" s="9"/>
      <c r="JT627" s="9"/>
      <c r="JU627" s="9"/>
      <c r="JV627" s="9"/>
      <c r="JW627" s="9"/>
      <c r="JX627" s="9"/>
      <c r="JY627" s="9"/>
      <c r="JZ627" s="9"/>
      <c r="KA627" s="9"/>
      <c r="KB627" s="9"/>
      <c r="KC627" s="9"/>
      <c r="KD627" s="9"/>
      <c r="KE627" s="9"/>
      <c r="KF627" s="9"/>
      <c r="KG627" s="9"/>
      <c r="KH627" s="9"/>
      <c r="KI627" s="9"/>
      <c r="KJ627" s="9"/>
      <c r="KK627" s="9"/>
      <c r="KL627" s="9"/>
      <c r="KM627" s="9"/>
      <c r="KN627" s="9"/>
      <c r="KO627" s="9"/>
      <c r="KP627" s="9"/>
      <c r="KQ627" s="9"/>
      <c r="KR627" s="9"/>
      <c r="KS627" s="9"/>
      <c r="KT627" s="9"/>
      <c r="KU627" s="9"/>
      <c r="KV627" s="9"/>
      <c r="KW627" s="9"/>
      <c r="KX627" s="9"/>
      <c r="KY627" s="9"/>
      <c r="KZ627" s="9"/>
      <c r="LA627" s="9"/>
      <c r="LB627" s="9"/>
      <c r="LC627" s="9"/>
      <c r="LD627" s="9"/>
      <c r="LE627" s="9"/>
      <c r="LF627" s="9"/>
      <c r="LG627" s="9"/>
      <c r="LH627" s="9"/>
      <c r="LI627" s="9"/>
      <c r="LJ627" s="9"/>
      <c r="LK627" s="9"/>
      <c r="LL627" s="9"/>
      <c r="LM627" s="9"/>
      <c r="LN627" s="9"/>
      <c r="LO627" s="9"/>
      <c r="LP627" s="9"/>
      <c r="LQ627" s="9"/>
      <c r="LR627" s="9"/>
      <c r="LS627" s="9"/>
      <c r="LT627" s="9"/>
      <c r="LU627" s="9"/>
      <c r="LV627" s="9"/>
      <c r="LW627" s="9"/>
      <c r="LX627" s="9"/>
      <c r="LY627" s="9"/>
      <c r="LZ627" s="9"/>
      <c r="MA627" s="9"/>
      <c r="MB627" s="9"/>
      <c r="MC627" s="9"/>
      <c r="MD627" s="9"/>
      <c r="ME627" s="9"/>
      <c r="MF627" s="9"/>
      <c r="MG627" s="9"/>
      <c r="MH627" s="9"/>
      <c r="MI627" s="9"/>
      <c r="MJ627" s="9"/>
      <c r="MK627" s="9"/>
      <c r="ML627" s="9"/>
      <c r="MM627" s="9"/>
      <c r="MN627" s="9"/>
      <c r="MO627" s="9"/>
      <c r="MP627" s="9"/>
      <c r="MQ627" s="9"/>
      <c r="MR627" s="9"/>
      <c r="MS627" s="9"/>
      <c r="MT627" s="9"/>
      <c r="MU627" s="9"/>
      <c r="MV627" s="9"/>
      <c r="MW627" s="9"/>
      <c r="MX627" s="9"/>
      <c r="MY627" s="9"/>
      <c r="MZ627" s="9"/>
      <c r="NA627" s="9"/>
      <c r="NB627" s="9"/>
      <c r="NC627" s="9"/>
      <c r="ND627" s="9"/>
      <c r="NE627" s="9"/>
      <c r="NF627" s="9"/>
      <c r="NG627" s="9"/>
      <c r="NH627" s="9"/>
      <c r="NI627" s="9"/>
      <c r="NJ627" s="9"/>
      <c r="NK627" s="9"/>
      <c r="NL627" s="9"/>
      <c r="NM627" s="9"/>
      <c r="NN627" s="9"/>
      <c r="NO627" s="9"/>
      <c r="NP627" s="9"/>
      <c r="NQ627" s="9"/>
      <c r="NR627" s="9"/>
      <c r="NS627" s="9"/>
      <c r="NT627" s="9"/>
      <c r="NU627" s="9"/>
      <c r="NV627" s="9"/>
      <c r="NW627" s="9"/>
      <c r="NX627" s="9"/>
      <c r="NY627" s="9"/>
      <c r="NZ627" s="9"/>
      <c r="OA627" s="9"/>
      <c r="OB627" s="9"/>
      <c r="OC627" s="9"/>
      <c r="OD627" s="9"/>
      <c r="OE627" s="9"/>
      <c r="OF627" s="9"/>
      <c r="OG627" s="9"/>
      <c r="OH627" s="9"/>
      <c r="OI627" s="9"/>
      <c r="OJ627" s="9"/>
      <c r="OK627" s="9"/>
      <c r="OL627" s="9"/>
      <c r="OM627" s="9"/>
      <c r="ON627" s="9"/>
      <c r="OO627" s="9"/>
      <c r="OP627" s="9"/>
      <c r="OQ627" s="9"/>
      <c r="OR627" s="9"/>
      <c r="OS627" s="9"/>
      <c r="OT627" s="9"/>
      <c r="OU627" s="9"/>
      <c r="OV627" s="9"/>
      <c r="OW627" s="9"/>
      <c r="OX627" s="9"/>
      <c r="OY627" s="9"/>
      <c r="OZ627" s="9"/>
      <c r="PA627" s="9"/>
      <c r="PB627" s="9"/>
      <c r="PC627" s="9"/>
      <c r="PD627" s="9"/>
      <c r="PE627" s="9"/>
      <c r="PF627" s="9"/>
      <c r="PG627" s="9"/>
      <c r="PH627" s="9"/>
      <c r="PI627" s="9"/>
      <c r="PJ627" s="9"/>
      <c r="PK627" s="9"/>
      <c r="PL627" s="9"/>
      <c r="PM627" s="9"/>
      <c r="PN627" s="9"/>
      <c r="PO627" s="9"/>
      <c r="PP627" s="9"/>
      <c r="PQ627" s="9"/>
      <c r="PR627" s="9"/>
      <c r="PS627" s="9"/>
      <c r="PT627" s="9"/>
      <c r="PU627" s="9"/>
      <c r="PV627" s="9"/>
      <c r="PW627" s="9"/>
      <c r="PX627" s="9"/>
      <c r="PY627" s="9"/>
      <c r="PZ627" s="9"/>
      <c r="QA627" s="9"/>
      <c r="QB627" s="9"/>
      <c r="QC627" s="9"/>
      <c r="QD627" s="9"/>
      <c r="QE627" s="9"/>
      <c r="QF627" s="9"/>
      <c r="QG627" s="9"/>
      <c r="QH627" s="9"/>
      <c r="QI627" s="9"/>
      <c r="QJ627" s="9"/>
      <c r="QK627" s="9"/>
      <c r="QL627" s="9"/>
      <c r="QM627" s="9"/>
      <c r="QN627" s="9"/>
      <c r="QO627" s="9"/>
      <c r="QP627" s="9"/>
      <c r="QQ627" s="9"/>
      <c r="QR627" s="9"/>
      <c r="QS627" s="9"/>
      <c r="QT627" s="9"/>
      <c r="QU627" s="9"/>
      <c r="QV627" s="9"/>
      <c r="QW627" s="9"/>
      <c r="QX627" s="9"/>
      <c r="QY627" s="9"/>
      <c r="QZ627" s="9"/>
      <c r="RA627" s="9"/>
      <c r="RB627" s="9"/>
      <c r="RC627" s="9"/>
      <c r="RD627" s="9"/>
      <c r="RE627" s="9"/>
      <c r="RF627" s="9"/>
      <c r="RG627" s="9"/>
      <c r="RH627" s="9"/>
      <c r="RI627" s="9"/>
      <c r="RJ627" s="9"/>
      <c r="RK627" s="9"/>
      <c r="RL627" s="9"/>
      <c r="RM627" s="9"/>
      <c r="RN627" s="9"/>
      <c r="RO627" s="9"/>
      <c r="RP627" s="9"/>
      <c r="RQ627" s="9"/>
      <c r="RR627" s="9"/>
      <c r="RS627" s="9"/>
      <c r="RT627" s="9"/>
      <c r="RU627" s="9"/>
      <c r="RV627" s="9"/>
      <c r="RW627" s="9"/>
      <c r="RX627" s="9"/>
      <c r="RY627" s="9"/>
      <c r="RZ627" s="9"/>
      <c r="SA627" s="9"/>
      <c r="SB627" s="9"/>
      <c r="SC627" s="9"/>
      <c r="SD627" s="9"/>
      <c r="SE627" s="9"/>
      <c r="SF627" s="9"/>
      <c r="SG627" s="9"/>
      <c r="SH627" s="9"/>
      <c r="SI627" s="9"/>
      <c r="SJ627" s="9"/>
      <c r="SK627" s="9"/>
      <c r="SL627" s="9"/>
      <c r="SM627" s="9"/>
      <c r="SN627" s="9"/>
      <c r="SO627" s="9"/>
      <c r="SP627" s="9"/>
      <c r="SQ627" s="9"/>
      <c r="SR627" s="9"/>
      <c r="SS627" s="9"/>
      <c r="ST627" s="9"/>
      <c r="SU627" s="9"/>
      <c r="SV627" s="9"/>
      <c r="SW627" s="9"/>
      <c r="SX627" s="9"/>
      <c r="SY627" s="9"/>
      <c r="SZ627" s="9"/>
      <c r="TA627" s="9"/>
      <c r="TB627" s="9"/>
      <c r="TC627" s="9"/>
      <c r="TD627" s="9"/>
      <c r="TE627" s="9"/>
      <c r="TF627" s="9"/>
      <c r="TG627" s="9"/>
      <c r="TH627" s="9"/>
      <c r="TI627" s="9"/>
      <c r="TJ627" s="9"/>
      <c r="TK627" s="9"/>
      <c r="TL627" s="9"/>
      <c r="TM627" s="9"/>
      <c r="TN627" s="9"/>
      <c r="TO627" s="9"/>
      <c r="TP627" s="9"/>
      <c r="TQ627" s="9"/>
      <c r="TR627" s="9"/>
      <c r="TS627" s="9"/>
      <c r="TT627" s="9"/>
      <c r="TU627" s="9"/>
      <c r="TV627" s="9"/>
      <c r="TW627" s="9"/>
      <c r="TX627" s="9"/>
      <c r="TY627" s="9"/>
      <c r="TZ627" s="9"/>
      <c r="UA627" s="9"/>
      <c r="UB627" s="9"/>
      <c r="UC627" s="9"/>
      <c r="UD627" s="9"/>
      <c r="UE627" s="9"/>
      <c r="UF627" s="9"/>
      <c r="UG627" s="9"/>
      <c r="UH627" s="9"/>
      <c r="UI627" s="9"/>
      <c r="UJ627" s="9"/>
    </row>
    <row r="628">
      <c r="A628" s="8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  <c r="HZ628" s="9"/>
      <c r="IA628" s="9"/>
      <c r="IB628" s="9"/>
      <c r="IC628" s="9"/>
      <c r="ID628" s="9"/>
      <c r="IE628" s="9"/>
      <c r="IF628" s="9"/>
      <c r="IG628" s="9"/>
      <c r="IH628" s="9"/>
      <c r="II628" s="9"/>
      <c r="IJ628" s="9"/>
      <c r="IK628" s="9"/>
      <c r="IL628" s="9"/>
      <c r="IM628" s="9"/>
      <c r="IN628" s="9"/>
      <c r="IO628" s="9"/>
      <c r="IP628" s="9"/>
      <c r="IQ628" s="9"/>
      <c r="IR628" s="9"/>
      <c r="IS628" s="9"/>
      <c r="IT628" s="9"/>
      <c r="IU628" s="9"/>
      <c r="IV628" s="9"/>
      <c r="IW628" s="9"/>
      <c r="IX628" s="9"/>
      <c r="IY628" s="9"/>
      <c r="IZ628" s="9"/>
      <c r="JA628" s="9"/>
      <c r="JB628" s="9"/>
      <c r="JC628" s="9"/>
      <c r="JD628" s="9"/>
      <c r="JE628" s="9"/>
      <c r="JF628" s="9"/>
      <c r="JG628" s="9"/>
      <c r="JH628" s="9"/>
      <c r="JI628" s="9"/>
      <c r="JJ628" s="9"/>
      <c r="JK628" s="9"/>
      <c r="JL628" s="9"/>
      <c r="JM628" s="9"/>
      <c r="JN628" s="9"/>
      <c r="JO628" s="9"/>
      <c r="JP628" s="9"/>
      <c r="JQ628" s="9"/>
      <c r="JR628" s="9"/>
      <c r="JS628" s="9"/>
      <c r="JT628" s="9"/>
      <c r="JU628" s="9"/>
      <c r="JV628" s="9"/>
      <c r="JW628" s="9"/>
      <c r="JX628" s="9"/>
      <c r="JY628" s="9"/>
      <c r="JZ628" s="9"/>
      <c r="KA628" s="9"/>
      <c r="KB628" s="9"/>
      <c r="KC628" s="9"/>
      <c r="KD628" s="9"/>
      <c r="KE628" s="9"/>
      <c r="KF628" s="9"/>
      <c r="KG628" s="9"/>
      <c r="KH628" s="9"/>
      <c r="KI628" s="9"/>
      <c r="KJ628" s="9"/>
      <c r="KK628" s="9"/>
      <c r="KL628" s="9"/>
      <c r="KM628" s="9"/>
      <c r="KN628" s="9"/>
      <c r="KO628" s="9"/>
      <c r="KP628" s="9"/>
      <c r="KQ628" s="9"/>
      <c r="KR628" s="9"/>
      <c r="KS628" s="9"/>
      <c r="KT628" s="9"/>
      <c r="KU628" s="9"/>
      <c r="KV628" s="9"/>
      <c r="KW628" s="9"/>
      <c r="KX628" s="9"/>
      <c r="KY628" s="9"/>
      <c r="KZ628" s="9"/>
      <c r="LA628" s="9"/>
      <c r="LB628" s="9"/>
      <c r="LC628" s="9"/>
      <c r="LD628" s="9"/>
      <c r="LE628" s="9"/>
      <c r="LF628" s="9"/>
      <c r="LG628" s="9"/>
      <c r="LH628" s="9"/>
      <c r="LI628" s="9"/>
      <c r="LJ628" s="9"/>
      <c r="LK628" s="9"/>
      <c r="LL628" s="9"/>
      <c r="LM628" s="9"/>
      <c r="LN628" s="9"/>
      <c r="LO628" s="9"/>
      <c r="LP628" s="9"/>
      <c r="LQ628" s="9"/>
      <c r="LR628" s="9"/>
      <c r="LS628" s="9"/>
      <c r="LT628" s="9"/>
      <c r="LU628" s="9"/>
      <c r="LV628" s="9"/>
      <c r="LW628" s="9"/>
      <c r="LX628" s="9"/>
      <c r="LY628" s="9"/>
      <c r="LZ628" s="9"/>
      <c r="MA628" s="9"/>
      <c r="MB628" s="9"/>
      <c r="MC628" s="9"/>
      <c r="MD628" s="9"/>
      <c r="ME628" s="9"/>
      <c r="MF628" s="9"/>
      <c r="MG628" s="9"/>
      <c r="MH628" s="9"/>
      <c r="MI628" s="9"/>
      <c r="MJ628" s="9"/>
      <c r="MK628" s="9"/>
      <c r="ML628" s="9"/>
      <c r="MM628" s="9"/>
      <c r="MN628" s="9"/>
      <c r="MO628" s="9"/>
      <c r="MP628" s="9"/>
      <c r="MQ628" s="9"/>
      <c r="MR628" s="9"/>
      <c r="MS628" s="9"/>
      <c r="MT628" s="9"/>
      <c r="MU628" s="9"/>
      <c r="MV628" s="9"/>
      <c r="MW628" s="9"/>
      <c r="MX628" s="9"/>
      <c r="MY628" s="9"/>
      <c r="MZ628" s="9"/>
      <c r="NA628" s="9"/>
      <c r="NB628" s="9"/>
      <c r="NC628" s="9"/>
      <c r="ND628" s="9"/>
      <c r="NE628" s="9"/>
      <c r="NF628" s="9"/>
      <c r="NG628" s="9"/>
      <c r="NH628" s="9"/>
      <c r="NI628" s="9"/>
      <c r="NJ628" s="9"/>
      <c r="NK628" s="9"/>
      <c r="NL628" s="9"/>
      <c r="NM628" s="9"/>
      <c r="NN628" s="9"/>
      <c r="NO628" s="9"/>
      <c r="NP628" s="9"/>
      <c r="NQ628" s="9"/>
      <c r="NR628" s="9"/>
      <c r="NS628" s="9"/>
      <c r="NT628" s="9"/>
      <c r="NU628" s="9"/>
      <c r="NV628" s="9"/>
      <c r="NW628" s="9"/>
      <c r="NX628" s="9"/>
      <c r="NY628" s="9"/>
      <c r="NZ628" s="9"/>
      <c r="OA628" s="9"/>
      <c r="OB628" s="9"/>
      <c r="OC628" s="9"/>
      <c r="OD628" s="9"/>
      <c r="OE628" s="9"/>
      <c r="OF628" s="9"/>
      <c r="OG628" s="9"/>
      <c r="OH628" s="9"/>
      <c r="OI628" s="9"/>
      <c r="OJ628" s="9"/>
      <c r="OK628" s="9"/>
      <c r="OL628" s="9"/>
      <c r="OM628" s="9"/>
      <c r="ON628" s="9"/>
      <c r="OO628" s="9"/>
      <c r="OP628" s="9"/>
      <c r="OQ628" s="9"/>
      <c r="OR628" s="9"/>
      <c r="OS628" s="9"/>
      <c r="OT628" s="9"/>
      <c r="OU628" s="9"/>
      <c r="OV628" s="9"/>
      <c r="OW628" s="9"/>
      <c r="OX628" s="9"/>
      <c r="OY628" s="9"/>
      <c r="OZ628" s="9"/>
      <c r="PA628" s="9"/>
      <c r="PB628" s="9"/>
      <c r="PC628" s="9"/>
      <c r="PD628" s="9"/>
      <c r="PE628" s="9"/>
      <c r="PF628" s="9"/>
      <c r="PG628" s="9"/>
      <c r="PH628" s="9"/>
      <c r="PI628" s="9"/>
      <c r="PJ628" s="9"/>
      <c r="PK628" s="9"/>
      <c r="PL628" s="9"/>
      <c r="PM628" s="9"/>
      <c r="PN628" s="9"/>
      <c r="PO628" s="9"/>
      <c r="PP628" s="9"/>
      <c r="PQ628" s="9"/>
      <c r="PR628" s="9"/>
      <c r="PS628" s="9"/>
      <c r="PT628" s="9"/>
      <c r="PU628" s="9"/>
      <c r="PV628" s="9"/>
      <c r="PW628" s="9"/>
      <c r="PX628" s="9"/>
      <c r="PY628" s="9"/>
      <c r="PZ628" s="9"/>
      <c r="QA628" s="9"/>
      <c r="QB628" s="9"/>
      <c r="QC628" s="9"/>
      <c r="QD628" s="9"/>
      <c r="QE628" s="9"/>
      <c r="QF628" s="9"/>
      <c r="QG628" s="9"/>
      <c r="QH628" s="9"/>
      <c r="QI628" s="9"/>
      <c r="QJ628" s="9"/>
      <c r="QK628" s="9"/>
      <c r="QL628" s="9"/>
      <c r="QM628" s="9"/>
      <c r="QN628" s="9"/>
      <c r="QO628" s="9"/>
      <c r="QP628" s="9"/>
      <c r="QQ628" s="9"/>
      <c r="QR628" s="9"/>
      <c r="QS628" s="9"/>
      <c r="QT628" s="9"/>
      <c r="QU628" s="9"/>
      <c r="QV628" s="9"/>
      <c r="QW628" s="9"/>
      <c r="QX628" s="9"/>
      <c r="QY628" s="9"/>
      <c r="QZ628" s="9"/>
      <c r="RA628" s="9"/>
      <c r="RB628" s="9"/>
      <c r="RC628" s="9"/>
      <c r="RD628" s="9"/>
      <c r="RE628" s="9"/>
      <c r="RF628" s="9"/>
      <c r="RG628" s="9"/>
      <c r="RH628" s="9"/>
      <c r="RI628" s="9"/>
      <c r="RJ628" s="9"/>
      <c r="RK628" s="9"/>
      <c r="RL628" s="9"/>
      <c r="RM628" s="9"/>
      <c r="RN628" s="9"/>
      <c r="RO628" s="9"/>
      <c r="RP628" s="9"/>
      <c r="RQ628" s="9"/>
      <c r="RR628" s="9"/>
      <c r="RS628" s="9"/>
      <c r="RT628" s="9"/>
      <c r="RU628" s="9"/>
      <c r="RV628" s="9"/>
      <c r="RW628" s="9"/>
      <c r="RX628" s="9"/>
      <c r="RY628" s="9"/>
      <c r="RZ628" s="9"/>
      <c r="SA628" s="9"/>
      <c r="SB628" s="9"/>
      <c r="SC628" s="9"/>
      <c r="SD628" s="9"/>
      <c r="SE628" s="9"/>
      <c r="SF628" s="9"/>
      <c r="SG628" s="9"/>
      <c r="SH628" s="9"/>
      <c r="SI628" s="9"/>
      <c r="SJ628" s="9"/>
      <c r="SK628" s="9"/>
      <c r="SL628" s="9"/>
      <c r="SM628" s="9"/>
      <c r="SN628" s="9"/>
      <c r="SO628" s="9"/>
      <c r="SP628" s="9"/>
      <c r="SQ628" s="9"/>
      <c r="SR628" s="9"/>
      <c r="SS628" s="9"/>
      <c r="ST628" s="9"/>
      <c r="SU628" s="9"/>
      <c r="SV628" s="9"/>
      <c r="SW628" s="9"/>
      <c r="SX628" s="9"/>
      <c r="SY628" s="9"/>
      <c r="SZ628" s="9"/>
      <c r="TA628" s="9"/>
      <c r="TB628" s="9"/>
      <c r="TC628" s="9"/>
      <c r="TD628" s="9"/>
      <c r="TE628" s="9"/>
      <c r="TF628" s="9"/>
      <c r="TG628" s="9"/>
      <c r="TH628" s="9"/>
      <c r="TI628" s="9"/>
      <c r="TJ628" s="9"/>
      <c r="TK628" s="9"/>
      <c r="TL628" s="9"/>
      <c r="TM628" s="9"/>
      <c r="TN628" s="9"/>
      <c r="TO628" s="9"/>
      <c r="TP628" s="9"/>
      <c r="TQ628" s="9"/>
      <c r="TR628" s="9"/>
      <c r="TS628" s="9"/>
      <c r="TT628" s="9"/>
      <c r="TU628" s="9"/>
      <c r="TV628" s="9"/>
      <c r="TW628" s="9"/>
      <c r="TX628" s="9"/>
      <c r="TY628" s="9"/>
      <c r="TZ628" s="9"/>
      <c r="UA628" s="9"/>
      <c r="UB628" s="9"/>
      <c r="UC628" s="9"/>
      <c r="UD628" s="9"/>
      <c r="UE628" s="9"/>
      <c r="UF628" s="9"/>
      <c r="UG628" s="9"/>
      <c r="UH628" s="9"/>
      <c r="UI628" s="9"/>
      <c r="UJ628" s="9"/>
    </row>
    <row r="629">
      <c r="A629" s="8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  <c r="IC629" s="9"/>
      <c r="ID629" s="9"/>
      <c r="IE629" s="9"/>
      <c r="IF629" s="9"/>
      <c r="IG629" s="9"/>
      <c r="IH629" s="9"/>
      <c r="II629" s="9"/>
      <c r="IJ629" s="9"/>
      <c r="IK629" s="9"/>
      <c r="IL629" s="9"/>
      <c r="IM629" s="9"/>
      <c r="IN629" s="9"/>
      <c r="IO629" s="9"/>
      <c r="IP629" s="9"/>
      <c r="IQ629" s="9"/>
      <c r="IR629" s="9"/>
      <c r="IS629" s="9"/>
      <c r="IT629" s="9"/>
      <c r="IU629" s="9"/>
      <c r="IV629" s="9"/>
      <c r="IW629" s="9"/>
      <c r="IX629" s="9"/>
      <c r="IY629" s="9"/>
      <c r="IZ629" s="9"/>
      <c r="JA629" s="9"/>
      <c r="JB629" s="9"/>
      <c r="JC629" s="9"/>
      <c r="JD629" s="9"/>
      <c r="JE629" s="9"/>
      <c r="JF629" s="9"/>
      <c r="JG629" s="9"/>
      <c r="JH629" s="9"/>
      <c r="JI629" s="9"/>
      <c r="JJ629" s="9"/>
      <c r="JK629" s="9"/>
      <c r="JL629" s="9"/>
      <c r="JM629" s="9"/>
      <c r="JN629" s="9"/>
      <c r="JO629" s="9"/>
      <c r="JP629" s="9"/>
      <c r="JQ629" s="9"/>
      <c r="JR629" s="9"/>
      <c r="JS629" s="9"/>
      <c r="JT629" s="9"/>
      <c r="JU629" s="9"/>
      <c r="JV629" s="9"/>
      <c r="JW629" s="9"/>
      <c r="JX629" s="9"/>
      <c r="JY629" s="9"/>
      <c r="JZ629" s="9"/>
      <c r="KA629" s="9"/>
      <c r="KB629" s="9"/>
      <c r="KC629" s="9"/>
      <c r="KD629" s="9"/>
      <c r="KE629" s="9"/>
      <c r="KF629" s="9"/>
      <c r="KG629" s="9"/>
      <c r="KH629" s="9"/>
      <c r="KI629" s="9"/>
      <c r="KJ629" s="9"/>
      <c r="KK629" s="9"/>
      <c r="KL629" s="9"/>
      <c r="KM629" s="9"/>
      <c r="KN629" s="9"/>
      <c r="KO629" s="9"/>
      <c r="KP629" s="9"/>
      <c r="KQ629" s="9"/>
      <c r="KR629" s="9"/>
      <c r="KS629" s="9"/>
      <c r="KT629" s="9"/>
      <c r="KU629" s="9"/>
      <c r="KV629" s="9"/>
      <c r="KW629" s="9"/>
      <c r="KX629" s="9"/>
      <c r="KY629" s="9"/>
      <c r="KZ629" s="9"/>
      <c r="LA629" s="9"/>
      <c r="LB629" s="9"/>
      <c r="LC629" s="9"/>
      <c r="LD629" s="9"/>
      <c r="LE629" s="9"/>
      <c r="LF629" s="9"/>
      <c r="LG629" s="9"/>
      <c r="LH629" s="9"/>
      <c r="LI629" s="9"/>
      <c r="LJ629" s="9"/>
      <c r="LK629" s="9"/>
      <c r="LL629" s="9"/>
      <c r="LM629" s="9"/>
      <c r="LN629" s="9"/>
      <c r="LO629" s="9"/>
      <c r="LP629" s="9"/>
      <c r="LQ629" s="9"/>
      <c r="LR629" s="9"/>
      <c r="LS629" s="9"/>
      <c r="LT629" s="9"/>
      <c r="LU629" s="9"/>
      <c r="LV629" s="9"/>
      <c r="LW629" s="9"/>
      <c r="LX629" s="9"/>
      <c r="LY629" s="9"/>
      <c r="LZ629" s="9"/>
      <c r="MA629" s="9"/>
      <c r="MB629" s="9"/>
      <c r="MC629" s="9"/>
      <c r="MD629" s="9"/>
      <c r="ME629" s="9"/>
      <c r="MF629" s="9"/>
      <c r="MG629" s="9"/>
      <c r="MH629" s="9"/>
      <c r="MI629" s="9"/>
      <c r="MJ629" s="9"/>
      <c r="MK629" s="9"/>
      <c r="ML629" s="9"/>
      <c r="MM629" s="9"/>
      <c r="MN629" s="9"/>
      <c r="MO629" s="9"/>
      <c r="MP629" s="9"/>
      <c r="MQ629" s="9"/>
      <c r="MR629" s="9"/>
      <c r="MS629" s="9"/>
      <c r="MT629" s="9"/>
      <c r="MU629" s="9"/>
      <c r="MV629" s="9"/>
      <c r="MW629" s="9"/>
      <c r="MX629" s="9"/>
      <c r="MY629" s="9"/>
      <c r="MZ629" s="9"/>
      <c r="NA629" s="9"/>
      <c r="NB629" s="9"/>
      <c r="NC629" s="9"/>
      <c r="ND629" s="9"/>
      <c r="NE629" s="9"/>
      <c r="NF629" s="9"/>
      <c r="NG629" s="9"/>
      <c r="NH629" s="9"/>
      <c r="NI629" s="9"/>
      <c r="NJ629" s="9"/>
      <c r="NK629" s="9"/>
      <c r="NL629" s="9"/>
      <c r="NM629" s="9"/>
      <c r="NN629" s="9"/>
      <c r="NO629" s="9"/>
      <c r="NP629" s="9"/>
      <c r="NQ629" s="9"/>
      <c r="NR629" s="9"/>
      <c r="NS629" s="9"/>
      <c r="NT629" s="9"/>
      <c r="NU629" s="9"/>
      <c r="NV629" s="9"/>
      <c r="NW629" s="9"/>
      <c r="NX629" s="9"/>
      <c r="NY629" s="9"/>
      <c r="NZ629" s="9"/>
      <c r="OA629" s="9"/>
      <c r="OB629" s="9"/>
      <c r="OC629" s="9"/>
      <c r="OD629" s="9"/>
      <c r="OE629" s="9"/>
      <c r="OF629" s="9"/>
      <c r="OG629" s="9"/>
      <c r="OH629" s="9"/>
      <c r="OI629" s="9"/>
      <c r="OJ629" s="9"/>
      <c r="OK629" s="9"/>
      <c r="OL629" s="9"/>
      <c r="OM629" s="9"/>
      <c r="ON629" s="9"/>
      <c r="OO629" s="9"/>
      <c r="OP629" s="9"/>
      <c r="OQ629" s="9"/>
      <c r="OR629" s="9"/>
      <c r="OS629" s="9"/>
      <c r="OT629" s="9"/>
      <c r="OU629" s="9"/>
      <c r="OV629" s="9"/>
      <c r="OW629" s="9"/>
      <c r="OX629" s="9"/>
      <c r="OY629" s="9"/>
      <c r="OZ629" s="9"/>
      <c r="PA629" s="9"/>
      <c r="PB629" s="9"/>
      <c r="PC629" s="9"/>
      <c r="PD629" s="9"/>
      <c r="PE629" s="9"/>
      <c r="PF629" s="9"/>
      <c r="PG629" s="9"/>
      <c r="PH629" s="9"/>
      <c r="PI629" s="9"/>
      <c r="PJ629" s="9"/>
      <c r="PK629" s="9"/>
      <c r="PL629" s="9"/>
      <c r="PM629" s="9"/>
      <c r="PN629" s="9"/>
      <c r="PO629" s="9"/>
      <c r="PP629" s="9"/>
      <c r="PQ629" s="9"/>
      <c r="PR629" s="9"/>
      <c r="PS629" s="9"/>
      <c r="PT629" s="9"/>
      <c r="PU629" s="9"/>
      <c r="PV629" s="9"/>
      <c r="PW629" s="9"/>
      <c r="PX629" s="9"/>
      <c r="PY629" s="9"/>
      <c r="PZ629" s="9"/>
      <c r="QA629" s="9"/>
      <c r="QB629" s="9"/>
      <c r="QC629" s="9"/>
      <c r="QD629" s="9"/>
      <c r="QE629" s="9"/>
      <c r="QF629" s="9"/>
      <c r="QG629" s="9"/>
      <c r="QH629" s="9"/>
      <c r="QI629" s="9"/>
      <c r="QJ629" s="9"/>
      <c r="QK629" s="9"/>
      <c r="QL629" s="9"/>
      <c r="QM629" s="9"/>
      <c r="QN629" s="9"/>
      <c r="QO629" s="9"/>
      <c r="QP629" s="9"/>
      <c r="QQ629" s="9"/>
      <c r="QR629" s="9"/>
      <c r="QS629" s="9"/>
      <c r="QT629" s="9"/>
      <c r="QU629" s="9"/>
      <c r="QV629" s="9"/>
      <c r="QW629" s="9"/>
      <c r="QX629" s="9"/>
      <c r="QY629" s="9"/>
      <c r="QZ629" s="9"/>
      <c r="RA629" s="9"/>
      <c r="RB629" s="9"/>
      <c r="RC629" s="9"/>
      <c r="RD629" s="9"/>
      <c r="RE629" s="9"/>
      <c r="RF629" s="9"/>
      <c r="RG629" s="9"/>
      <c r="RH629" s="9"/>
      <c r="RI629" s="9"/>
      <c r="RJ629" s="9"/>
      <c r="RK629" s="9"/>
      <c r="RL629" s="9"/>
      <c r="RM629" s="9"/>
      <c r="RN629" s="9"/>
      <c r="RO629" s="9"/>
      <c r="RP629" s="9"/>
      <c r="RQ629" s="9"/>
      <c r="RR629" s="9"/>
      <c r="RS629" s="9"/>
      <c r="RT629" s="9"/>
      <c r="RU629" s="9"/>
      <c r="RV629" s="9"/>
      <c r="RW629" s="9"/>
      <c r="RX629" s="9"/>
      <c r="RY629" s="9"/>
      <c r="RZ629" s="9"/>
      <c r="SA629" s="9"/>
      <c r="SB629" s="9"/>
      <c r="SC629" s="9"/>
      <c r="SD629" s="9"/>
      <c r="SE629" s="9"/>
      <c r="SF629" s="9"/>
      <c r="SG629" s="9"/>
      <c r="SH629" s="9"/>
      <c r="SI629" s="9"/>
      <c r="SJ629" s="9"/>
      <c r="SK629" s="9"/>
      <c r="SL629" s="9"/>
      <c r="SM629" s="9"/>
      <c r="SN629" s="9"/>
      <c r="SO629" s="9"/>
      <c r="SP629" s="9"/>
      <c r="SQ629" s="9"/>
      <c r="SR629" s="9"/>
      <c r="SS629" s="9"/>
      <c r="ST629" s="9"/>
      <c r="SU629" s="9"/>
      <c r="SV629" s="9"/>
      <c r="SW629" s="9"/>
      <c r="SX629" s="9"/>
      <c r="SY629" s="9"/>
      <c r="SZ629" s="9"/>
      <c r="TA629" s="9"/>
      <c r="TB629" s="9"/>
      <c r="TC629" s="9"/>
      <c r="TD629" s="9"/>
      <c r="TE629" s="9"/>
      <c r="TF629" s="9"/>
      <c r="TG629" s="9"/>
      <c r="TH629" s="9"/>
      <c r="TI629" s="9"/>
      <c r="TJ629" s="9"/>
      <c r="TK629" s="9"/>
      <c r="TL629" s="9"/>
      <c r="TM629" s="9"/>
      <c r="TN629" s="9"/>
      <c r="TO629" s="9"/>
      <c r="TP629" s="9"/>
      <c r="TQ629" s="9"/>
      <c r="TR629" s="9"/>
      <c r="TS629" s="9"/>
      <c r="TT629" s="9"/>
      <c r="TU629" s="9"/>
      <c r="TV629" s="9"/>
      <c r="TW629" s="9"/>
      <c r="TX629" s="9"/>
      <c r="TY629" s="9"/>
      <c r="TZ629" s="9"/>
      <c r="UA629" s="9"/>
      <c r="UB629" s="9"/>
      <c r="UC629" s="9"/>
      <c r="UD629" s="9"/>
      <c r="UE629" s="9"/>
      <c r="UF629" s="9"/>
      <c r="UG629" s="9"/>
      <c r="UH629" s="9"/>
      <c r="UI629" s="9"/>
      <c r="UJ629" s="9"/>
    </row>
    <row r="630">
      <c r="A630" s="8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  <c r="IC630" s="9"/>
      <c r="ID630" s="9"/>
      <c r="IE630" s="9"/>
      <c r="IF630" s="9"/>
      <c r="IG630" s="9"/>
      <c r="IH630" s="9"/>
      <c r="II630" s="9"/>
      <c r="IJ630" s="9"/>
      <c r="IK630" s="9"/>
      <c r="IL630" s="9"/>
      <c r="IM630" s="9"/>
      <c r="IN630" s="9"/>
      <c r="IO630" s="9"/>
      <c r="IP630" s="9"/>
      <c r="IQ630" s="9"/>
      <c r="IR630" s="9"/>
      <c r="IS630" s="9"/>
      <c r="IT630" s="9"/>
      <c r="IU630" s="9"/>
      <c r="IV630" s="9"/>
      <c r="IW630" s="9"/>
      <c r="IX630" s="9"/>
      <c r="IY630" s="9"/>
      <c r="IZ630" s="9"/>
      <c r="JA630" s="9"/>
      <c r="JB630" s="9"/>
      <c r="JC630" s="9"/>
      <c r="JD630" s="9"/>
      <c r="JE630" s="9"/>
      <c r="JF630" s="9"/>
      <c r="JG630" s="9"/>
      <c r="JH630" s="9"/>
      <c r="JI630" s="9"/>
      <c r="JJ630" s="9"/>
      <c r="JK630" s="9"/>
      <c r="JL630" s="9"/>
      <c r="JM630" s="9"/>
      <c r="JN630" s="9"/>
      <c r="JO630" s="9"/>
      <c r="JP630" s="9"/>
      <c r="JQ630" s="9"/>
      <c r="JR630" s="9"/>
      <c r="JS630" s="9"/>
      <c r="JT630" s="9"/>
      <c r="JU630" s="9"/>
      <c r="JV630" s="9"/>
      <c r="JW630" s="9"/>
      <c r="JX630" s="9"/>
      <c r="JY630" s="9"/>
      <c r="JZ630" s="9"/>
      <c r="KA630" s="9"/>
      <c r="KB630" s="9"/>
      <c r="KC630" s="9"/>
      <c r="KD630" s="9"/>
      <c r="KE630" s="9"/>
      <c r="KF630" s="9"/>
      <c r="KG630" s="9"/>
      <c r="KH630" s="9"/>
      <c r="KI630" s="9"/>
      <c r="KJ630" s="9"/>
      <c r="KK630" s="9"/>
      <c r="KL630" s="9"/>
      <c r="KM630" s="9"/>
      <c r="KN630" s="9"/>
      <c r="KO630" s="9"/>
      <c r="KP630" s="9"/>
      <c r="KQ630" s="9"/>
      <c r="KR630" s="9"/>
      <c r="KS630" s="9"/>
      <c r="KT630" s="9"/>
      <c r="KU630" s="9"/>
      <c r="KV630" s="9"/>
      <c r="KW630" s="9"/>
      <c r="KX630" s="9"/>
      <c r="KY630" s="9"/>
      <c r="KZ630" s="9"/>
      <c r="LA630" s="9"/>
      <c r="LB630" s="9"/>
      <c r="LC630" s="9"/>
      <c r="LD630" s="9"/>
      <c r="LE630" s="9"/>
      <c r="LF630" s="9"/>
      <c r="LG630" s="9"/>
      <c r="LH630" s="9"/>
      <c r="LI630" s="9"/>
      <c r="LJ630" s="9"/>
      <c r="LK630" s="9"/>
      <c r="LL630" s="9"/>
      <c r="LM630" s="9"/>
      <c r="LN630" s="9"/>
      <c r="LO630" s="9"/>
      <c r="LP630" s="9"/>
      <c r="LQ630" s="9"/>
      <c r="LR630" s="9"/>
      <c r="LS630" s="9"/>
      <c r="LT630" s="9"/>
      <c r="LU630" s="9"/>
      <c r="LV630" s="9"/>
      <c r="LW630" s="9"/>
      <c r="LX630" s="9"/>
      <c r="LY630" s="9"/>
      <c r="LZ630" s="9"/>
      <c r="MA630" s="9"/>
      <c r="MB630" s="9"/>
      <c r="MC630" s="9"/>
      <c r="MD630" s="9"/>
      <c r="ME630" s="9"/>
      <c r="MF630" s="9"/>
      <c r="MG630" s="9"/>
      <c r="MH630" s="9"/>
      <c r="MI630" s="9"/>
      <c r="MJ630" s="9"/>
      <c r="MK630" s="9"/>
      <c r="ML630" s="9"/>
      <c r="MM630" s="9"/>
      <c r="MN630" s="9"/>
      <c r="MO630" s="9"/>
      <c r="MP630" s="9"/>
      <c r="MQ630" s="9"/>
      <c r="MR630" s="9"/>
      <c r="MS630" s="9"/>
      <c r="MT630" s="9"/>
      <c r="MU630" s="9"/>
      <c r="MV630" s="9"/>
      <c r="MW630" s="9"/>
      <c r="MX630" s="9"/>
      <c r="MY630" s="9"/>
      <c r="MZ630" s="9"/>
      <c r="NA630" s="9"/>
      <c r="NB630" s="9"/>
      <c r="NC630" s="9"/>
      <c r="ND630" s="9"/>
      <c r="NE630" s="9"/>
      <c r="NF630" s="9"/>
      <c r="NG630" s="9"/>
      <c r="NH630" s="9"/>
      <c r="NI630" s="9"/>
      <c r="NJ630" s="9"/>
      <c r="NK630" s="9"/>
      <c r="NL630" s="9"/>
      <c r="NM630" s="9"/>
      <c r="NN630" s="9"/>
      <c r="NO630" s="9"/>
      <c r="NP630" s="9"/>
      <c r="NQ630" s="9"/>
      <c r="NR630" s="9"/>
      <c r="NS630" s="9"/>
      <c r="NT630" s="9"/>
      <c r="NU630" s="9"/>
      <c r="NV630" s="9"/>
      <c r="NW630" s="9"/>
      <c r="NX630" s="9"/>
      <c r="NY630" s="9"/>
      <c r="NZ630" s="9"/>
      <c r="OA630" s="9"/>
      <c r="OB630" s="9"/>
      <c r="OC630" s="9"/>
      <c r="OD630" s="9"/>
      <c r="OE630" s="9"/>
      <c r="OF630" s="9"/>
      <c r="OG630" s="9"/>
      <c r="OH630" s="9"/>
      <c r="OI630" s="9"/>
      <c r="OJ630" s="9"/>
      <c r="OK630" s="9"/>
      <c r="OL630" s="9"/>
      <c r="OM630" s="9"/>
      <c r="ON630" s="9"/>
      <c r="OO630" s="9"/>
      <c r="OP630" s="9"/>
      <c r="OQ630" s="9"/>
      <c r="OR630" s="9"/>
      <c r="OS630" s="9"/>
      <c r="OT630" s="9"/>
      <c r="OU630" s="9"/>
      <c r="OV630" s="9"/>
      <c r="OW630" s="9"/>
      <c r="OX630" s="9"/>
      <c r="OY630" s="9"/>
      <c r="OZ630" s="9"/>
      <c r="PA630" s="9"/>
      <c r="PB630" s="9"/>
      <c r="PC630" s="9"/>
      <c r="PD630" s="9"/>
      <c r="PE630" s="9"/>
      <c r="PF630" s="9"/>
      <c r="PG630" s="9"/>
      <c r="PH630" s="9"/>
      <c r="PI630" s="9"/>
      <c r="PJ630" s="9"/>
      <c r="PK630" s="9"/>
      <c r="PL630" s="9"/>
      <c r="PM630" s="9"/>
      <c r="PN630" s="9"/>
      <c r="PO630" s="9"/>
      <c r="PP630" s="9"/>
      <c r="PQ630" s="9"/>
      <c r="PR630" s="9"/>
      <c r="PS630" s="9"/>
      <c r="PT630" s="9"/>
      <c r="PU630" s="9"/>
      <c r="PV630" s="9"/>
      <c r="PW630" s="9"/>
      <c r="PX630" s="9"/>
      <c r="PY630" s="9"/>
      <c r="PZ630" s="9"/>
      <c r="QA630" s="9"/>
      <c r="QB630" s="9"/>
      <c r="QC630" s="9"/>
      <c r="QD630" s="9"/>
      <c r="QE630" s="9"/>
      <c r="QF630" s="9"/>
      <c r="QG630" s="9"/>
      <c r="QH630" s="9"/>
      <c r="QI630" s="9"/>
      <c r="QJ630" s="9"/>
      <c r="QK630" s="9"/>
      <c r="QL630" s="9"/>
      <c r="QM630" s="9"/>
      <c r="QN630" s="9"/>
      <c r="QO630" s="9"/>
      <c r="QP630" s="9"/>
      <c r="QQ630" s="9"/>
      <c r="QR630" s="9"/>
      <c r="QS630" s="9"/>
      <c r="QT630" s="9"/>
      <c r="QU630" s="9"/>
      <c r="QV630" s="9"/>
      <c r="QW630" s="9"/>
      <c r="QX630" s="9"/>
      <c r="QY630" s="9"/>
      <c r="QZ630" s="9"/>
      <c r="RA630" s="9"/>
      <c r="RB630" s="9"/>
      <c r="RC630" s="9"/>
      <c r="RD630" s="9"/>
      <c r="RE630" s="9"/>
      <c r="RF630" s="9"/>
      <c r="RG630" s="9"/>
      <c r="RH630" s="9"/>
      <c r="RI630" s="9"/>
      <c r="RJ630" s="9"/>
      <c r="RK630" s="9"/>
      <c r="RL630" s="9"/>
      <c r="RM630" s="9"/>
      <c r="RN630" s="9"/>
      <c r="RO630" s="9"/>
      <c r="RP630" s="9"/>
      <c r="RQ630" s="9"/>
      <c r="RR630" s="9"/>
      <c r="RS630" s="9"/>
      <c r="RT630" s="9"/>
      <c r="RU630" s="9"/>
      <c r="RV630" s="9"/>
      <c r="RW630" s="9"/>
      <c r="RX630" s="9"/>
      <c r="RY630" s="9"/>
      <c r="RZ630" s="9"/>
      <c r="SA630" s="9"/>
      <c r="SB630" s="9"/>
      <c r="SC630" s="9"/>
      <c r="SD630" s="9"/>
      <c r="SE630" s="9"/>
      <c r="SF630" s="9"/>
      <c r="SG630" s="9"/>
      <c r="SH630" s="9"/>
      <c r="SI630" s="9"/>
      <c r="SJ630" s="9"/>
      <c r="SK630" s="9"/>
      <c r="SL630" s="9"/>
      <c r="SM630" s="9"/>
      <c r="SN630" s="9"/>
      <c r="SO630" s="9"/>
      <c r="SP630" s="9"/>
      <c r="SQ630" s="9"/>
      <c r="SR630" s="9"/>
      <c r="SS630" s="9"/>
      <c r="ST630" s="9"/>
      <c r="SU630" s="9"/>
      <c r="SV630" s="9"/>
      <c r="SW630" s="9"/>
      <c r="SX630" s="9"/>
      <c r="SY630" s="9"/>
      <c r="SZ630" s="9"/>
      <c r="TA630" s="9"/>
      <c r="TB630" s="9"/>
      <c r="TC630" s="9"/>
      <c r="TD630" s="9"/>
      <c r="TE630" s="9"/>
      <c r="TF630" s="9"/>
      <c r="TG630" s="9"/>
      <c r="TH630" s="9"/>
      <c r="TI630" s="9"/>
      <c r="TJ630" s="9"/>
      <c r="TK630" s="9"/>
      <c r="TL630" s="9"/>
      <c r="TM630" s="9"/>
      <c r="TN630" s="9"/>
      <c r="TO630" s="9"/>
      <c r="TP630" s="9"/>
      <c r="TQ630" s="9"/>
      <c r="TR630" s="9"/>
      <c r="TS630" s="9"/>
      <c r="TT630" s="9"/>
      <c r="TU630" s="9"/>
      <c r="TV630" s="9"/>
      <c r="TW630" s="9"/>
      <c r="TX630" s="9"/>
      <c r="TY630" s="9"/>
      <c r="TZ630" s="9"/>
      <c r="UA630" s="9"/>
      <c r="UB630" s="9"/>
      <c r="UC630" s="9"/>
      <c r="UD630" s="9"/>
      <c r="UE630" s="9"/>
      <c r="UF630" s="9"/>
      <c r="UG630" s="9"/>
      <c r="UH630" s="9"/>
      <c r="UI630" s="9"/>
      <c r="UJ630" s="9"/>
    </row>
    <row r="631">
      <c r="A631" s="8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  <c r="IC631" s="9"/>
      <c r="ID631" s="9"/>
      <c r="IE631" s="9"/>
      <c r="IF631" s="9"/>
      <c r="IG631" s="9"/>
      <c r="IH631" s="9"/>
      <c r="II631" s="9"/>
      <c r="IJ631" s="9"/>
      <c r="IK631" s="9"/>
      <c r="IL631" s="9"/>
      <c r="IM631" s="9"/>
      <c r="IN631" s="9"/>
      <c r="IO631" s="9"/>
      <c r="IP631" s="9"/>
      <c r="IQ631" s="9"/>
      <c r="IR631" s="9"/>
      <c r="IS631" s="9"/>
      <c r="IT631" s="9"/>
      <c r="IU631" s="9"/>
      <c r="IV631" s="9"/>
      <c r="IW631" s="9"/>
      <c r="IX631" s="9"/>
      <c r="IY631" s="9"/>
      <c r="IZ631" s="9"/>
      <c r="JA631" s="9"/>
      <c r="JB631" s="9"/>
      <c r="JC631" s="9"/>
      <c r="JD631" s="9"/>
      <c r="JE631" s="9"/>
      <c r="JF631" s="9"/>
      <c r="JG631" s="9"/>
      <c r="JH631" s="9"/>
      <c r="JI631" s="9"/>
      <c r="JJ631" s="9"/>
      <c r="JK631" s="9"/>
      <c r="JL631" s="9"/>
      <c r="JM631" s="9"/>
      <c r="JN631" s="9"/>
      <c r="JO631" s="9"/>
      <c r="JP631" s="9"/>
      <c r="JQ631" s="9"/>
      <c r="JR631" s="9"/>
      <c r="JS631" s="9"/>
      <c r="JT631" s="9"/>
      <c r="JU631" s="9"/>
      <c r="JV631" s="9"/>
      <c r="JW631" s="9"/>
      <c r="JX631" s="9"/>
      <c r="JY631" s="9"/>
      <c r="JZ631" s="9"/>
      <c r="KA631" s="9"/>
      <c r="KB631" s="9"/>
      <c r="KC631" s="9"/>
      <c r="KD631" s="9"/>
      <c r="KE631" s="9"/>
      <c r="KF631" s="9"/>
      <c r="KG631" s="9"/>
      <c r="KH631" s="9"/>
      <c r="KI631" s="9"/>
      <c r="KJ631" s="9"/>
      <c r="KK631" s="9"/>
      <c r="KL631" s="9"/>
      <c r="KM631" s="9"/>
      <c r="KN631" s="9"/>
      <c r="KO631" s="9"/>
      <c r="KP631" s="9"/>
      <c r="KQ631" s="9"/>
      <c r="KR631" s="9"/>
      <c r="KS631" s="9"/>
      <c r="KT631" s="9"/>
      <c r="KU631" s="9"/>
      <c r="KV631" s="9"/>
      <c r="KW631" s="9"/>
      <c r="KX631" s="9"/>
      <c r="KY631" s="9"/>
      <c r="KZ631" s="9"/>
      <c r="LA631" s="9"/>
      <c r="LB631" s="9"/>
      <c r="LC631" s="9"/>
      <c r="LD631" s="9"/>
      <c r="LE631" s="9"/>
      <c r="LF631" s="9"/>
      <c r="LG631" s="9"/>
      <c r="LH631" s="9"/>
      <c r="LI631" s="9"/>
      <c r="LJ631" s="9"/>
      <c r="LK631" s="9"/>
      <c r="LL631" s="9"/>
      <c r="LM631" s="9"/>
      <c r="LN631" s="9"/>
      <c r="LO631" s="9"/>
      <c r="LP631" s="9"/>
      <c r="LQ631" s="9"/>
      <c r="LR631" s="9"/>
      <c r="LS631" s="9"/>
      <c r="LT631" s="9"/>
      <c r="LU631" s="9"/>
      <c r="LV631" s="9"/>
      <c r="LW631" s="9"/>
      <c r="LX631" s="9"/>
      <c r="LY631" s="9"/>
      <c r="LZ631" s="9"/>
      <c r="MA631" s="9"/>
      <c r="MB631" s="9"/>
      <c r="MC631" s="9"/>
      <c r="MD631" s="9"/>
      <c r="ME631" s="9"/>
      <c r="MF631" s="9"/>
      <c r="MG631" s="9"/>
      <c r="MH631" s="9"/>
      <c r="MI631" s="9"/>
      <c r="MJ631" s="9"/>
      <c r="MK631" s="9"/>
      <c r="ML631" s="9"/>
      <c r="MM631" s="9"/>
      <c r="MN631" s="9"/>
      <c r="MO631" s="9"/>
      <c r="MP631" s="9"/>
      <c r="MQ631" s="9"/>
      <c r="MR631" s="9"/>
      <c r="MS631" s="9"/>
      <c r="MT631" s="9"/>
      <c r="MU631" s="9"/>
      <c r="MV631" s="9"/>
      <c r="MW631" s="9"/>
      <c r="MX631" s="9"/>
      <c r="MY631" s="9"/>
      <c r="MZ631" s="9"/>
      <c r="NA631" s="9"/>
      <c r="NB631" s="9"/>
      <c r="NC631" s="9"/>
      <c r="ND631" s="9"/>
      <c r="NE631" s="9"/>
      <c r="NF631" s="9"/>
      <c r="NG631" s="9"/>
      <c r="NH631" s="9"/>
      <c r="NI631" s="9"/>
      <c r="NJ631" s="9"/>
      <c r="NK631" s="9"/>
      <c r="NL631" s="9"/>
      <c r="NM631" s="9"/>
      <c r="NN631" s="9"/>
      <c r="NO631" s="9"/>
      <c r="NP631" s="9"/>
      <c r="NQ631" s="9"/>
      <c r="NR631" s="9"/>
      <c r="NS631" s="9"/>
      <c r="NT631" s="9"/>
      <c r="NU631" s="9"/>
      <c r="NV631" s="9"/>
      <c r="NW631" s="9"/>
      <c r="NX631" s="9"/>
      <c r="NY631" s="9"/>
      <c r="NZ631" s="9"/>
      <c r="OA631" s="9"/>
      <c r="OB631" s="9"/>
      <c r="OC631" s="9"/>
      <c r="OD631" s="9"/>
      <c r="OE631" s="9"/>
      <c r="OF631" s="9"/>
      <c r="OG631" s="9"/>
      <c r="OH631" s="9"/>
      <c r="OI631" s="9"/>
      <c r="OJ631" s="9"/>
      <c r="OK631" s="9"/>
      <c r="OL631" s="9"/>
      <c r="OM631" s="9"/>
      <c r="ON631" s="9"/>
      <c r="OO631" s="9"/>
      <c r="OP631" s="9"/>
      <c r="OQ631" s="9"/>
      <c r="OR631" s="9"/>
      <c r="OS631" s="9"/>
      <c r="OT631" s="9"/>
      <c r="OU631" s="9"/>
      <c r="OV631" s="9"/>
      <c r="OW631" s="9"/>
      <c r="OX631" s="9"/>
      <c r="OY631" s="9"/>
      <c r="OZ631" s="9"/>
      <c r="PA631" s="9"/>
      <c r="PB631" s="9"/>
      <c r="PC631" s="9"/>
      <c r="PD631" s="9"/>
      <c r="PE631" s="9"/>
      <c r="PF631" s="9"/>
      <c r="PG631" s="9"/>
      <c r="PH631" s="9"/>
      <c r="PI631" s="9"/>
      <c r="PJ631" s="9"/>
      <c r="PK631" s="9"/>
      <c r="PL631" s="9"/>
      <c r="PM631" s="9"/>
      <c r="PN631" s="9"/>
      <c r="PO631" s="9"/>
      <c r="PP631" s="9"/>
      <c r="PQ631" s="9"/>
      <c r="PR631" s="9"/>
      <c r="PS631" s="9"/>
      <c r="PT631" s="9"/>
      <c r="PU631" s="9"/>
      <c r="PV631" s="9"/>
      <c r="PW631" s="9"/>
      <c r="PX631" s="9"/>
      <c r="PY631" s="9"/>
      <c r="PZ631" s="9"/>
      <c r="QA631" s="9"/>
      <c r="QB631" s="9"/>
      <c r="QC631" s="9"/>
      <c r="QD631" s="9"/>
      <c r="QE631" s="9"/>
      <c r="QF631" s="9"/>
      <c r="QG631" s="9"/>
      <c r="QH631" s="9"/>
      <c r="QI631" s="9"/>
      <c r="QJ631" s="9"/>
      <c r="QK631" s="9"/>
      <c r="QL631" s="9"/>
      <c r="QM631" s="9"/>
      <c r="QN631" s="9"/>
      <c r="QO631" s="9"/>
      <c r="QP631" s="9"/>
      <c r="QQ631" s="9"/>
      <c r="QR631" s="9"/>
      <c r="QS631" s="9"/>
      <c r="QT631" s="9"/>
      <c r="QU631" s="9"/>
      <c r="QV631" s="9"/>
      <c r="QW631" s="9"/>
      <c r="QX631" s="9"/>
      <c r="QY631" s="9"/>
      <c r="QZ631" s="9"/>
      <c r="RA631" s="9"/>
      <c r="RB631" s="9"/>
      <c r="RC631" s="9"/>
      <c r="RD631" s="9"/>
      <c r="RE631" s="9"/>
      <c r="RF631" s="9"/>
      <c r="RG631" s="9"/>
      <c r="RH631" s="9"/>
      <c r="RI631" s="9"/>
      <c r="RJ631" s="9"/>
      <c r="RK631" s="9"/>
      <c r="RL631" s="9"/>
      <c r="RM631" s="9"/>
      <c r="RN631" s="9"/>
      <c r="RO631" s="9"/>
      <c r="RP631" s="9"/>
      <c r="RQ631" s="9"/>
      <c r="RR631" s="9"/>
      <c r="RS631" s="9"/>
      <c r="RT631" s="9"/>
      <c r="RU631" s="9"/>
      <c r="RV631" s="9"/>
      <c r="RW631" s="9"/>
      <c r="RX631" s="9"/>
      <c r="RY631" s="9"/>
      <c r="RZ631" s="9"/>
      <c r="SA631" s="9"/>
      <c r="SB631" s="9"/>
      <c r="SC631" s="9"/>
      <c r="SD631" s="9"/>
      <c r="SE631" s="9"/>
      <c r="SF631" s="9"/>
      <c r="SG631" s="9"/>
      <c r="SH631" s="9"/>
      <c r="SI631" s="9"/>
      <c r="SJ631" s="9"/>
      <c r="SK631" s="9"/>
      <c r="SL631" s="9"/>
      <c r="SM631" s="9"/>
      <c r="SN631" s="9"/>
      <c r="SO631" s="9"/>
      <c r="SP631" s="9"/>
      <c r="SQ631" s="9"/>
      <c r="SR631" s="9"/>
      <c r="SS631" s="9"/>
      <c r="ST631" s="9"/>
      <c r="SU631" s="9"/>
      <c r="SV631" s="9"/>
      <c r="SW631" s="9"/>
      <c r="SX631" s="9"/>
      <c r="SY631" s="9"/>
      <c r="SZ631" s="9"/>
      <c r="TA631" s="9"/>
      <c r="TB631" s="9"/>
      <c r="TC631" s="9"/>
      <c r="TD631" s="9"/>
      <c r="TE631" s="9"/>
      <c r="TF631" s="9"/>
      <c r="TG631" s="9"/>
      <c r="TH631" s="9"/>
      <c r="TI631" s="9"/>
      <c r="TJ631" s="9"/>
      <c r="TK631" s="9"/>
      <c r="TL631" s="9"/>
      <c r="TM631" s="9"/>
      <c r="TN631" s="9"/>
      <c r="TO631" s="9"/>
      <c r="TP631" s="9"/>
      <c r="TQ631" s="9"/>
      <c r="TR631" s="9"/>
      <c r="TS631" s="9"/>
      <c r="TT631" s="9"/>
      <c r="TU631" s="9"/>
      <c r="TV631" s="9"/>
      <c r="TW631" s="9"/>
      <c r="TX631" s="9"/>
      <c r="TY631" s="9"/>
      <c r="TZ631" s="9"/>
      <c r="UA631" s="9"/>
      <c r="UB631" s="9"/>
      <c r="UC631" s="9"/>
      <c r="UD631" s="9"/>
      <c r="UE631" s="9"/>
      <c r="UF631" s="9"/>
      <c r="UG631" s="9"/>
      <c r="UH631" s="9"/>
      <c r="UI631" s="9"/>
      <c r="UJ631" s="9"/>
    </row>
    <row r="632">
      <c r="A632" s="8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  <c r="HZ632" s="9"/>
      <c r="IA632" s="9"/>
      <c r="IB632" s="9"/>
      <c r="IC632" s="9"/>
      <c r="ID632" s="9"/>
      <c r="IE632" s="9"/>
      <c r="IF632" s="9"/>
      <c r="IG632" s="9"/>
      <c r="IH632" s="9"/>
      <c r="II632" s="9"/>
      <c r="IJ632" s="9"/>
      <c r="IK632" s="9"/>
      <c r="IL632" s="9"/>
      <c r="IM632" s="9"/>
      <c r="IN632" s="9"/>
      <c r="IO632" s="9"/>
      <c r="IP632" s="9"/>
      <c r="IQ632" s="9"/>
      <c r="IR632" s="9"/>
      <c r="IS632" s="9"/>
      <c r="IT632" s="9"/>
      <c r="IU632" s="9"/>
      <c r="IV632" s="9"/>
      <c r="IW632" s="9"/>
      <c r="IX632" s="9"/>
      <c r="IY632" s="9"/>
      <c r="IZ632" s="9"/>
      <c r="JA632" s="9"/>
      <c r="JB632" s="9"/>
      <c r="JC632" s="9"/>
      <c r="JD632" s="9"/>
      <c r="JE632" s="9"/>
      <c r="JF632" s="9"/>
      <c r="JG632" s="9"/>
      <c r="JH632" s="9"/>
      <c r="JI632" s="9"/>
      <c r="JJ632" s="9"/>
      <c r="JK632" s="9"/>
      <c r="JL632" s="9"/>
      <c r="JM632" s="9"/>
      <c r="JN632" s="9"/>
      <c r="JO632" s="9"/>
      <c r="JP632" s="9"/>
      <c r="JQ632" s="9"/>
      <c r="JR632" s="9"/>
      <c r="JS632" s="9"/>
      <c r="JT632" s="9"/>
      <c r="JU632" s="9"/>
      <c r="JV632" s="9"/>
      <c r="JW632" s="9"/>
      <c r="JX632" s="9"/>
      <c r="JY632" s="9"/>
      <c r="JZ632" s="9"/>
      <c r="KA632" s="9"/>
      <c r="KB632" s="9"/>
      <c r="KC632" s="9"/>
      <c r="KD632" s="9"/>
      <c r="KE632" s="9"/>
      <c r="KF632" s="9"/>
      <c r="KG632" s="9"/>
      <c r="KH632" s="9"/>
      <c r="KI632" s="9"/>
      <c r="KJ632" s="9"/>
      <c r="KK632" s="9"/>
      <c r="KL632" s="9"/>
      <c r="KM632" s="9"/>
      <c r="KN632" s="9"/>
      <c r="KO632" s="9"/>
      <c r="KP632" s="9"/>
      <c r="KQ632" s="9"/>
      <c r="KR632" s="9"/>
      <c r="KS632" s="9"/>
      <c r="KT632" s="9"/>
      <c r="KU632" s="9"/>
      <c r="KV632" s="9"/>
      <c r="KW632" s="9"/>
      <c r="KX632" s="9"/>
      <c r="KY632" s="9"/>
      <c r="KZ632" s="9"/>
      <c r="LA632" s="9"/>
      <c r="LB632" s="9"/>
      <c r="LC632" s="9"/>
      <c r="LD632" s="9"/>
      <c r="LE632" s="9"/>
      <c r="LF632" s="9"/>
      <c r="LG632" s="9"/>
      <c r="LH632" s="9"/>
      <c r="LI632" s="9"/>
      <c r="LJ632" s="9"/>
      <c r="LK632" s="9"/>
      <c r="LL632" s="9"/>
      <c r="LM632" s="9"/>
      <c r="LN632" s="9"/>
      <c r="LO632" s="9"/>
      <c r="LP632" s="9"/>
      <c r="LQ632" s="9"/>
      <c r="LR632" s="9"/>
      <c r="LS632" s="9"/>
      <c r="LT632" s="9"/>
      <c r="LU632" s="9"/>
      <c r="LV632" s="9"/>
      <c r="LW632" s="9"/>
      <c r="LX632" s="9"/>
      <c r="LY632" s="9"/>
      <c r="LZ632" s="9"/>
      <c r="MA632" s="9"/>
      <c r="MB632" s="9"/>
      <c r="MC632" s="9"/>
      <c r="MD632" s="9"/>
      <c r="ME632" s="9"/>
      <c r="MF632" s="9"/>
      <c r="MG632" s="9"/>
      <c r="MH632" s="9"/>
      <c r="MI632" s="9"/>
      <c r="MJ632" s="9"/>
      <c r="MK632" s="9"/>
      <c r="ML632" s="9"/>
      <c r="MM632" s="9"/>
      <c r="MN632" s="9"/>
      <c r="MO632" s="9"/>
      <c r="MP632" s="9"/>
      <c r="MQ632" s="9"/>
      <c r="MR632" s="9"/>
      <c r="MS632" s="9"/>
      <c r="MT632" s="9"/>
      <c r="MU632" s="9"/>
      <c r="MV632" s="9"/>
      <c r="MW632" s="9"/>
      <c r="MX632" s="9"/>
      <c r="MY632" s="9"/>
      <c r="MZ632" s="9"/>
      <c r="NA632" s="9"/>
      <c r="NB632" s="9"/>
      <c r="NC632" s="9"/>
      <c r="ND632" s="9"/>
      <c r="NE632" s="9"/>
      <c r="NF632" s="9"/>
      <c r="NG632" s="9"/>
      <c r="NH632" s="9"/>
      <c r="NI632" s="9"/>
      <c r="NJ632" s="9"/>
      <c r="NK632" s="9"/>
      <c r="NL632" s="9"/>
      <c r="NM632" s="9"/>
      <c r="NN632" s="9"/>
      <c r="NO632" s="9"/>
      <c r="NP632" s="9"/>
      <c r="NQ632" s="9"/>
      <c r="NR632" s="9"/>
      <c r="NS632" s="9"/>
      <c r="NT632" s="9"/>
      <c r="NU632" s="9"/>
      <c r="NV632" s="9"/>
      <c r="NW632" s="9"/>
      <c r="NX632" s="9"/>
      <c r="NY632" s="9"/>
      <c r="NZ632" s="9"/>
      <c r="OA632" s="9"/>
      <c r="OB632" s="9"/>
      <c r="OC632" s="9"/>
      <c r="OD632" s="9"/>
      <c r="OE632" s="9"/>
      <c r="OF632" s="9"/>
      <c r="OG632" s="9"/>
      <c r="OH632" s="9"/>
      <c r="OI632" s="9"/>
      <c r="OJ632" s="9"/>
      <c r="OK632" s="9"/>
      <c r="OL632" s="9"/>
      <c r="OM632" s="9"/>
      <c r="ON632" s="9"/>
      <c r="OO632" s="9"/>
      <c r="OP632" s="9"/>
      <c r="OQ632" s="9"/>
      <c r="OR632" s="9"/>
      <c r="OS632" s="9"/>
      <c r="OT632" s="9"/>
      <c r="OU632" s="9"/>
      <c r="OV632" s="9"/>
      <c r="OW632" s="9"/>
      <c r="OX632" s="9"/>
      <c r="OY632" s="9"/>
      <c r="OZ632" s="9"/>
      <c r="PA632" s="9"/>
      <c r="PB632" s="9"/>
      <c r="PC632" s="9"/>
      <c r="PD632" s="9"/>
      <c r="PE632" s="9"/>
      <c r="PF632" s="9"/>
      <c r="PG632" s="9"/>
      <c r="PH632" s="9"/>
      <c r="PI632" s="9"/>
      <c r="PJ632" s="9"/>
      <c r="PK632" s="9"/>
      <c r="PL632" s="9"/>
      <c r="PM632" s="9"/>
      <c r="PN632" s="9"/>
      <c r="PO632" s="9"/>
      <c r="PP632" s="9"/>
      <c r="PQ632" s="9"/>
      <c r="PR632" s="9"/>
      <c r="PS632" s="9"/>
      <c r="PT632" s="9"/>
      <c r="PU632" s="9"/>
      <c r="PV632" s="9"/>
      <c r="PW632" s="9"/>
      <c r="PX632" s="9"/>
      <c r="PY632" s="9"/>
      <c r="PZ632" s="9"/>
      <c r="QA632" s="9"/>
      <c r="QB632" s="9"/>
      <c r="QC632" s="9"/>
      <c r="QD632" s="9"/>
      <c r="QE632" s="9"/>
      <c r="QF632" s="9"/>
      <c r="QG632" s="9"/>
      <c r="QH632" s="9"/>
      <c r="QI632" s="9"/>
      <c r="QJ632" s="9"/>
      <c r="QK632" s="9"/>
      <c r="QL632" s="9"/>
      <c r="QM632" s="9"/>
      <c r="QN632" s="9"/>
      <c r="QO632" s="9"/>
      <c r="QP632" s="9"/>
      <c r="QQ632" s="9"/>
      <c r="QR632" s="9"/>
      <c r="QS632" s="9"/>
      <c r="QT632" s="9"/>
      <c r="QU632" s="9"/>
      <c r="QV632" s="9"/>
      <c r="QW632" s="9"/>
      <c r="QX632" s="9"/>
      <c r="QY632" s="9"/>
      <c r="QZ632" s="9"/>
      <c r="RA632" s="9"/>
      <c r="RB632" s="9"/>
      <c r="RC632" s="9"/>
      <c r="RD632" s="9"/>
      <c r="RE632" s="9"/>
      <c r="RF632" s="9"/>
      <c r="RG632" s="9"/>
      <c r="RH632" s="9"/>
      <c r="RI632" s="9"/>
      <c r="RJ632" s="9"/>
      <c r="RK632" s="9"/>
      <c r="RL632" s="9"/>
      <c r="RM632" s="9"/>
      <c r="RN632" s="9"/>
      <c r="RO632" s="9"/>
      <c r="RP632" s="9"/>
      <c r="RQ632" s="9"/>
      <c r="RR632" s="9"/>
      <c r="RS632" s="9"/>
      <c r="RT632" s="9"/>
      <c r="RU632" s="9"/>
      <c r="RV632" s="9"/>
      <c r="RW632" s="9"/>
      <c r="RX632" s="9"/>
      <c r="RY632" s="9"/>
      <c r="RZ632" s="9"/>
      <c r="SA632" s="9"/>
      <c r="SB632" s="9"/>
      <c r="SC632" s="9"/>
      <c r="SD632" s="9"/>
      <c r="SE632" s="9"/>
      <c r="SF632" s="9"/>
      <c r="SG632" s="9"/>
      <c r="SH632" s="9"/>
      <c r="SI632" s="9"/>
      <c r="SJ632" s="9"/>
      <c r="SK632" s="9"/>
      <c r="SL632" s="9"/>
      <c r="SM632" s="9"/>
      <c r="SN632" s="9"/>
      <c r="SO632" s="9"/>
      <c r="SP632" s="9"/>
      <c r="SQ632" s="9"/>
      <c r="SR632" s="9"/>
      <c r="SS632" s="9"/>
      <c r="ST632" s="9"/>
      <c r="SU632" s="9"/>
      <c r="SV632" s="9"/>
      <c r="SW632" s="9"/>
      <c r="SX632" s="9"/>
      <c r="SY632" s="9"/>
      <c r="SZ632" s="9"/>
      <c r="TA632" s="9"/>
      <c r="TB632" s="9"/>
      <c r="TC632" s="9"/>
      <c r="TD632" s="9"/>
      <c r="TE632" s="9"/>
      <c r="TF632" s="9"/>
      <c r="TG632" s="9"/>
      <c r="TH632" s="9"/>
      <c r="TI632" s="9"/>
      <c r="TJ632" s="9"/>
      <c r="TK632" s="9"/>
      <c r="TL632" s="9"/>
      <c r="TM632" s="9"/>
      <c r="TN632" s="9"/>
      <c r="TO632" s="9"/>
      <c r="TP632" s="9"/>
      <c r="TQ632" s="9"/>
      <c r="TR632" s="9"/>
      <c r="TS632" s="9"/>
      <c r="TT632" s="9"/>
      <c r="TU632" s="9"/>
      <c r="TV632" s="9"/>
      <c r="TW632" s="9"/>
      <c r="TX632" s="9"/>
      <c r="TY632" s="9"/>
      <c r="TZ632" s="9"/>
      <c r="UA632" s="9"/>
      <c r="UB632" s="9"/>
      <c r="UC632" s="9"/>
      <c r="UD632" s="9"/>
      <c r="UE632" s="9"/>
      <c r="UF632" s="9"/>
      <c r="UG632" s="9"/>
      <c r="UH632" s="9"/>
      <c r="UI632" s="9"/>
      <c r="UJ632" s="9"/>
    </row>
    <row r="633">
      <c r="A633" s="8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  <c r="IC633" s="9"/>
      <c r="ID633" s="9"/>
      <c r="IE633" s="9"/>
      <c r="IF633" s="9"/>
      <c r="IG633" s="9"/>
      <c r="IH633" s="9"/>
      <c r="II633" s="9"/>
      <c r="IJ633" s="9"/>
      <c r="IK633" s="9"/>
      <c r="IL633" s="9"/>
      <c r="IM633" s="9"/>
      <c r="IN633" s="9"/>
      <c r="IO633" s="9"/>
      <c r="IP633" s="9"/>
      <c r="IQ633" s="9"/>
      <c r="IR633" s="9"/>
      <c r="IS633" s="9"/>
      <c r="IT633" s="9"/>
      <c r="IU633" s="9"/>
      <c r="IV633" s="9"/>
      <c r="IW633" s="9"/>
      <c r="IX633" s="9"/>
      <c r="IY633" s="9"/>
      <c r="IZ633" s="9"/>
      <c r="JA633" s="9"/>
      <c r="JB633" s="9"/>
      <c r="JC633" s="9"/>
      <c r="JD633" s="9"/>
      <c r="JE633" s="9"/>
      <c r="JF633" s="9"/>
      <c r="JG633" s="9"/>
      <c r="JH633" s="9"/>
      <c r="JI633" s="9"/>
      <c r="JJ633" s="9"/>
      <c r="JK633" s="9"/>
      <c r="JL633" s="9"/>
      <c r="JM633" s="9"/>
      <c r="JN633" s="9"/>
      <c r="JO633" s="9"/>
      <c r="JP633" s="9"/>
      <c r="JQ633" s="9"/>
      <c r="JR633" s="9"/>
      <c r="JS633" s="9"/>
      <c r="JT633" s="9"/>
      <c r="JU633" s="9"/>
      <c r="JV633" s="9"/>
      <c r="JW633" s="9"/>
      <c r="JX633" s="9"/>
      <c r="JY633" s="9"/>
      <c r="JZ633" s="9"/>
      <c r="KA633" s="9"/>
      <c r="KB633" s="9"/>
      <c r="KC633" s="9"/>
      <c r="KD633" s="9"/>
      <c r="KE633" s="9"/>
      <c r="KF633" s="9"/>
      <c r="KG633" s="9"/>
      <c r="KH633" s="9"/>
      <c r="KI633" s="9"/>
      <c r="KJ633" s="9"/>
      <c r="KK633" s="9"/>
      <c r="KL633" s="9"/>
      <c r="KM633" s="9"/>
      <c r="KN633" s="9"/>
      <c r="KO633" s="9"/>
      <c r="KP633" s="9"/>
      <c r="KQ633" s="9"/>
      <c r="KR633" s="9"/>
      <c r="KS633" s="9"/>
      <c r="KT633" s="9"/>
      <c r="KU633" s="9"/>
      <c r="KV633" s="9"/>
      <c r="KW633" s="9"/>
      <c r="KX633" s="9"/>
      <c r="KY633" s="9"/>
      <c r="KZ633" s="9"/>
      <c r="LA633" s="9"/>
      <c r="LB633" s="9"/>
      <c r="LC633" s="9"/>
      <c r="LD633" s="9"/>
      <c r="LE633" s="9"/>
      <c r="LF633" s="9"/>
      <c r="LG633" s="9"/>
      <c r="LH633" s="9"/>
      <c r="LI633" s="9"/>
      <c r="LJ633" s="9"/>
      <c r="LK633" s="9"/>
      <c r="LL633" s="9"/>
      <c r="LM633" s="9"/>
      <c r="LN633" s="9"/>
      <c r="LO633" s="9"/>
      <c r="LP633" s="9"/>
      <c r="LQ633" s="9"/>
      <c r="LR633" s="9"/>
      <c r="LS633" s="9"/>
      <c r="LT633" s="9"/>
      <c r="LU633" s="9"/>
      <c r="LV633" s="9"/>
      <c r="LW633" s="9"/>
      <c r="LX633" s="9"/>
      <c r="LY633" s="9"/>
      <c r="LZ633" s="9"/>
      <c r="MA633" s="9"/>
      <c r="MB633" s="9"/>
      <c r="MC633" s="9"/>
      <c r="MD633" s="9"/>
      <c r="ME633" s="9"/>
      <c r="MF633" s="9"/>
      <c r="MG633" s="9"/>
      <c r="MH633" s="9"/>
      <c r="MI633" s="9"/>
      <c r="MJ633" s="9"/>
      <c r="MK633" s="9"/>
      <c r="ML633" s="9"/>
      <c r="MM633" s="9"/>
      <c r="MN633" s="9"/>
      <c r="MO633" s="9"/>
      <c r="MP633" s="9"/>
      <c r="MQ633" s="9"/>
      <c r="MR633" s="9"/>
      <c r="MS633" s="9"/>
      <c r="MT633" s="9"/>
      <c r="MU633" s="9"/>
      <c r="MV633" s="9"/>
      <c r="MW633" s="9"/>
      <c r="MX633" s="9"/>
      <c r="MY633" s="9"/>
      <c r="MZ633" s="9"/>
      <c r="NA633" s="9"/>
      <c r="NB633" s="9"/>
      <c r="NC633" s="9"/>
      <c r="ND633" s="9"/>
      <c r="NE633" s="9"/>
      <c r="NF633" s="9"/>
      <c r="NG633" s="9"/>
      <c r="NH633" s="9"/>
      <c r="NI633" s="9"/>
      <c r="NJ633" s="9"/>
      <c r="NK633" s="9"/>
      <c r="NL633" s="9"/>
      <c r="NM633" s="9"/>
      <c r="NN633" s="9"/>
      <c r="NO633" s="9"/>
      <c r="NP633" s="9"/>
      <c r="NQ633" s="9"/>
      <c r="NR633" s="9"/>
      <c r="NS633" s="9"/>
      <c r="NT633" s="9"/>
      <c r="NU633" s="9"/>
      <c r="NV633" s="9"/>
      <c r="NW633" s="9"/>
      <c r="NX633" s="9"/>
      <c r="NY633" s="9"/>
      <c r="NZ633" s="9"/>
      <c r="OA633" s="9"/>
      <c r="OB633" s="9"/>
      <c r="OC633" s="9"/>
      <c r="OD633" s="9"/>
      <c r="OE633" s="9"/>
      <c r="OF633" s="9"/>
      <c r="OG633" s="9"/>
      <c r="OH633" s="9"/>
      <c r="OI633" s="9"/>
      <c r="OJ633" s="9"/>
      <c r="OK633" s="9"/>
      <c r="OL633" s="9"/>
      <c r="OM633" s="9"/>
      <c r="ON633" s="9"/>
      <c r="OO633" s="9"/>
      <c r="OP633" s="9"/>
      <c r="OQ633" s="9"/>
      <c r="OR633" s="9"/>
      <c r="OS633" s="9"/>
      <c r="OT633" s="9"/>
      <c r="OU633" s="9"/>
      <c r="OV633" s="9"/>
      <c r="OW633" s="9"/>
      <c r="OX633" s="9"/>
      <c r="OY633" s="9"/>
      <c r="OZ633" s="9"/>
      <c r="PA633" s="9"/>
      <c r="PB633" s="9"/>
      <c r="PC633" s="9"/>
      <c r="PD633" s="9"/>
      <c r="PE633" s="9"/>
      <c r="PF633" s="9"/>
      <c r="PG633" s="9"/>
      <c r="PH633" s="9"/>
      <c r="PI633" s="9"/>
      <c r="PJ633" s="9"/>
      <c r="PK633" s="9"/>
      <c r="PL633" s="9"/>
      <c r="PM633" s="9"/>
      <c r="PN633" s="9"/>
      <c r="PO633" s="9"/>
      <c r="PP633" s="9"/>
      <c r="PQ633" s="9"/>
      <c r="PR633" s="9"/>
      <c r="PS633" s="9"/>
      <c r="PT633" s="9"/>
      <c r="PU633" s="9"/>
      <c r="PV633" s="9"/>
      <c r="PW633" s="9"/>
      <c r="PX633" s="9"/>
      <c r="PY633" s="9"/>
      <c r="PZ633" s="9"/>
      <c r="QA633" s="9"/>
      <c r="QB633" s="9"/>
      <c r="QC633" s="9"/>
      <c r="QD633" s="9"/>
      <c r="QE633" s="9"/>
      <c r="QF633" s="9"/>
      <c r="QG633" s="9"/>
      <c r="QH633" s="9"/>
      <c r="QI633" s="9"/>
      <c r="QJ633" s="9"/>
      <c r="QK633" s="9"/>
      <c r="QL633" s="9"/>
      <c r="QM633" s="9"/>
      <c r="QN633" s="9"/>
      <c r="QO633" s="9"/>
      <c r="QP633" s="9"/>
      <c r="QQ633" s="9"/>
      <c r="QR633" s="9"/>
      <c r="QS633" s="9"/>
      <c r="QT633" s="9"/>
      <c r="QU633" s="9"/>
      <c r="QV633" s="9"/>
      <c r="QW633" s="9"/>
      <c r="QX633" s="9"/>
      <c r="QY633" s="9"/>
      <c r="QZ633" s="9"/>
      <c r="RA633" s="9"/>
      <c r="RB633" s="9"/>
      <c r="RC633" s="9"/>
      <c r="RD633" s="9"/>
      <c r="RE633" s="9"/>
      <c r="RF633" s="9"/>
      <c r="RG633" s="9"/>
      <c r="RH633" s="9"/>
      <c r="RI633" s="9"/>
      <c r="RJ633" s="9"/>
      <c r="RK633" s="9"/>
      <c r="RL633" s="9"/>
      <c r="RM633" s="9"/>
      <c r="RN633" s="9"/>
      <c r="RO633" s="9"/>
      <c r="RP633" s="9"/>
      <c r="RQ633" s="9"/>
      <c r="RR633" s="9"/>
      <c r="RS633" s="9"/>
      <c r="RT633" s="9"/>
      <c r="RU633" s="9"/>
      <c r="RV633" s="9"/>
      <c r="RW633" s="9"/>
      <c r="RX633" s="9"/>
      <c r="RY633" s="9"/>
      <c r="RZ633" s="9"/>
      <c r="SA633" s="9"/>
      <c r="SB633" s="9"/>
      <c r="SC633" s="9"/>
      <c r="SD633" s="9"/>
      <c r="SE633" s="9"/>
      <c r="SF633" s="9"/>
      <c r="SG633" s="9"/>
      <c r="SH633" s="9"/>
      <c r="SI633" s="9"/>
      <c r="SJ633" s="9"/>
      <c r="SK633" s="9"/>
      <c r="SL633" s="9"/>
      <c r="SM633" s="9"/>
      <c r="SN633" s="9"/>
      <c r="SO633" s="9"/>
      <c r="SP633" s="9"/>
      <c r="SQ633" s="9"/>
      <c r="SR633" s="9"/>
      <c r="SS633" s="9"/>
      <c r="ST633" s="9"/>
      <c r="SU633" s="9"/>
      <c r="SV633" s="9"/>
      <c r="SW633" s="9"/>
      <c r="SX633" s="9"/>
      <c r="SY633" s="9"/>
      <c r="SZ633" s="9"/>
      <c r="TA633" s="9"/>
      <c r="TB633" s="9"/>
      <c r="TC633" s="9"/>
      <c r="TD633" s="9"/>
      <c r="TE633" s="9"/>
      <c r="TF633" s="9"/>
      <c r="TG633" s="9"/>
      <c r="TH633" s="9"/>
      <c r="TI633" s="9"/>
      <c r="TJ633" s="9"/>
      <c r="TK633" s="9"/>
      <c r="TL633" s="9"/>
      <c r="TM633" s="9"/>
      <c r="TN633" s="9"/>
      <c r="TO633" s="9"/>
      <c r="TP633" s="9"/>
      <c r="TQ633" s="9"/>
      <c r="TR633" s="9"/>
      <c r="TS633" s="9"/>
      <c r="TT633" s="9"/>
      <c r="TU633" s="9"/>
      <c r="TV633" s="9"/>
      <c r="TW633" s="9"/>
      <c r="TX633" s="9"/>
      <c r="TY633" s="9"/>
      <c r="TZ633" s="9"/>
      <c r="UA633" s="9"/>
      <c r="UB633" s="9"/>
      <c r="UC633" s="9"/>
      <c r="UD633" s="9"/>
      <c r="UE633" s="9"/>
      <c r="UF633" s="9"/>
      <c r="UG633" s="9"/>
      <c r="UH633" s="9"/>
      <c r="UI633" s="9"/>
      <c r="UJ633" s="9"/>
    </row>
    <row r="634">
      <c r="A634" s="8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  <c r="HZ634" s="9"/>
      <c r="IA634" s="9"/>
      <c r="IB634" s="9"/>
      <c r="IC634" s="9"/>
      <c r="ID634" s="9"/>
      <c r="IE634" s="9"/>
      <c r="IF634" s="9"/>
      <c r="IG634" s="9"/>
      <c r="IH634" s="9"/>
      <c r="II634" s="9"/>
      <c r="IJ634" s="9"/>
      <c r="IK634" s="9"/>
      <c r="IL634" s="9"/>
      <c r="IM634" s="9"/>
      <c r="IN634" s="9"/>
      <c r="IO634" s="9"/>
      <c r="IP634" s="9"/>
      <c r="IQ634" s="9"/>
      <c r="IR634" s="9"/>
      <c r="IS634" s="9"/>
      <c r="IT634" s="9"/>
      <c r="IU634" s="9"/>
      <c r="IV634" s="9"/>
      <c r="IW634" s="9"/>
      <c r="IX634" s="9"/>
      <c r="IY634" s="9"/>
      <c r="IZ634" s="9"/>
      <c r="JA634" s="9"/>
      <c r="JB634" s="9"/>
      <c r="JC634" s="9"/>
      <c r="JD634" s="9"/>
      <c r="JE634" s="9"/>
      <c r="JF634" s="9"/>
      <c r="JG634" s="9"/>
      <c r="JH634" s="9"/>
      <c r="JI634" s="9"/>
      <c r="JJ634" s="9"/>
      <c r="JK634" s="9"/>
      <c r="JL634" s="9"/>
      <c r="JM634" s="9"/>
      <c r="JN634" s="9"/>
      <c r="JO634" s="9"/>
      <c r="JP634" s="9"/>
      <c r="JQ634" s="9"/>
      <c r="JR634" s="9"/>
      <c r="JS634" s="9"/>
      <c r="JT634" s="9"/>
      <c r="JU634" s="9"/>
      <c r="JV634" s="9"/>
      <c r="JW634" s="9"/>
      <c r="JX634" s="9"/>
      <c r="JY634" s="9"/>
      <c r="JZ634" s="9"/>
      <c r="KA634" s="9"/>
      <c r="KB634" s="9"/>
      <c r="KC634" s="9"/>
      <c r="KD634" s="9"/>
      <c r="KE634" s="9"/>
      <c r="KF634" s="9"/>
      <c r="KG634" s="9"/>
      <c r="KH634" s="9"/>
      <c r="KI634" s="9"/>
      <c r="KJ634" s="9"/>
      <c r="KK634" s="9"/>
      <c r="KL634" s="9"/>
      <c r="KM634" s="9"/>
      <c r="KN634" s="9"/>
      <c r="KO634" s="9"/>
      <c r="KP634" s="9"/>
      <c r="KQ634" s="9"/>
      <c r="KR634" s="9"/>
      <c r="KS634" s="9"/>
      <c r="KT634" s="9"/>
      <c r="KU634" s="9"/>
      <c r="KV634" s="9"/>
      <c r="KW634" s="9"/>
      <c r="KX634" s="9"/>
      <c r="KY634" s="9"/>
      <c r="KZ634" s="9"/>
      <c r="LA634" s="9"/>
      <c r="LB634" s="9"/>
      <c r="LC634" s="9"/>
      <c r="LD634" s="9"/>
      <c r="LE634" s="9"/>
      <c r="LF634" s="9"/>
      <c r="LG634" s="9"/>
      <c r="LH634" s="9"/>
      <c r="LI634" s="9"/>
      <c r="LJ634" s="9"/>
      <c r="LK634" s="9"/>
      <c r="LL634" s="9"/>
      <c r="LM634" s="9"/>
      <c r="LN634" s="9"/>
      <c r="LO634" s="9"/>
      <c r="LP634" s="9"/>
      <c r="LQ634" s="9"/>
      <c r="LR634" s="9"/>
      <c r="LS634" s="9"/>
      <c r="LT634" s="9"/>
      <c r="LU634" s="9"/>
      <c r="LV634" s="9"/>
      <c r="LW634" s="9"/>
      <c r="LX634" s="9"/>
      <c r="LY634" s="9"/>
      <c r="LZ634" s="9"/>
      <c r="MA634" s="9"/>
      <c r="MB634" s="9"/>
      <c r="MC634" s="9"/>
      <c r="MD634" s="9"/>
      <c r="ME634" s="9"/>
      <c r="MF634" s="9"/>
      <c r="MG634" s="9"/>
      <c r="MH634" s="9"/>
      <c r="MI634" s="9"/>
      <c r="MJ634" s="9"/>
      <c r="MK634" s="9"/>
      <c r="ML634" s="9"/>
      <c r="MM634" s="9"/>
      <c r="MN634" s="9"/>
      <c r="MO634" s="9"/>
      <c r="MP634" s="9"/>
      <c r="MQ634" s="9"/>
      <c r="MR634" s="9"/>
      <c r="MS634" s="9"/>
      <c r="MT634" s="9"/>
      <c r="MU634" s="9"/>
      <c r="MV634" s="9"/>
      <c r="MW634" s="9"/>
      <c r="MX634" s="9"/>
      <c r="MY634" s="9"/>
      <c r="MZ634" s="9"/>
      <c r="NA634" s="9"/>
      <c r="NB634" s="9"/>
      <c r="NC634" s="9"/>
      <c r="ND634" s="9"/>
      <c r="NE634" s="9"/>
      <c r="NF634" s="9"/>
      <c r="NG634" s="9"/>
      <c r="NH634" s="9"/>
      <c r="NI634" s="9"/>
      <c r="NJ634" s="9"/>
      <c r="NK634" s="9"/>
      <c r="NL634" s="9"/>
      <c r="NM634" s="9"/>
      <c r="NN634" s="9"/>
      <c r="NO634" s="9"/>
      <c r="NP634" s="9"/>
      <c r="NQ634" s="9"/>
      <c r="NR634" s="9"/>
      <c r="NS634" s="9"/>
      <c r="NT634" s="9"/>
      <c r="NU634" s="9"/>
      <c r="NV634" s="9"/>
      <c r="NW634" s="9"/>
      <c r="NX634" s="9"/>
      <c r="NY634" s="9"/>
      <c r="NZ634" s="9"/>
      <c r="OA634" s="9"/>
      <c r="OB634" s="9"/>
      <c r="OC634" s="9"/>
      <c r="OD634" s="9"/>
      <c r="OE634" s="9"/>
      <c r="OF634" s="9"/>
      <c r="OG634" s="9"/>
      <c r="OH634" s="9"/>
      <c r="OI634" s="9"/>
      <c r="OJ634" s="9"/>
      <c r="OK634" s="9"/>
      <c r="OL634" s="9"/>
      <c r="OM634" s="9"/>
      <c r="ON634" s="9"/>
      <c r="OO634" s="9"/>
      <c r="OP634" s="9"/>
      <c r="OQ634" s="9"/>
      <c r="OR634" s="9"/>
      <c r="OS634" s="9"/>
      <c r="OT634" s="9"/>
      <c r="OU634" s="9"/>
      <c r="OV634" s="9"/>
      <c r="OW634" s="9"/>
      <c r="OX634" s="9"/>
      <c r="OY634" s="9"/>
      <c r="OZ634" s="9"/>
      <c r="PA634" s="9"/>
      <c r="PB634" s="9"/>
      <c r="PC634" s="9"/>
      <c r="PD634" s="9"/>
      <c r="PE634" s="9"/>
      <c r="PF634" s="9"/>
      <c r="PG634" s="9"/>
      <c r="PH634" s="9"/>
      <c r="PI634" s="9"/>
      <c r="PJ634" s="9"/>
      <c r="PK634" s="9"/>
      <c r="PL634" s="9"/>
      <c r="PM634" s="9"/>
      <c r="PN634" s="9"/>
      <c r="PO634" s="9"/>
      <c r="PP634" s="9"/>
      <c r="PQ634" s="9"/>
      <c r="PR634" s="9"/>
      <c r="PS634" s="9"/>
      <c r="PT634" s="9"/>
      <c r="PU634" s="9"/>
      <c r="PV634" s="9"/>
      <c r="PW634" s="9"/>
      <c r="PX634" s="9"/>
      <c r="PY634" s="9"/>
      <c r="PZ634" s="9"/>
      <c r="QA634" s="9"/>
      <c r="QB634" s="9"/>
      <c r="QC634" s="9"/>
      <c r="QD634" s="9"/>
      <c r="QE634" s="9"/>
      <c r="QF634" s="9"/>
      <c r="QG634" s="9"/>
      <c r="QH634" s="9"/>
      <c r="QI634" s="9"/>
      <c r="QJ634" s="9"/>
      <c r="QK634" s="9"/>
      <c r="QL634" s="9"/>
      <c r="QM634" s="9"/>
      <c r="QN634" s="9"/>
      <c r="QO634" s="9"/>
      <c r="QP634" s="9"/>
      <c r="QQ634" s="9"/>
      <c r="QR634" s="9"/>
      <c r="QS634" s="9"/>
      <c r="QT634" s="9"/>
      <c r="QU634" s="9"/>
      <c r="QV634" s="9"/>
      <c r="QW634" s="9"/>
      <c r="QX634" s="9"/>
      <c r="QY634" s="9"/>
      <c r="QZ634" s="9"/>
      <c r="RA634" s="9"/>
      <c r="RB634" s="9"/>
      <c r="RC634" s="9"/>
      <c r="RD634" s="9"/>
      <c r="RE634" s="9"/>
      <c r="RF634" s="9"/>
      <c r="RG634" s="9"/>
      <c r="RH634" s="9"/>
      <c r="RI634" s="9"/>
      <c r="RJ634" s="9"/>
      <c r="RK634" s="9"/>
      <c r="RL634" s="9"/>
      <c r="RM634" s="9"/>
      <c r="RN634" s="9"/>
      <c r="RO634" s="9"/>
      <c r="RP634" s="9"/>
      <c r="RQ634" s="9"/>
      <c r="RR634" s="9"/>
      <c r="RS634" s="9"/>
      <c r="RT634" s="9"/>
      <c r="RU634" s="9"/>
      <c r="RV634" s="9"/>
      <c r="RW634" s="9"/>
      <c r="RX634" s="9"/>
      <c r="RY634" s="9"/>
      <c r="RZ634" s="9"/>
      <c r="SA634" s="9"/>
      <c r="SB634" s="9"/>
      <c r="SC634" s="9"/>
      <c r="SD634" s="9"/>
      <c r="SE634" s="9"/>
      <c r="SF634" s="9"/>
      <c r="SG634" s="9"/>
      <c r="SH634" s="9"/>
      <c r="SI634" s="9"/>
      <c r="SJ634" s="9"/>
      <c r="SK634" s="9"/>
      <c r="SL634" s="9"/>
      <c r="SM634" s="9"/>
      <c r="SN634" s="9"/>
      <c r="SO634" s="9"/>
      <c r="SP634" s="9"/>
      <c r="SQ634" s="9"/>
      <c r="SR634" s="9"/>
      <c r="SS634" s="9"/>
      <c r="ST634" s="9"/>
      <c r="SU634" s="9"/>
      <c r="SV634" s="9"/>
      <c r="SW634" s="9"/>
      <c r="SX634" s="9"/>
      <c r="SY634" s="9"/>
      <c r="SZ634" s="9"/>
      <c r="TA634" s="9"/>
      <c r="TB634" s="9"/>
      <c r="TC634" s="9"/>
      <c r="TD634" s="9"/>
      <c r="TE634" s="9"/>
      <c r="TF634" s="9"/>
      <c r="TG634" s="9"/>
      <c r="TH634" s="9"/>
      <c r="TI634" s="9"/>
      <c r="TJ634" s="9"/>
      <c r="TK634" s="9"/>
      <c r="TL634" s="9"/>
      <c r="TM634" s="9"/>
      <c r="TN634" s="9"/>
      <c r="TO634" s="9"/>
      <c r="TP634" s="9"/>
      <c r="TQ634" s="9"/>
      <c r="TR634" s="9"/>
      <c r="TS634" s="9"/>
      <c r="TT634" s="9"/>
      <c r="TU634" s="9"/>
      <c r="TV634" s="9"/>
      <c r="TW634" s="9"/>
      <c r="TX634" s="9"/>
      <c r="TY634" s="9"/>
      <c r="TZ634" s="9"/>
      <c r="UA634" s="9"/>
      <c r="UB634" s="9"/>
      <c r="UC634" s="9"/>
      <c r="UD634" s="9"/>
      <c r="UE634" s="9"/>
      <c r="UF634" s="9"/>
      <c r="UG634" s="9"/>
      <c r="UH634" s="9"/>
      <c r="UI634" s="9"/>
      <c r="UJ634" s="9"/>
    </row>
    <row r="635">
      <c r="A635" s="8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  <c r="IC635" s="9"/>
      <c r="ID635" s="9"/>
      <c r="IE635" s="9"/>
      <c r="IF635" s="9"/>
      <c r="IG635" s="9"/>
      <c r="IH635" s="9"/>
      <c r="II635" s="9"/>
      <c r="IJ635" s="9"/>
      <c r="IK635" s="9"/>
      <c r="IL635" s="9"/>
      <c r="IM635" s="9"/>
      <c r="IN635" s="9"/>
      <c r="IO635" s="9"/>
      <c r="IP635" s="9"/>
      <c r="IQ635" s="9"/>
      <c r="IR635" s="9"/>
      <c r="IS635" s="9"/>
      <c r="IT635" s="9"/>
      <c r="IU635" s="9"/>
      <c r="IV635" s="9"/>
      <c r="IW635" s="9"/>
      <c r="IX635" s="9"/>
      <c r="IY635" s="9"/>
      <c r="IZ635" s="9"/>
      <c r="JA635" s="9"/>
      <c r="JB635" s="9"/>
      <c r="JC635" s="9"/>
      <c r="JD635" s="9"/>
      <c r="JE635" s="9"/>
      <c r="JF635" s="9"/>
      <c r="JG635" s="9"/>
      <c r="JH635" s="9"/>
      <c r="JI635" s="9"/>
      <c r="JJ635" s="9"/>
      <c r="JK635" s="9"/>
      <c r="JL635" s="9"/>
      <c r="JM635" s="9"/>
      <c r="JN635" s="9"/>
      <c r="JO635" s="9"/>
      <c r="JP635" s="9"/>
      <c r="JQ635" s="9"/>
      <c r="JR635" s="9"/>
      <c r="JS635" s="9"/>
      <c r="JT635" s="9"/>
      <c r="JU635" s="9"/>
      <c r="JV635" s="9"/>
      <c r="JW635" s="9"/>
      <c r="JX635" s="9"/>
      <c r="JY635" s="9"/>
      <c r="JZ635" s="9"/>
      <c r="KA635" s="9"/>
      <c r="KB635" s="9"/>
      <c r="KC635" s="9"/>
      <c r="KD635" s="9"/>
      <c r="KE635" s="9"/>
      <c r="KF635" s="9"/>
      <c r="KG635" s="9"/>
      <c r="KH635" s="9"/>
      <c r="KI635" s="9"/>
      <c r="KJ635" s="9"/>
      <c r="KK635" s="9"/>
      <c r="KL635" s="9"/>
      <c r="KM635" s="9"/>
      <c r="KN635" s="9"/>
      <c r="KO635" s="9"/>
      <c r="KP635" s="9"/>
      <c r="KQ635" s="9"/>
      <c r="KR635" s="9"/>
      <c r="KS635" s="9"/>
      <c r="KT635" s="9"/>
      <c r="KU635" s="9"/>
      <c r="KV635" s="9"/>
      <c r="KW635" s="9"/>
      <c r="KX635" s="9"/>
      <c r="KY635" s="9"/>
      <c r="KZ635" s="9"/>
      <c r="LA635" s="9"/>
      <c r="LB635" s="9"/>
      <c r="LC635" s="9"/>
      <c r="LD635" s="9"/>
      <c r="LE635" s="9"/>
      <c r="LF635" s="9"/>
      <c r="LG635" s="9"/>
      <c r="LH635" s="9"/>
      <c r="LI635" s="9"/>
      <c r="LJ635" s="9"/>
      <c r="LK635" s="9"/>
      <c r="LL635" s="9"/>
      <c r="LM635" s="9"/>
      <c r="LN635" s="9"/>
      <c r="LO635" s="9"/>
      <c r="LP635" s="9"/>
      <c r="LQ635" s="9"/>
      <c r="LR635" s="9"/>
      <c r="LS635" s="9"/>
      <c r="LT635" s="9"/>
      <c r="LU635" s="9"/>
      <c r="LV635" s="9"/>
      <c r="LW635" s="9"/>
      <c r="LX635" s="9"/>
      <c r="LY635" s="9"/>
      <c r="LZ635" s="9"/>
      <c r="MA635" s="9"/>
      <c r="MB635" s="9"/>
      <c r="MC635" s="9"/>
      <c r="MD635" s="9"/>
      <c r="ME635" s="9"/>
      <c r="MF635" s="9"/>
      <c r="MG635" s="9"/>
      <c r="MH635" s="9"/>
      <c r="MI635" s="9"/>
      <c r="MJ635" s="9"/>
      <c r="MK635" s="9"/>
      <c r="ML635" s="9"/>
      <c r="MM635" s="9"/>
      <c r="MN635" s="9"/>
      <c r="MO635" s="9"/>
      <c r="MP635" s="9"/>
      <c r="MQ635" s="9"/>
      <c r="MR635" s="9"/>
      <c r="MS635" s="9"/>
      <c r="MT635" s="9"/>
      <c r="MU635" s="9"/>
      <c r="MV635" s="9"/>
      <c r="MW635" s="9"/>
      <c r="MX635" s="9"/>
      <c r="MY635" s="9"/>
      <c r="MZ635" s="9"/>
      <c r="NA635" s="9"/>
      <c r="NB635" s="9"/>
      <c r="NC635" s="9"/>
      <c r="ND635" s="9"/>
      <c r="NE635" s="9"/>
      <c r="NF635" s="9"/>
      <c r="NG635" s="9"/>
      <c r="NH635" s="9"/>
      <c r="NI635" s="9"/>
      <c r="NJ635" s="9"/>
      <c r="NK635" s="9"/>
      <c r="NL635" s="9"/>
      <c r="NM635" s="9"/>
      <c r="NN635" s="9"/>
      <c r="NO635" s="9"/>
      <c r="NP635" s="9"/>
      <c r="NQ635" s="9"/>
      <c r="NR635" s="9"/>
      <c r="NS635" s="9"/>
      <c r="NT635" s="9"/>
      <c r="NU635" s="9"/>
      <c r="NV635" s="9"/>
      <c r="NW635" s="9"/>
      <c r="NX635" s="9"/>
      <c r="NY635" s="9"/>
      <c r="NZ635" s="9"/>
      <c r="OA635" s="9"/>
      <c r="OB635" s="9"/>
      <c r="OC635" s="9"/>
      <c r="OD635" s="9"/>
      <c r="OE635" s="9"/>
      <c r="OF635" s="9"/>
      <c r="OG635" s="9"/>
      <c r="OH635" s="9"/>
      <c r="OI635" s="9"/>
      <c r="OJ635" s="9"/>
      <c r="OK635" s="9"/>
      <c r="OL635" s="9"/>
      <c r="OM635" s="9"/>
      <c r="ON635" s="9"/>
      <c r="OO635" s="9"/>
      <c r="OP635" s="9"/>
      <c r="OQ635" s="9"/>
      <c r="OR635" s="9"/>
      <c r="OS635" s="9"/>
      <c r="OT635" s="9"/>
      <c r="OU635" s="9"/>
      <c r="OV635" s="9"/>
      <c r="OW635" s="9"/>
      <c r="OX635" s="9"/>
      <c r="OY635" s="9"/>
      <c r="OZ635" s="9"/>
      <c r="PA635" s="9"/>
      <c r="PB635" s="9"/>
      <c r="PC635" s="9"/>
      <c r="PD635" s="9"/>
      <c r="PE635" s="9"/>
      <c r="PF635" s="9"/>
      <c r="PG635" s="9"/>
      <c r="PH635" s="9"/>
      <c r="PI635" s="9"/>
      <c r="PJ635" s="9"/>
      <c r="PK635" s="9"/>
      <c r="PL635" s="9"/>
      <c r="PM635" s="9"/>
      <c r="PN635" s="9"/>
      <c r="PO635" s="9"/>
      <c r="PP635" s="9"/>
      <c r="PQ635" s="9"/>
      <c r="PR635" s="9"/>
      <c r="PS635" s="9"/>
      <c r="PT635" s="9"/>
      <c r="PU635" s="9"/>
      <c r="PV635" s="9"/>
      <c r="PW635" s="9"/>
      <c r="PX635" s="9"/>
      <c r="PY635" s="9"/>
      <c r="PZ635" s="9"/>
      <c r="QA635" s="9"/>
      <c r="QB635" s="9"/>
      <c r="QC635" s="9"/>
      <c r="QD635" s="9"/>
      <c r="QE635" s="9"/>
      <c r="QF635" s="9"/>
      <c r="QG635" s="9"/>
      <c r="QH635" s="9"/>
      <c r="QI635" s="9"/>
      <c r="QJ635" s="9"/>
      <c r="QK635" s="9"/>
      <c r="QL635" s="9"/>
      <c r="QM635" s="9"/>
      <c r="QN635" s="9"/>
      <c r="QO635" s="9"/>
      <c r="QP635" s="9"/>
      <c r="QQ635" s="9"/>
      <c r="QR635" s="9"/>
      <c r="QS635" s="9"/>
      <c r="QT635" s="9"/>
      <c r="QU635" s="9"/>
      <c r="QV635" s="9"/>
      <c r="QW635" s="9"/>
      <c r="QX635" s="9"/>
      <c r="QY635" s="9"/>
      <c r="QZ635" s="9"/>
      <c r="RA635" s="9"/>
      <c r="RB635" s="9"/>
      <c r="RC635" s="9"/>
      <c r="RD635" s="9"/>
      <c r="RE635" s="9"/>
      <c r="RF635" s="9"/>
      <c r="RG635" s="9"/>
      <c r="RH635" s="9"/>
      <c r="RI635" s="9"/>
      <c r="RJ635" s="9"/>
      <c r="RK635" s="9"/>
      <c r="RL635" s="9"/>
      <c r="RM635" s="9"/>
      <c r="RN635" s="9"/>
      <c r="RO635" s="9"/>
      <c r="RP635" s="9"/>
      <c r="RQ635" s="9"/>
      <c r="RR635" s="9"/>
      <c r="RS635" s="9"/>
      <c r="RT635" s="9"/>
      <c r="RU635" s="9"/>
      <c r="RV635" s="9"/>
      <c r="RW635" s="9"/>
      <c r="RX635" s="9"/>
      <c r="RY635" s="9"/>
      <c r="RZ635" s="9"/>
      <c r="SA635" s="9"/>
      <c r="SB635" s="9"/>
      <c r="SC635" s="9"/>
      <c r="SD635" s="9"/>
      <c r="SE635" s="9"/>
      <c r="SF635" s="9"/>
      <c r="SG635" s="9"/>
      <c r="SH635" s="9"/>
      <c r="SI635" s="9"/>
      <c r="SJ635" s="9"/>
      <c r="SK635" s="9"/>
      <c r="SL635" s="9"/>
      <c r="SM635" s="9"/>
      <c r="SN635" s="9"/>
      <c r="SO635" s="9"/>
      <c r="SP635" s="9"/>
      <c r="SQ635" s="9"/>
      <c r="SR635" s="9"/>
      <c r="SS635" s="9"/>
      <c r="ST635" s="9"/>
      <c r="SU635" s="9"/>
      <c r="SV635" s="9"/>
      <c r="SW635" s="9"/>
      <c r="SX635" s="9"/>
      <c r="SY635" s="9"/>
      <c r="SZ635" s="9"/>
      <c r="TA635" s="9"/>
      <c r="TB635" s="9"/>
      <c r="TC635" s="9"/>
      <c r="TD635" s="9"/>
      <c r="TE635" s="9"/>
      <c r="TF635" s="9"/>
      <c r="TG635" s="9"/>
      <c r="TH635" s="9"/>
      <c r="TI635" s="9"/>
      <c r="TJ635" s="9"/>
      <c r="TK635" s="9"/>
      <c r="TL635" s="9"/>
      <c r="TM635" s="9"/>
      <c r="TN635" s="9"/>
      <c r="TO635" s="9"/>
      <c r="TP635" s="9"/>
      <c r="TQ635" s="9"/>
      <c r="TR635" s="9"/>
      <c r="TS635" s="9"/>
      <c r="TT635" s="9"/>
      <c r="TU635" s="9"/>
      <c r="TV635" s="9"/>
      <c r="TW635" s="9"/>
      <c r="TX635" s="9"/>
      <c r="TY635" s="9"/>
      <c r="TZ635" s="9"/>
      <c r="UA635" s="9"/>
      <c r="UB635" s="9"/>
      <c r="UC635" s="9"/>
      <c r="UD635" s="9"/>
      <c r="UE635" s="9"/>
      <c r="UF635" s="9"/>
      <c r="UG635" s="9"/>
      <c r="UH635" s="9"/>
      <c r="UI635" s="9"/>
      <c r="UJ635" s="9"/>
    </row>
    <row r="636">
      <c r="A636" s="8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  <c r="HZ636" s="9"/>
      <c r="IA636" s="9"/>
      <c r="IB636" s="9"/>
      <c r="IC636" s="9"/>
      <c r="ID636" s="9"/>
      <c r="IE636" s="9"/>
      <c r="IF636" s="9"/>
      <c r="IG636" s="9"/>
      <c r="IH636" s="9"/>
      <c r="II636" s="9"/>
      <c r="IJ636" s="9"/>
      <c r="IK636" s="9"/>
      <c r="IL636" s="9"/>
      <c r="IM636" s="9"/>
      <c r="IN636" s="9"/>
      <c r="IO636" s="9"/>
      <c r="IP636" s="9"/>
      <c r="IQ636" s="9"/>
      <c r="IR636" s="9"/>
      <c r="IS636" s="9"/>
      <c r="IT636" s="9"/>
      <c r="IU636" s="9"/>
      <c r="IV636" s="9"/>
      <c r="IW636" s="9"/>
      <c r="IX636" s="9"/>
      <c r="IY636" s="9"/>
      <c r="IZ636" s="9"/>
      <c r="JA636" s="9"/>
      <c r="JB636" s="9"/>
      <c r="JC636" s="9"/>
      <c r="JD636" s="9"/>
      <c r="JE636" s="9"/>
      <c r="JF636" s="9"/>
      <c r="JG636" s="9"/>
      <c r="JH636" s="9"/>
      <c r="JI636" s="9"/>
      <c r="JJ636" s="9"/>
      <c r="JK636" s="9"/>
      <c r="JL636" s="9"/>
      <c r="JM636" s="9"/>
      <c r="JN636" s="9"/>
      <c r="JO636" s="9"/>
      <c r="JP636" s="9"/>
      <c r="JQ636" s="9"/>
      <c r="JR636" s="9"/>
      <c r="JS636" s="9"/>
      <c r="JT636" s="9"/>
      <c r="JU636" s="9"/>
      <c r="JV636" s="9"/>
      <c r="JW636" s="9"/>
      <c r="JX636" s="9"/>
      <c r="JY636" s="9"/>
      <c r="JZ636" s="9"/>
      <c r="KA636" s="9"/>
      <c r="KB636" s="9"/>
      <c r="KC636" s="9"/>
      <c r="KD636" s="9"/>
      <c r="KE636" s="9"/>
      <c r="KF636" s="9"/>
      <c r="KG636" s="9"/>
      <c r="KH636" s="9"/>
      <c r="KI636" s="9"/>
      <c r="KJ636" s="9"/>
      <c r="KK636" s="9"/>
      <c r="KL636" s="9"/>
      <c r="KM636" s="9"/>
      <c r="KN636" s="9"/>
      <c r="KO636" s="9"/>
      <c r="KP636" s="9"/>
      <c r="KQ636" s="9"/>
      <c r="KR636" s="9"/>
      <c r="KS636" s="9"/>
      <c r="KT636" s="9"/>
      <c r="KU636" s="9"/>
      <c r="KV636" s="9"/>
      <c r="KW636" s="9"/>
      <c r="KX636" s="9"/>
      <c r="KY636" s="9"/>
      <c r="KZ636" s="9"/>
      <c r="LA636" s="9"/>
      <c r="LB636" s="9"/>
      <c r="LC636" s="9"/>
      <c r="LD636" s="9"/>
      <c r="LE636" s="9"/>
      <c r="LF636" s="9"/>
      <c r="LG636" s="9"/>
      <c r="LH636" s="9"/>
      <c r="LI636" s="9"/>
      <c r="LJ636" s="9"/>
      <c r="LK636" s="9"/>
      <c r="LL636" s="9"/>
      <c r="LM636" s="9"/>
      <c r="LN636" s="9"/>
      <c r="LO636" s="9"/>
      <c r="LP636" s="9"/>
      <c r="LQ636" s="9"/>
      <c r="LR636" s="9"/>
      <c r="LS636" s="9"/>
      <c r="LT636" s="9"/>
      <c r="LU636" s="9"/>
      <c r="LV636" s="9"/>
      <c r="LW636" s="9"/>
      <c r="LX636" s="9"/>
      <c r="LY636" s="9"/>
      <c r="LZ636" s="9"/>
      <c r="MA636" s="9"/>
      <c r="MB636" s="9"/>
      <c r="MC636" s="9"/>
      <c r="MD636" s="9"/>
      <c r="ME636" s="9"/>
      <c r="MF636" s="9"/>
      <c r="MG636" s="9"/>
      <c r="MH636" s="9"/>
      <c r="MI636" s="9"/>
      <c r="MJ636" s="9"/>
      <c r="MK636" s="9"/>
      <c r="ML636" s="9"/>
      <c r="MM636" s="9"/>
      <c r="MN636" s="9"/>
      <c r="MO636" s="9"/>
      <c r="MP636" s="9"/>
      <c r="MQ636" s="9"/>
      <c r="MR636" s="9"/>
      <c r="MS636" s="9"/>
      <c r="MT636" s="9"/>
      <c r="MU636" s="9"/>
      <c r="MV636" s="9"/>
      <c r="MW636" s="9"/>
      <c r="MX636" s="9"/>
      <c r="MY636" s="9"/>
      <c r="MZ636" s="9"/>
      <c r="NA636" s="9"/>
      <c r="NB636" s="9"/>
      <c r="NC636" s="9"/>
      <c r="ND636" s="9"/>
      <c r="NE636" s="9"/>
      <c r="NF636" s="9"/>
      <c r="NG636" s="9"/>
      <c r="NH636" s="9"/>
      <c r="NI636" s="9"/>
      <c r="NJ636" s="9"/>
      <c r="NK636" s="9"/>
      <c r="NL636" s="9"/>
      <c r="NM636" s="9"/>
      <c r="NN636" s="9"/>
      <c r="NO636" s="9"/>
      <c r="NP636" s="9"/>
      <c r="NQ636" s="9"/>
      <c r="NR636" s="9"/>
      <c r="NS636" s="9"/>
      <c r="NT636" s="9"/>
      <c r="NU636" s="9"/>
      <c r="NV636" s="9"/>
      <c r="NW636" s="9"/>
      <c r="NX636" s="9"/>
      <c r="NY636" s="9"/>
      <c r="NZ636" s="9"/>
      <c r="OA636" s="9"/>
      <c r="OB636" s="9"/>
      <c r="OC636" s="9"/>
      <c r="OD636" s="9"/>
      <c r="OE636" s="9"/>
      <c r="OF636" s="9"/>
      <c r="OG636" s="9"/>
      <c r="OH636" s="9"/>
      <c r="OI636" s="9"/>
      <c r="OJ636" s="9"/>
      <c r="OK636" s="9"/>
      <c r="OL636" s="9"/>
      <c r="OM636" s="9"/>
      <c r="ON636" s="9"/>
      <c r="OO636" s="9"/>
      <c r="OP636" s="9"/>
      <c r="OQ636" s="9"/>
      <c r="OR636" s="9"/>
      <c r="OS636" s="9"/>
      <c r="OT636" s="9"/>
      <c r="OU636" s="9"/>
      <c r="OV636" s="9"/>
      <c r="OW636" s="9"/>
      <c r="OX636" s="9"/>
      <c r="OY636" s="9"/>
      <c r="OZ636" s="9"/>
      <c r="PA636" s="9"/>
      <c r="PB636" s="9"/>
      <c r="PC636" s="9"/>
      <c r="PD636" s="9"/>
      <c r="PE636" s="9"/>
      <c r="PF636" s="9"/>
      <c r="PG636" s="9"/>
      <c r="PH636" s="9"/>
      <c r="PI636" s="9"/>
      <c r="PJ636" s="9"/>
      <c r="PK636" s="9"/>
      <c r="PL636" s="9"/>
      <c r="PM636" s="9"/>
      <c r="PN636" s="9"/>
      <c r="PO636" s="9"/>
      <c r="PP636" s="9"/>
      <c r="PQ636" s="9"/>
      <c r="PR636" s="9"/>
      <c r="PS636" s="9"/>
      <c r="PT636" s="9"/>
      <c r="PU636" s="9"/>
      <c r="PV636" s="9"/>
      <c r="PW636" s="9"/>
      <c r="PX636" s="9"/>
      <c r="PY636" s="9"/>
      <c r="PZ636" s="9"/>
      <c r="QA636" s="9"/>
      <c r="QB636" s="9"/>
      <c r="QC636" s="9"/>
      <c r="QD636" s="9"/>
      <c r="QE636" s="9"/>
      <c r="QF636" s="9"/>
      <c r="QG636" s="9"/>
      <c r="QH636" s="9"/>
      <c r="QI636" s="9"/>
      <c r="QJ636" s="9"/>
      <c r="QK636" s="9"/>
      <c r="QL636" s="9"/>
      <c r="QM636" s="9"/>
      <c r="QN636" s="9"/>
      <c r="QO636" s="9"/>
      <c r="QP636" s="9"/>
      <c r="QQ636" s="9"/>
      <c r="QR636" s="9"/>
      <c r="QS636" s="9"/>
      <c r="QT636" s="9"/>
      <c r="QU636" s="9"/>
      <c r="QV636" s="9"/>
      <c r="QW636" s="9"/>
      <c r="QX636" s="9"/>
      <c r="QY636" s="9"/>
      <c r="QZ636" s="9"/>
      <c r="RA636" s="9"/>
      <c r="RB636" s="9"/>
      <c r="RC636" s="9"/>
      <c r="RD636" s="9"/>
      <c r="RE636" s="9"/>
      <c r="RF636" s="9"/>
      <c r="RG636" s="9"/>
      <c r="RH636" s="9"/>
      <c r="RI636" s="9"/>
      <c r="RJ636" s="9"/>
      <c r="RK636" s="9"/>
      <c r="RL636" s="9"/>
      <c r="RM636" s="9"/>
      <c r="RN636" s="9"/>
      <c r="RO636" s="9"/>
      <c r="RP636" s="9"/>
      <c r="RQ636" s="9"/>
      <c r="RR636" s="9"/>
      <c r="RS636" s="9"/>
      <c r="RT636" s="9"/>
      <c r="RU636" s="9"/>
      <c r="RV636" s="9"/>
      <c r="RW636" s="9"/>
      <c r="RX636" s="9"/>
      <c r="RY636" s="9"/>
      <c r="RZ636" s="9"/>
      <c r="SA636" s="9"/>
      <c r="SB636" s="9"/>
      <c r="SC636" s="9"/>
      <c r="SD636" s="9"/>
      <c r="SE636" s="9"/>
      <c r="SF636" s="9"/>
      <c r="SG636" s="9"/>
      <c r="SH636" s="9"/>
      <c r="SI636" s="9"/>
      <c r="SJ636" s="9"/>
      <c r="SK636" s="9"/>
      <c r="SL636" s="9"/>
      <c r="SM636" s="9"/>
      <c r="SN636" s="9"/>
      <c r="SO636" s="9"/>
      <c r="SP636" s="9"/>
      <c r="SQ636" s="9"/>
      <c r="SR636" s="9"/>
      <c r="SS636" s="9"/>
      <c r="ST636" s="9"/>
      <c r="SU636" s="9"/>
      <c r="SV636" s="9"/>
      <c r="SW636" s="9"/>
      <c r="SX636" s="9"/>
      <c r="SY636" s="9"/>
      <c r="SZ636" s="9"/>
      <c r="TA636" s="9"/>
      <c r="TB636" s="9"/>
      <c r="TC636" s="9"/>
      <c r="TD636" s="9"/>
      <c r="TE636" s="9"/>
      <c r="TF636" s="9"/>
      <c r="TG636" s="9"/>
      <c r="TH636" s="9"/>
      <c r="TI636" s="9"/>
      <c r="TJ636" s="9"/>
      <c r="TK636" s="9"/>
      <c r="TL636" s="9"/>
      <c r="TM636" s="9"/>
      <c r="TN636" s="9"/>
      <c r="TO636" s="9"/>
      <c r="TP636" s="9"/>
      <c r="TQ636" s="9"/>
      <c r="TR636" s="9"/>
      <c r="TS636" s="9"/>
      <c r="TT636" s="9"/>
      <c r="TU636" s="9"/>
      <c r="TV636" s="9"/>
      <c r="TW636" s="9"/>
      <c r="TX636" s="9"/>
      <c r="TY636" s="9"/>
      <c r="TZ636" s="9"/>
      <c r="UA636" s="9"/>
      <c r="UB636" s="9"/>
      <c r="UC636" s="9"/>
      <c r="UD636" s="9"/>
      <c r="UE636" s="9"/>
      <c r="UF636" s="9"/>
      <c r="UG636" s="9"/>
      <c r="UH636" s="9"/>
      <c r="UI636" s="9"/>
      <c r="UJ636" s="9"/>
    </row>
    <row r="637">
      <c r="A637" s="8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  <c r="IC637" s="9"/>
      <c r="ID637" s="9"/>
      <c r="IE637" s="9"/>
      <c r="IF637" s="9"/>
      <c r="IG637" s="9"/>
      <c r="IH637" s="9"/>
      <c r="II637" s="9"/>
      <c r="IJ637" s="9"/>
      <c r="IK637" s="9"/>
      <c r="IL637" s="9"/>
      <c r="IM637" s="9"/>
      <c r="IN637" s="9"/>
      <c r="IO637" s="9"/>
      <c r="IP637" s="9"/>
      <c r="IQ637" s="9"/>
      <c r="IR637" s="9"/>
      <c r="IS637" s="9"/>
      <c r="IT637" s="9"/>
      <c r="IU637" s="9"/>
      <c r="IV637" s="9"/>
      <c r="IW637" s="9"/>
      <c r="IX637" s="9"/>
      <c r="IY637" s="9"/>
      <c r="IZ637" s="9"/>
      <c r="JA637" s="9"/>
      <c r="JB637" s="9"/>
      <c r="JC637" s="9"/>
      <c r="JD637" s="9"/>
      <c r="JE637" s="9"/>
      <c r="JF637" s="9"/>
      <c r="JG637" s="9"/>
      <c r="JH637" s="9"/>
      <c r="JI637" s="9"/>
      <c r="JJ637" s="9"/>
      <c r="JK637" s="9"/>
      <c r="JL637" s="9"/>
      <c r="JM637" s="9"/>
      <c r="JN637" s="9"/>
      <c r="JO637" s="9"/>
      <c r="JP637" s="9"/>
      <c r="JQ637" s="9"/>
      <c r="JR637" s="9"/>
      <c r="JS637" s="9"/>
      <c r="JT637" s="9"/>
      <c r="JU637" s="9"/>
      <c r="JV637" s="9"/>
      <c r="JW637" s="9"/>
      <c r="JX637" s="9"/>
      <c r="JY637" s="9"/>
      <c r="JZ637" s="9"/>
      <c r="KA637" s="9"/>
      <c r="KB637" s="9"/>
      <c r="KC637" s="9"/>
      <c r="KD637" s="9"/>
      <c r="KE637" s="9"/>
      <c r="KF637" s="9"/>
      <c r="KG637" s="9"/>
      <c r="KH637" s="9"/>
      <c r="KI637" s="9"/>
      <c r="KJ637" s="9"/>
      <c r="KK637" s="9"/>
      <c r="KL637" s="9"/>
      <c r="KM637" s="9"/>
      <c r="KN637" s="9"/>
      <c r="KO637" s="9"/>
      <c r="KP637" s="9"/>
      <c r="KQ637" s="9"/>
      <c r="KR637" s="9"/>
      <c r="KS637" s="9"/>
      <c r="KT637" s="9"/>
      <c r="KU637" s="9"/>
      <c r="KV637" s="9"/>
      <c r="KW637" s="9"/>
      <c r="KX637" s="9"/>
      <c r="KY637" s="9"/>
      <c r="KZ637" s="9"/>
      <c r="LA637" s="9"/>
      <c r="LB637" s="9"/>
      <c r="LC637" s="9"/>
      <c r="LD637" s="9"/>
      <c r="LE637" s="9"/>
      <c r="LF637" s="9"/>
      <c r="LG637" s="9"/>
      <c r="LH637" s="9"/>
      <c r="LI637" s="9"/>
      <c r="LJ637" s="9"/>
      <c r="LK637" s="9"/>
      <c r="LL637" s="9"/>
      <c r="LM637" s="9"/>
      <c r="LN637" s="9"/>
      <c r="LO637" s="9"/>
      <c r="LP637" s="9"/>
      <c r="LQ637" s="9"/>
      <c r="LR637" s="9"/>
      <c r="LS637" s="9"/>
      <c r="LT637" s="9"/>
      <c r="LU637" s="9"/>
      <c r="LV637" s="9"/>
      <c r="LW637" s="9"/>
      <c r="LX637" s="9"/>
      <c r="LY637" s="9"/>
      <c r="LZ637" s="9"/>
      <c r="MA637" s="9"/>
      <c r="MB637" s="9"/>
      <c r="MC637" s="9"/>
      <c r="MD637" s="9"/>
      <c r="ME637" s="9"/>
      <c r="MF637" s="9"/>
      <c r="MG637" s="9"/>
      <c r="MH637" s="9"/>
      <c r="MI637" s="9"/>
      <c r="MJ637" s="9"/>
      <c r="MK637" s="9"/>
      <c r="ML637" s="9"/>
      <c r="MM637" s="9"/>
      <c r="MN637" s="9"/>
      <c r="MO637" s="9"/>
      <c r="MP637" s="9"/>
      <c r="MQ637" s="9"/>
      <c r="MR637" s="9"/>
      <c r="MS637" s="9"/>
      <c r="MT637" s="9"/>
      <c r="MU637" s="9"/>
      <c r="MV637" s="9"/>
      <c r="MW637" s="9"/>
      <c r="MX637" s="9"/>
      <c r="MY637" s="9"/>
      <c r="MZ637" s="9"/>
      <c r="NA637" s="9"/>
      <c r="NB637" s="9"/>
      <c r="NC637" s="9"/>
      <c r="ND637" s="9"/>
      <c r="NE637" s="9"/>
      <c r="NF637" s="9"/>
      <c r="NG637" s="9"/>
      <c r="NH637" s="9"/>
      <c r="NI637" s="9"/>
      <c r="NJ637" s="9"/>
      <c r="NK637" s="9"/>
      <c r="NL637" s="9"/>
      <c r="NM637" s="9"/>
      <c r="NN637" s="9"/>
      <c r="NO637" s="9"/>
      <c r="NP637" s="9"/>
      <c r="NQ637" s="9"/>
      <c r="NR637" s="9"/>
      <c r="NS637" s="9"/>
      <c r="NT637" s="9"/>
      <c r="NU637" s="9"/>
      <c r="NV637" s="9"/>
      <c r="NW637" s="9"/>
      <c r="NX637" s="9"/>
      <c r="NY637" s="9"/>
      <c r="NZ637" s="9"/>
      <c r="OA637" s="9"/>
      <c r="OB637" s="9"/>
      <c r="OC637" s="9"/>
      <c r="OD637" s="9"/>
      <c r="OE637" s="9"/>
      <c r="OF637" s="9"/>
      <c r="OG637" s="9"/>
      <c r="OH637" s="9"/>
      <c r="OI637" s="9"/>
      <c r="OJ637" s="9"/>
      <c r="OK637" s="9"/>
      <c r="OL637" s="9"/>
      <c r="OM637" s="9"/>
      <c r="ON637" s="9"/>
      <c r="OO637" s="9"/>
      <c r="OP637" s="9"/>
      <c r="OQ637" s="9"/>
      <c r="OR637" s="9"/>
      <c r="OS637" s="9"/>
      <c r="OT637" s="9"/>
      <c r="OU637" s="9"/>
      <c r="OV637" s="9"/>
      <c r="OW637" s="9"/>
      <c r="OX637" s="9"/>
      <c r="OY637" s="9"/>
      <c r="OZ637" s="9"/>
      <c r="PA637" s="9"/>
      <c r="PB637" s="9"/>
      <c r="PC637" s="9"/>
      <c r="PD637" s="9"/>
      <c r="PE637" s="9"/>
      <c r="PF637" s="9"/>
      <c r="PG637" s="9"/>
      <c r="PH637" s="9"/>
      <c r="PI637" s="9"/>
      <c r="PJ637" s="9"/>
      <c r="PK637" s="9"/>
      <c r="PL637" s="9"/>
      <c r="PM637" s="9"/>
      <c r="PN637" s="9"/>
      <c r="PO637" s="9"/>
      <c r="PP637" s="9"/>
      <c r="PQ637" s="9"/>
      <c r="PR637" s="9"/>
      <c r="PS637" s="9"/>
      <c r="PT637" s="9"/>
      <c r="PU637" s="9"/>
      <c r="PV637" s="9"/>
      <c r="PW637" s="9"/>
      <c r="PX637" s="9"/>
      <c r="PY637" s="9"/>
      <c r="PZ637" s="9"/>
      <c r="QA637" s="9"/>
      <c r="QB637" s="9"/>
      <c r="QC637" s="9"/>
      <c r="QD637" s="9"/>
      <c r="QE637" s="9"/>
      <c r="QF637" s="9"/>
      <c r="QG637" s="9"/>
      <c r="QH637" s="9"/>
      <c r="QI637" s="9"/>
      <c r="QJ637" s="9"/>
      <c r="QK637" s="9"/>
      <c r="QL637" s="9"/>
      <c r="QM637" s="9"/>
      <c r="QN637" s="9"/>
      <c r="QO637" s="9"/>
      <c r="QP637" s="9"/>
      <c r="QQ637" s="9"/>
      <c r="QR637" s="9"/>
      <c r="QS637" s="9"/>
      <c r="QT637" s="9"/>
      <c r="QU637" s="9"/>
      <c r="QV637" s="9"/>
      <c r="QW637" s="9"/>
      <c r="QX637" s="9"/>
      <c r="QY637" s="9"/>
      <c r="QZ637" s="9"/>
      <c r="RA637" s="9"/>
      <c r="RB637" s="9"/>
      <c r="RC637" s="9"/>
      <c r="RD637" s="9"/>
      <c r="RE637" s="9"/>
      <c r="RF637" s="9"/>
      <c r="RG637" s="9"/>
      <c r="RH637" s="9"/>
      <c r="RI637" s="9"/>
      <c r="RJ637" s="9"/>
      <c r="RK637" s="9"/>
      <c r="RL637" s="9"/>
      <c r="RM637" s="9"/>
      <c r="RN637" s="9"/>
      <c r="RO637" s="9"/>
      <c r="RP637" s="9"/>
      <c r="RQ637" s="9"/>
      <c r="RR637" s="9"/>
      <c r="RS637" s="9"/>
      <c r="RT637" s="9"/>
      <c r="RU637" s="9"/>
      <c r="RV637" s="9"/>
      <c r="RW637" s="9"/>
      <c r="RX637" s="9"/>
      <c r="RY637" s="9"/>
      <c r="RZ637" s="9"/>
      <c r="SA637" s="9"/>
      <c r="SB637" s="9"/>
      <c r="SC637" s="9"/>
      <c r="SD637" s="9"/>
      <c r="SE637" s="9"/>
      <c r="SF637" s="9"/>
      <c r="SG637" s="9"/>
      <c r="SH637" s="9"/>
      <c r="SI637" s="9"/>
      <c r="SJ637" s="9"/>
      <c r="SK637" s="9"/>
      <c r="SL637" s="9"/>
      <c r="SM637" s="9"/>
      <c r="SN637" s="9"/>
      <c r="SO637" s="9"/>
      <c r="SP637" s="9"/>
      <c r="SQ637" s="9"/>
      <c r="SR637" s="9"/>
      <c r="SS637" s="9"/>
      <c r="ST637" s="9"/>
      <c r="SU637" s="9"/>
      <c r="SV637" s="9"/>
      <c r="SW637" s="9"/>
      <c r="SX637" s="9"/>
      <c r="SY637" s="9"/>
      <c r="SZ637" s="9"/>
      <c r="TA637" s="9"/>
      <c r="TB637" s="9"/>
      <c r="TC637" s="9"/>
      <c r="TD637" s="9"/>
      <c r="TE637" s="9"/>
      <c r="TF637" s="9"/>
      <c r="TG637" s="9"/>
      <c r="TH637" s="9"/>
      <c r="TI637" s="9"/>
      <c r="TJ637" s="9"/>
      <c r="TK637" s="9"/>
      <c r="TL637" s="9"/>
      <c r="TM637" s="9"/>
      <c r="TN637" s="9"/>
      <c r="TO637" s="9"/>
      <c r="TP637" s="9"/>
      <c r="TQ637" s="9"/>
      <c r="TR637" s="9"/>
      <c r="TS637" s="9"/>
      <c r="TT637" s="9"/>
      <c r="TU637" s="9"/>
      <c r="TV637" s="9"/>
      <c r="TW637" s="9"/>
      <c r="TX637" s="9"/>
      <c r="TY637" s="9"/>
      <c r="TZ637" s="9"/>
      <c r="UA637" s="9"/>
      <c r="UB637" s="9"/>
      <c r="UC637" s="9"/>
      <c r="UD637" s="9"/>
      <c r="UE637" s="9"/>
      <c r="UF637" s="9"/>
      <c r="UG637" s="9"/>
      <c r="UH637" s="9"/>
      <c r="UI637" s="9"/>
      <c r="UJ637" s="9"/>
    </row>
    <row r="638">
      <c r="A638" s="8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  <c r="HZ638" s="9"/>
      <c r="IA638" s="9"/>
      <c r="IB638" s="9"/>
      <c r="IC638" s="9"/>
      <c r="ID638" s="9"/>
      <c r="IE638" s="9"/>
      <c r="IF638" s="9"/>
      <c r="IG638" s="9"/>
      <c r="IH638" s="9"/>
      <c r="II638" s="9"/>
      <c r="IJ638" s="9"/>
      <c r="IK638" s="9"/>
      <c r="IL638" s="9"/>
      <c r="IM638" s="9"/>
      <c r="IN638" s="9"/>
      <c r="IO638" s="9"/>
      <c r="IP638" s="9"/>
      <c r="IQ638" s="9"/>
      <c r="IR638" s="9"/>
      <c r="IS638" s="9"/>
      <c r="IT638" s="9"/>
      <c r="IU638" s="9"/>
      <c r="IV638" s="9"/>
      <c r="IW638" s="9"/>
      <c r="IX638" s="9"/>
      <c r="IY638" s="9"/>
      <c r="IZ638" s="9"/>
      <c r="JA638" s="9"/>
      <c r="JB638" s="9"/>
      <c r="JC638" s="9"/>
      <c r="JD638" s="9"/>
      <c r="JE638" s="9"/>
      <c r="JF638" s="9"/>
      <c r="JG638" s="9"/>
      <c r="JH638" s="9"/>
      <c r="JI638" s="9"/>
      <c r="JJ638" s="9"/>
      <c r="JK638" s="9"/>
      <c r="JL638" s="9"/>
      <c r="JM638" s="9"/>
      <c r="JN638" s="9"/>
      <c r="JO638" s="9"/>
      <c r="JP638" s="9"/>
      <c r="JQ638" s="9"/>
      <c r="JR638" s="9"/>
      <c r="JS638" s="9"/>
      <c r="JT638" s="9"/>
      <c r="JU638" s="9"/>
      <c r="JV638" s="9"/>
      <c r="JW638" s="9"/>
      <c r="JX638" s="9"/>
      <c r="JY638" s="9"/>
      <c r="JZ638" s="9"/>
      <c r="KA638" s="9"/>
      <c r="KB638" s="9"/>
      <c r="KC638" s="9"/>
      <c r="KD638" s="9"/>
      <c r="KE638" s="9"/>
      <c r="KF638" s="9"/>
      <c r="KG638" s="9"/>
      <c r="KH638" s="9"/>
      <c r="KI638" s="9"/>
      <c r="KJ638" s="9"/>
      <c r="KK638" s="9"/>
      <c r="KL638" s="9"/>
      <c r="KM638" s="9"/>
      <c r="KN638" s="9"/>
      <c r="KO638" s="9"/>
      <c r="KP638" s="9"/>
      <c r="KQ638" s="9"/>
      <c r="KR638" s="9"/>
      <c r="KS638" s="9"/>
      <c r="KT638" s="9"/>
      <c r="KU638" s="9"/>
      <c r="KV638" s="9"/>
      <c r="KW638" s="9"/>
      <c r="KX638" s="9"/>
      <c r="KY638" s="9"/>
      <c r="KZ638" s="9"/>
      <c r="LA638" s="9"/>
      <c r="LB638" s="9"/>
      <c r="LC638" s="9"/>
      <c r="LD638" s="9"/>
      <c r="LE638" s="9"/>
      <c r="LF638" s="9"/>
      <c r="LG638" s="9"/>
      <c r="LH638" s="9"/>
      <c r="LI638" s="9"/>
      <c r="LJ638" s="9"/>
      <c r="LK638" s="9"/>
      <c r="LL638" s="9"/>
      <c r="LM638" s="9"/>
      <c r="LN638" s="9"/>
      <c r="LO638" s="9"/>
      <c r="LP638" s="9"/>
      <c r="LQ638" s="9"/>
      <c r="LR638" s="9"/>
      <c r="LS638" s="9"/>
      <c r="LT638" s="9"/>
      <c r="LU638" s="9"/>
      <c r="LV638" s="9"/>
      <c r="LW638" s="9"/>
      <c r="LX638" s="9"/>
      <c r="LY638" s="9"/>
      <c r="LZ638" s="9"/>
      <c r="MA638" s="9"/>
      <c r="MB638" s="9"/>
      <c r="MC638" s="9"/>
      <c r="MD638" s="9"/>
      <c r="ME638" s="9"/>
      <c r="MF638" s="9"/>
      <c r="MG638" s="9"/>
      <c r="MH638" s="9"/>
      <c r="MI638" s="9"/>
      <c r="MJ638" s="9"/>
      <c r="MK638" s="9"/>
      <c r="ML638" s="9"/>
      <c r="MM638" s="9"/>
      <c r="MN638" s="9"/>
      <c r="MO638" s="9"/>
      <c r="MP638" s="9"/>
      <c r="MQ638" s="9"/>
      <c r="MR638" s="9"/>
      <c r="MS638" s="9"/>
      <c r="MT638" s="9"/>
      <c r="MU638" s="9"/>
      <c r="MV638" s="9"/>
      <c r="MW638" s="9"/>
      <c r="MX638" s="9"/>
      <c r="MY638" s="9"/>
      <c r="MZ638" s="9"/>
      <c r="NA638" s="9"/>
      <c r="NB638" s="9"/>
      <c r="NC638" s="9"/>
      <c r="ND638" s="9"/>
      <c r="NE638" s="9"/>
      <c r="NF638" s="9"/>
      <c r="NG638" s="9"/>
      <c r="NH638" s="9"/>
      <c r="NI638" s="9"/>
      <c r="NJ638" s="9"/>
      <c r="NK638" s="9"/>
      <c r="NL638" s="9"/>
      <c r="NM638" s="9"/>
      <c r="NN638" s="9"/>
      <c r="NO638" s="9"/>
      <c r="NP638" s="9"/>
      <c r="NQ638" s="9"/>
      <c r="NR638" s="9"/>
      <c r="NS638" s="9"/>
      <c r="NT638" s="9"/>
      <c r="NU638" s="9"/>
      <c r="NV638" s="9"/>
      <c r="NW638" s="9"/>
      <c r="NX638" s="9"/>
      <c r="NY638" s="9"/>
      <c r="NZ638" s="9"/>
      <c r="OA638" s="9"/>
      <c r="OB638" s="9"/>
      <c r="OC638" s="9"/>
      <c r="OD638" s="9"/>
      <c r="OE638" s="9"/>
      <c r="OF638" s="9"/>
      <c r="OG638" s="9"/>
      <c r="OH638" s="9"/>
      <c r="OI638" s="9"/>
      <c r="OJ638" s="9"/>
      <c r="OK638" s="9"/>
      <c r="OL638" s="9"/>
      <c r="OM638" s="9"/>
      <c r="ON638" s="9"/>
      <c r="OO638" s="9"/>
      <c r="OP638" s="9"/>
      <c r="OQ638" s="9"/>
      <c r="OR638" s="9"/>
      <c r="OS638" s="9"/>
      <c r="OT638" s="9"/>
      <c r="OU638" s="9"/>
      <c r="OV638" s="9"/>
      <c r="OW638" s="9"/>
      <c r="OX638" s="9"/>
      <c r="OY638" s="9"/>
      <c r="OZ638" s="9"/>
      <c r="PA638" s="9"/>
      <c r="PB638" s="9"/>
      <c r="PC638" s="9"/>
      <c r="PD638" s="9"/>
      <c r="PE638" s="9"/>
      <c r="PF638" s="9"/>
      <c r="PG638" s="9"/>
      <c r="PH638" s="9"/>
      <c r="PI638" s="9"/>
      <c r="PJ638" s="9"/>
      <c r="PK638" s="9"/>
      <c r="PL638" s="9"/>
      <c r="PM638" s="9"/>
      <c r="PN638" s="9"/>
      <c r="PO638" s="9"/>
      <c r="PP638" s="9"/>
      <c r="PQ638" s="9"/>
      <c r="PR638" s="9"/>
      <c r="PS638" s="9"/>
      <c r="PT638" s="9"/>
      <c r="PU638" s="9"/>
      <c r="PV638" s="9"/>
      <c r="PW638" s="9"/>
      <c r="PX638" s="9"/>
      <c r="PY638" s="9"/>
      <c r="PZ638" s="9"/>
      <c r="QA638" s="9"/>
      <c r="QB638" s="9"/>
      <c r="QC638" s="9"/>
      <c r="QD638" s="9"/>
      <c r="QE638" s="9"/>
      <c r="QF638" s="9"/>
      <c r="QG638" s="9"/>
      <c r="QH638" s="9"/>
      <c r="QI638" s="9"/>
      <c r="QJ638" s="9"/>
      <c r="QK638" s="9"/>
      <c r="QL638" s="9"/>
      <c r="QM638" s="9"/>
      <c r="QN638" s="9"/>
      <c r="QO638" s="9"/>
      <c r="QP638" s="9"/>
      <c r="QQ638" s="9"/>
      <c r="QR638" s="9"/>
      <c r="QS638" s="9"/>
      <c r="QT638" s="9"/>
      <c r="QU638" s="9"/>
      <c r="QV638" s="9"/>
      <c r="QW638" s="9"/>
      <c r="QX638" s="9"/>
      <c r="QY638" s="9"/>
      <c r="QZ638" s="9"/>
      <c r="RA638" s="9"/>
      <c r="RB638" s="9"/>
      <c r="RC638" s="9"/>
      <c r="RD638" s="9"/>
      <c r="RE638" s="9"/>
      <c r="RF638" s="9"/>
      <c r="RG638" s="9"/>
      <c r="RH638" s="9"/>
      <c r="RI638" s="9"/>
      <c r="RJ638" s="9"/>
      <c r="RK638" s="9"/>
      <c r="RL638" s="9"/>
      <c r="RM638" s="9"/>
      <c r="RN638" s="9"/>
      <c r="RO638" s="9"/>
      <c r="RP638" s="9"/>
      <c r="RQ638" s="9"/>
      <c r="RR638" s="9"/>
      <c r="RS638" s="9"/>
      <c r="RT638" s="9"/>
      <c r="RU638" s="9"/>
      <c r="RV638" s="9"/>
      <c r="RW638" s="9"/>
      <c r="RX638" s="9"/>
      <c r="RY638" s="9"/>
      <c r="RZ638" s="9"/>
      <c r="SA638" s="9"/>
      <c r="SB638" s="9"/>
      <c r="SC638" s="9"/>
      <c r="SD638" s="9"/>
      <c r="SE638" s="9"/>
      <c r="SF638" s="9"/>
      <c r="SG638" s="9"/>
      <c r="SH638" s="9"/>
      <c r="SI638" s="9"/>
      <c r="SJ638" s="9"/>
      <c r="SK638" s="9"/>
      <c r="SL638" s="9"/>
      <c r="SM638" s="9"/>
      <c r="SN638" s="9"/>
      <c r="SO638" s="9"/>
      <c r="SP638" s="9"/>
      <c r="SQ638" s="9"/>
      <c r="SR638" s="9"/>
      <c r="SS638" s="9"/>
      <c r="ST638" s="9"/>
      <c r="SU638" s="9"/>
      <c r="SV638" s="9"/>
      <c r="SW638" s="9"/>
      <c r="SX638" s="9"/>
      <c r="SY638" s="9"/>
      <c r="SZ638" s="9"/>
      <c r="TA638" s="9"/>
      <c r="TB638" s="9"/>
      <c r="TC638" s="9"/>
      <c r="TD638" s="9"/>
      <c r="TE638" s="9"/>
      <c r="TF638" s="9"/>
      <c r="TG638" s="9"/>
      <c r="TH638" s="9"/>
      <c r="TI638" s="9"/>
      <c r="TJ638" s="9"/>
      <c r="TK638" s="9"/>
      <c r="TL638" s="9"/>
      <c r="TM638" s="9"/>
      <c r="TN638" s="9"/>
      <c r="TO638" s="9"/>
      <c r="TP638" s="9"/>
      <c r="TQ638" s="9"/>
      <c r="TR638" s="9"/>
      <c r="TS638" s="9"/>
      <c r="TT638" s="9"/>
      <c r="TU638" s="9"/>
      <c r="TV638" s="9"/>
      <c r="TW638" s="9"/>
      <c r="TX638" s="9"/>
      <c r="TY638" s="9"/>
      <c r="TZ638" s="9"/>
      <c r="UA638" s="9"/>
      <c r="UB638" s="9"/>
      <c r="UC638" s="9"/>
      <c r="UD638" s="9"/>
      <c r="UE638" s="9"/>
      <c r="UF638" s="9"/>
      <c r="UG638" s="9"/>
      <c r="UH638" s="9"/>
      <c r="UI638" s="9"/>
      <c r="UJ638" s="9"/>
    </row>
    <row r="639">
      <c r="A639" s="8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  <c r="IC639" s="9"/>
      <c r="ID639" s="9"/>
      <c r="IE639" s="9"/>
      <c r="IF639" s="9"/>
      <c r="IG639" s="9"/>
      <c r="IH639" s="9"/>
      <c r="II639" s="9"/>
      <c r="IJ639" s="9"/>
      <c r="IK639" s="9"/>
      <c r="IL639" s="9"/>
      <c r="IM639" s="9"/>
      <c r="IN639" s="9"/>
      <c r="IO639" s="9"/>
      <c r="IP639" s="9"/>
      <c r="IQ639" s="9"/>
      <c r="IR639" s="9"/>
      <c r="IS639" s="9"/>
      <c r="IT639" s="9"/>
      <c r="IU639" s="9"/>
      <c r="IV639" s="9"/>
      <c r="IW639" s="9"/>
      <c r="IX639" s="9"/>
      <c r="IY639" s="9"/>
      <c r="IZ639" s="9"/>
      <c r="JA639" s="9"/>
      <c r="JB639" s="9"/>
      <c r="JC639" s="9"/>
      <c r="JD639" s="9"/>
      <c r="JE639" s="9"/>
      <c r="JF639" s="9"/>
      <c r="JG639" s="9"/>
      <c r="JH639" s="9"/>
      <c r="JI639" s="9"/>
      <c r="JJ639" s="9"/>
      <c r="JK639" s="9"/>
      <c r="JL639" s="9"/>
      <c r="JM639" s="9"/>
      <c r="JN639" s="9"/>
      <c r="JO639" s="9"/>
      <c r="JP639" s="9"/>
      <c r="JQ639" s="9"/>
      <c r="JR639" s="9"/>
      <c r="JS639" s="9"/>
      <c r="JT639" s="9"/>
      <c r="JU639" s="9"/>
      <c r="JV639" s="9"/>
      <c r="JW639" s="9"/>
      <c r="JX639" s="9"/>
      <c r="JY639" s="9"/>
      <c r="JZ639" s="9"/>
      <c r="KA639" s="9"/>
      <c r="KB639" s="9"/>
      <c r="KC639" s="9"/>
      <c r="KD639" s="9"/>
      <c r="KE639" s="9"/>
      <c r="KF639" s="9"/>
      <c r="KG639" s="9"/>
      <c r="KH639" s="9"/>
      <c r="KI639" s="9"/>
      <c r="KJ639" s="9"/>
      <c r="KK639" s="9"/>
      <c r="KL639" s="9"/>
      <c r="KM639" s="9"/>
      <c r="KN639" s="9"/>
      <c r="KO639" s="9"/>
      <c r="KP639" s="9"/>
      <c r="KQ639" s="9"/>
      <c r="KR639" s="9"/>
      <c r="KS639" s="9"/>
      <c r="KT639" s="9"/>
      <c r="KU639" s="9"/>
      <c r="KV639" s="9"/>
      <c r="KW639" s="9"/>
      <c r="KX639" s="9"/>
      <c r="KY639" s="9"/>
      <c r="KZ639" s="9"/>
      <c r="LA639" s="9"/>
      <c r="LB639" s="9"/>
      <c r="LC639" s="9"/>
      <c r="LD639" s="9"/>
      <c r="LE639" s="9"/>
      <c r="LF639" s="9"/>
      <c r="LG639" s="9"/>
      <c r="LH639" s="9"/>
      <c r="LI639" s="9"/>
      <c r="LJ639" s="9"/>
      <c r="LK639" s="9"/>
      <c r="LL639" s="9"/>
      <c r="LM639" s="9"/>
      <c r="LN639" s="9"/>
      <c r="LO639" s="9"/>
      <c r="LP639" s="9"/>
      <c r="LQ639" s="9"/>
      <c r="LR639" s="9"/>
      <c r="LS639" s="9"/>
      <c r="LT639" s="9"/>
      <c r="LU639" s="9"/>
      <c r="LV639" s="9"/>
      <c r="LW639" s="9"/>
      <c r="LX639" s="9"/>
      <c r="LY639" s="9"/>
      <c r="LZ639" s="9"/>
      <c r="MA639" s="9"/>
      <c r="MB639" s="9"/>
      <c r="MC639" s="9"/>
      <c r="MD639" s="9"/>
      <c r="ME639" s="9"/>
      <c r="MF639" s="9"/>
      <c r="MG639" s="9"/>
      <c r="MH639" s="9"/>
      <c r="MI639" s="9"/>
      <c r="MJ639" s="9"/>
      <c r="MK639" s="9"/>
      <c r="ML639" s="9"/>
      <c r="MM639" s="9"/>
      <c r="MN639" s="9"/>
      <c r="MO639" s="9"/>
      <c r="MP639" s="9"/>
      <c r="MQ639" s="9"/>
      <c r="MR639" s="9"/>
      <c r="MS639" s="9"/>
      <c r="MT639" s="9"/>
      <c r="MU639" s="9"/>
      <c r="MV639" s="9"/>
      <c r="MW639" s="9"/>
      <c r="MX639" s="9"/>
      <c r="MY639" s="9"/>
      <c r="MZ639" s="9"/>
      <c r="NA639" s="9"/>
      <c r="NB639" s="9"/>
      <c r="NC639" s="9"/>
      <c r="ND639" s="9"/>
      <c r="NE639" s="9"/>
      <c r="NF639" s="9"/>
      <c r="NG639" s="9"/>
      <c r="NH639" s="9"/>
      <c r="NI639" s="9"/>
      <c r="NJ639" s="9"/>
      <c r="NK639" s="9"/>
      <c r="NL639" s="9"/>
      <c r="NM639" s="9"/>
      <c r="NN639" s="9"/>
      <c r="NO639" s="9"/>
      <c r="NP639" s="9"/>
      <c r="NQ639" s="9"/>
      <c r="NR639" s="9"/>
      <c r="NS639" s="9"/>
      <c r="NT639" s="9"/>
      <c r="NU639" s="9"/>
      <c r="NV639" s="9"/>
      <c r="NW639" s="9"/>
      <c r="NX639" s="9"/>
      <c r="NY639" s="9"/>
      <c r="NZ639" s="9"/>
      <c r="OA639" s="9"/>
      <c r="OB639" s="9"/>
      <c r="OC639" s="9"/>
      <c r="OD639" s="9"/>
      <c r="OE639" s="9"/>
      <c r="OF639" s="9"/>
      <c r="OG639" s="9"/>
      <c r="OH639" s="9"/>
      <c r="OI639" s="9"/>
      <c r="OJ639" s="9"/>
      <c r="OK639" s="9"/>
      <c r="OL639" s="9"/>
      <c r="OM639" s="9"/>
      <c r="ON639" s="9"/>
      <c r="OO639" s="9"/>
      <c r="OP639" s="9"/>
      <c r="OQ639" s="9"/>
      <c r="OR639" s="9"/>
      <c r="OS639" s="9"/>
      <c r="OT639" s="9"/>
      <c r="OU639" s="9"/>
      <c r="OV639" s="9"/>
      <c r="OW639" s="9"/>
      <c r="OX639" s="9"/>
      <c r="OY639" s="9"/>
      <c r="OZ639" s="9"/>
      <c r="PA639" s="9"/>
      <c r="PB639" s="9"/>
      <c r="PC639" s="9"/>
      <c r="PD639" s="9"/>
      <c r="PE639" s="9"/>
      <c r="PF639" s="9"/>
      <c r="PG639" s="9"/>
      <c r="PH639" s="9"/>
      <c r="PI639" s="9"/>
      <c r="PJ639" s="9"/>
      <c r="PK639" s="9"/>
      <c r="PL639" s="9"/>
      <c r="PM639" s="9"/>
      <c r="PN639" s="9"/>
      <c r="PO639" s="9"/>
      <c r="PP639" s="9"/>
      <c r="PQ639" s="9"/>
      <c r="PR639" s="9"/>
      <c r="PS639" s="9"/>
      <c r="PT639" s="9"/>
      <c r="PU639" s="9"/>
      <c r="PV639" s="9"/>
      <c r="PW639" s="9"/>
      <c r="PX639" s="9"/>
      <c r="PY639" s="9"/>
      <c r="PZ639" s="9"/>
      <c r="QA639" s="9"/>
      <c r="QB639" s="9"/>
      <c r="QC639" s="9"/>
      <c r="QD639" s="9"/>
      <c r="QE639" s="9"/>
      <c r="QF639" s="9"/>
      <c r="QG639" s="9"/>
      <c r="QH639" s="9"/>
      <c r="QI639" s="9"/>
      <c r="QJ639" s="9"/>
      <c r="QK639" s="9"/>
      <c r="QL639" s="9"/>
      <c r="QM639" s="9"/>
      <c r="QN639" s="9"/>
      <c r="QO639" s="9"/>
      <c r="QP639" s="9"/>
      <c r="QQ639" s="9"/>
      <c r="QR639" s="9"/>
      <c r="QS639" s="9"/>
      <c r="QT639" s="9"/>
      <c r="QU639" s="9"/>
      <c r="QV639" s="9"/>
      <c r="QW639" s="9"/>
      <c r="QX639" s="9"/>
      <c r="QY639" s="9"/>
      <c r="QZ639" s="9"/>
      <c r="RA639" s="9"/>
      <c r="RB639" s="9"/>
      <c r="RC639" s="9"/>
      <c r="RD639" s="9"/>
      <c r="RE639" s="9"/>
      <c r="RF639" s="9"/>
      <c r="RG639" s="9"/>
      <c r="RH639" s="9"/>
      <c r="RI639" s="9"/>
      <c r="RJ639" s="9"/>
      <c r="RK639" s="9"/>
      <c r="RL639" s="9"/>
      <c r="RM639" s="9"/>
      <c r="RN639" s="9"/>
      <c r="RO639" s="9"/>
      <c r="RP639" s="9"/>
      <c r="RQ639" s="9"/>
      <c r="RR639" s="9"/>
      <c r="RS639" s="9"/>
      <c r="RT639" s="9"/>
      <c r="RU639" s="9"/>
      <c r="RV639" s="9"/>
      <c r="RW639" s="9"/>
      <c r="RX639" s="9"/>
      <c r="RY639" s="9"/>
      <c r="RZ639" s="9"/>
      <c r="SA639" s="9"/>
      <c r="SB639" s="9"/>
      <c r="SC639" s="9"/>
      <c r="SD639" s="9"/>
      <c r="SE639" s="9"/>
      <c r="SF639" s="9"/>
      <c r="SG639" s="9"/>
      <c r="SH639" s="9"/>
      <c r="SI639" s="9"/>
      <c r="SJ639" s="9"/>
      <c r="SK639" s="9"/>
      <c r="SL639" s="9"/>
      <c r="SM639" s="9"/>
      <c r="SN639" s="9"/>
      <c r="SO639" s="9"/>
      <c r="SP639" s="9"/>
      <c r="SQ639" s="9"/>
      <c r="SR639" s="9"/>
      <c r="SS639" s="9"/>
      <c r="ST639" s="9"/>
      <c r="SU639" s="9"/>
      <c r="SV639" s="9"/>
      <c r="SW639" s="9"/>
      <c r="SX639" s="9"/>
      <c r="SY639" s="9"/>
      <c r="SZ639" s="9"/>
      <c r="TA639" s="9"/>
      <c r="TB639" s="9"/>
      <c r="TC639" s="9"/>
      <c r="TD639" s="9"/>
      <c r="TE639" s="9"/>
      <c r="TF639" s="9"/>
      <c r="TG639" s="9"/>
      <c r="TH639" s="9"/>
      <c r="TI639" s="9"/>
      <c r="TJ639" s="9"/>
      <c r="TK639" s="9"/>
      <c r="TL639" s="9"/>
      <c r="TM639" s="9"/>
      <c r="TN639" s="9"/>
      <c r="TO639" s="9"/>
      <c r="TP639" s="9"/>
      <c r="TQ639" s="9"/>
      <c r="TR639" s="9"/>
      <c r="TS639" s="9"/>
      <c r="TT639" s="9"/>
      <c r="TU639" s="9"/>
      <c r="TV639" s="9"/>
      <c r="TW639" s="9"/>
      <c r="TX639" s="9"/>
      <c r="TY639" s="9"/>
      <c r="TZ639" s="9"/>
      <c r="UA639" s="9"/>
      <c r="UB639" s="9"/>
      <c r="UC639" s="9"/>
      <c r="UD639" s="9"/>
      <c r="UE639" s="9"/>
      <c r="UF639" s="9"/>
      <c r="UG639" s="9"/>
      <c r="UH639" s="9"/>
      <c r="UI639" s="9"/>
      <c r="UJ639" s="9"/>
    </row>
    <row r="640">
      <c r="A640" s="8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  <c r="HZ640" s="9"/>
      <c r="IA640" s="9"/>
      <c r="IB640" s="9"/>
      <c r="IC640" s="9"/>
      <c r="ID640" s="9"/>
      <c r="IE640" s="9"/>
      <c r="IF640" s="9"/>
      <c r="IG640" s="9"/>
      <c r="IH640" s="9"/>
      <c r="II640" s="9"/>
      <c r="IJ640" s="9"/>
      <c r="IK640" s="9"/>
      <c r="IL640" s="9"/>
      <c r="IM640" s="9"/>
      <c r="IN640" s="9"/>
      <c r="IO640" s="9"/>
      <c r="IP640" s="9"/>
      <c r="IQ640" s="9"/>
      <c r="IR640" s="9"/>
      <c r="IS640" s="9"/>
      <c r="IT640" s="9"/>
      <c r="IU640" s="9"/>
      <c r="IV640" s="9"/>
      <c r="IW640" s="9"/>
      <c r="IX640" s="9"/>
      <c r="IY640" s="9"/>
      <c r="IZ640" s="9"/>
      <c r="JA640" s="9"/>
      <c r="JB640" s="9"/>
      <c r="JC640" s="9"/>
      <c r="JD640" s="9"/>
      <c r="JE640" s="9"/>
      <c r="JF640" s="9"/>
      <c r="JG640" s="9"/>
      <c r="JH640" s="9"/>
      <c r="JI640" s="9"/>
      <c r="JJ640" s="9"/>
      <c r="JK640" s="9"/>
      <c r="JL640" s="9"/>
      <c r="JM640" s="9"/>
      <c r="JN640" s="9"/>
      <c r="JO640" s="9"/>
      <c r="JP640" s="9"/>
      <c r="JQ640" s="9"/>
      <c r="JR640" s="9"/>
      <c r="JS640" s="9"/>
      <c r="JT640" s="9"/>
      <c r="JU640" s="9"/>
      <c r="JV640" s="9"/>
      <c r="JW640" s="9"/>
      <c r="JX640" s="9"/>
      <c r="JY640" s="9"/>
      <c r="JZ640" s="9"/>
      <c r="KA640" s="9"/>
      <c r="KB640" s="9"/>
      <c r="KC640" s="9"/>
      <c r="KD640" s="9"/>
      <c r="KE640" s="9"/>
      <c r="KF640" s="9"/>
      <c r="KG640" s="9"/>
      <c r="KH640" s="9"/>
      <c r="KI640" s="9"/>
      <c r="KJ640" s="9"/>
      <c r="KK640" s="9"/>
      <c r="KL640" s="9"/>
      <c r="KM640" s="9"/>
      <c r="KN640" s="9"/>
      <c r="KO640" s="9"/>
      <c r="KP640" s="9"/>
      <c r="KQ640" s="9"/>
      <c r="KR640" s="9"/>
      <c r="KS640" s="9"/>
      <c r="KT640" s="9"/>
      <c r="KU640" s="9"/>
      <c r="KV640" s="9"/>
      <c r="KW640" s="9"/>
      <c r="KX640" s="9"/>
      <c r="KY640" s="9"/>
      <c r="KZ640" s="9"/>
      <c r="LA640" s="9"/>
      <c r="LB640" s="9"/>
      <c r="LC640" s="9"/>
      <c r="LD640" s="9"/>
      <c r="LE640" s="9"/>
      <c r="LF640" s="9"/>
      <c r="LG640" s="9"/>
      <c r="LH640" s="9"/>
      <c r="LI640" s="9"/>
      <c r="LJ640" s="9"/>
      <c r="LK640" s="9"/>
      <c r="LL640" s="9"/>
      <c r="LM640" s="9"/>
      <c r="LN640" s="9"/>
      <c r="LO640" s="9"/>
      <c r="LP640" s="9"/>
      <c r="LQ640" s="9"/>
      <c r="LR640" s="9"/>
      <c r="LS640" s="9"/>
      <c r="LT640" s="9"/>
      <c r="LU640" s="9"/>
      <c r="LV640" s="9"/>
      <c r="LW640" s="9"/>
      <c r="LX640" s="9"/>
      <c r="LY640" s="9"/>
      <c r="LZ640" s="9"/>
      <c r="MA640" s="9"/>
      <c r="MB640" s="9"/>
      <c r="MC640" s="9"/>
      <c r="MD640" s="9"/>
      <c r="ME640" s="9"/>
      <c r="MF640" s="9"/>
      <c r="MG640" s="9"/>
      <c r="MH640" s="9"/>
      <c r="MI640" s="9"/>
      <c r="MJ640" s="9"/>
      <c r="MK640" s="9"/>
      <c r="ML640" s="9"/>
      <c r="MM640" s="9"/>
      <c r="MN640" s="9"/>
      <c r="MO640" s="9"/>
      <c r="MP640" s="9"/>
      <c r="MQ640" s="9"/>
      <c r="MR640" s="9"/>
      <c r="MS640" s="9"/>
      <c r="MT640" s="9"/>
      <c r="MU640" s="9"/>
      <c r="MV640" s="9"/>
      <c r="MW640" s="9"/>
      <c r="MX640" s="9"/>
      <c r="MY640" s="9"/>
      <c r="MZ640" s="9"/>
      <c r="NA640" s="9"/>
      <c r="NB640" s="9"/>
      <c r="NC640" s="9"/>
      <c r="ND640" s="9"/>
      <c r="NE640" s="9"/>
      <c r="NF640" s="9"/>
      <c r="NG640" s="9"/>
      <c r="NH640" s="9"/>
      <c r="NI640" s="9"/>
      <c r="NJ640" s="9"/>
      <c r="NK640" s="9"/>
      <c r="NL640" s="9"/>
      <c r="NM640" s="9"/>
      <c r="NN640" s="9"/>
      <c r="NO640" s="9"/>
      <c r="NP640" s="9"/>
      <c r="NQ640" s="9"/>
      <c r="NR640" s="9"/>
      <c r="NS640" s="9"/>
      <c r="NT640" s="9"/>
      <c r="NU640" s="9"/>
      <c r="NV640" s="9"/>
      <c r="NW640" s="9"/>
      <c r="NX640" s="9"/>
      <c r="NY640" s="9"/>
      <c r="NZ640" s="9"/>
      <c r="OA640" s="9"/>
      <c r="OB640" s="9"/>
      <c r="OC640" s="9"/>
      <c r="OD640" s="9"/>
      <c r="OE640" s="9"/>
      <c r="OF640" s="9"/>
      <c r="OG640" s="9"/>
      <c r="OH640" s="9"/>
      <c r="OI640" s="9"/>
      <c r="OJ640" s="9"/>
      <c r="OK640" s="9"/>
      <c r="OL640" s="9"/>
      <c r="OM640" s="9"/>
      <c r="ON640" s="9"/>
      <c r="OO640" s="9"/>
      <c r="OP640" s="9"/>
      <c r="OQ640" s="9"/>
      <c r="OR640" s="9"/>
      <c r="OS640" s="9"/>
      <c r="OT640" s="9"/>
      <c r="OU640" s="9"/>
      <c r="OV640" s="9"/>
      <c r="OW640" s="9"/>
      <c r="OX640" s="9"/>
      <c r="OY640" s="9"/>
      <c r="OZ640" s="9"/>
      <c r="PA640" s="9"/>
      <c r="PB640" s="9"/>
      <c r="PC640" s="9"/>
      <c r="PD640" s="9"/>
      <c r="PE640" s="9"/>
      <c r="PF640" s="9"/>
      <c r="PG640" s="9"/>
      <c r="PH640" s="9"/>
      <c r="PI640" s="9"/>
      <c r="PJ640" s="9"/>
      <c r="PK640" s="9"/>
      <c r="PL640" s="9"/>
      <c r="PM640" s="9"/>
      <c r="PN640" s="9"/>
      <c r="PO640" s="9"/>
      <c r="PP640" s="9"/>
      <c r="PQ640" s="9"/>
      <c r="PR640" s="9"/>
      <c r="PS640" s="9"/>
      <c r="PT640" s="9"/>
      <c r="PU640" s="9"/>
      <c r="PV640" s="9"/>
      <c r="PW640" s="9"/>
      <c r="PX640" s="9"/>
      <c r="PY640" s="9"/>
      <c r="PZ640" s="9"/>
      <c r="QA640" s="9"/>
      <c r="QB640" s="9"/>
      <c r="QC640" s="9"/>
      <c r="QD640" s="9"/>
      <c r="QE640" s="9"/>
      <c r="QF640" s="9"/>
      <c r="QG640" s="9"/>
      <c r="QH640" s="9"/>
      <c r="QI640" s="9"/>
      <c r="QJ640" s="9"/>
      <c r="QK640" s="9"/>
      <c r="QL640" s="9"/>
      <c r="QM640" s="9"/>
      <c r="QN640" s="9"/>
      <c r="QO640" s="9"/>
      <c r="QP640" s="9"/>
      <c r="QQ640" s="9"/>
      <c r="QR640" s="9"/>
      <c r="QS640" s="9"/>
      <c r="QT640" s="9"/>
      <c r="QU640" s="9"/>
      <c r="QV640" s="9"/>
      <c r="QW640" s="9"/>
      <c r="QX640" s="9"/>
      <c r="QY640" s="9"/>
      <c r="QZ640" s="9"/>
      <c r="RA640" s="9"/>
      <c r="RB640" s="9"/>
      <c r="RC640" s="9"/>
      <c r="RD640" s="9"/>
      <c r="RE640" s="9"/>
      <c r="RF640" s="9"/>
      <c r="RG640" s="9"/>
      <c r="RH640" s="9"/>
      <c r="RI640" s="9"/>
      <c r="RJ640" s="9"/>
      <c r="RK640" s="9"/>
      <c r="RL640" s="9"/>
      <c r="RM640" s="9"/>
      <c r="RN640" s="9"/>
      <c r="RO640" s="9"/>
      <c r="RP640" s="9"/>
      <c r="RQ640" s="9"/>
      <c r="RR640" s="9"/>
      <c r="RS640" s="9"/>
      <c r="RT640" s="9"/>
      <c r="RU640" s="9"/>
      <c r="RV640" s="9"/>
      <c r="RW640" s="9"/>
      <c r="RX640" s="9"/>
      <c r="RY640" s="9"/>
      <c r="RZ640" s="9"/>
      <c r="SA640" s="9"/>
      <c r="SB640" s="9"/>
      <c r="SC640" s="9"/>
      <c r="SD640" s="9"/>
      <c r="SE640" s="9"/>
      <c r="SF640" s="9"/>
      <c r="SG640" s="9"/>
      <c r="SH640" s="9"/>
      <c r="SI640" s="9"/>
      <c r="SJ640" s="9"/>
      <c r="SK640" s="9"/>
      <c r="SL640" s="9"/>
      <c r="SM640" s="9"/>
      <c r="SN640" s="9"/>
      <c r="SO640" s="9"/>
      <c r="SP640" s="9"/>
      <c r="SQ640" s="9"/>
      <c r="SR640" s="9"/>
      <c r="SS640" s="9"/>
      <c r="ST640" s="9"/>
      <c r="SU640" s="9"/>
      <c r="SV640" s="9"/>
      <c r="SW640" s="9"/>
      <c r="SX640" s="9"/>
      <c r="SY640" s="9"/>
      <c r="SZ640" s="9"/>
      <c r="TA640" s="9"/>
      <c r="TB640" s="9"/>
      <c r="TC640" s="9"/>
      <c r="TD640" s="9"/>
      <c r="TE640" s="9"/>
      <c r="TF640" s="9"/>
      <c r="TG640" s="9"/>
      <c r="TH640" s="9"/>
      <c r="TI640" s="9"/>
      <c r="TJ640" s="9"/>
      <c r="TK640" s="9"/>
      <c r="TL640" s="9"/>
      <c r="TM640" s="9"/>
      <c r="TN640" s="9"/>
      <c r="TO640" s="9"/>
      <c r="TP640" s="9"/>
      <c r="TQ640" s="9"/>
      <c r="TR640" s="9"/>
      <c r="TS640" s="9"/>
      <c r="TT640" s="9"/>
      <c r="TU640" s="9"/>
      <c r="TV640" s="9"/>
      <c r="TW640" s="9"/>
      <c r="TX640" s="9"/>
      <c r="TY640" s="9"/>
      <c r="TZ640" s="9"/>
      <c r="UA640" s="9"/>
      <c r="UB640" s="9"/>
      <c r="UC640" s="9"/>
      <c r="UD640" s="9"/>
      <c r="UE640" s="9"/>
      <c r="UF640" s="9"/>
      <c r="UG640" s="9"/>
      <c r="UH640" s="9"/>
      <c r="UI640" s="9"/>
      <c r="UJ640" s="9"/>
    </row>
    <row r="641">
      <c r="A641" s="8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  <c r="IC641" s="9"/>
      <c r="ID641" s="9"/>
      <c r="IE641" s="9"/>
      <c r="IF641" s="9"/>
      <c r="IG641" s="9"/>
      <c r="IH641" s="9"/>
      <c r="II641" s="9"/>
      <c r="IJ641" s="9"/>
      <c r="IK641" s="9"/>
      <c r="IL641" s="9"/>
      <c r="IM641" s="9"/>
      <c r="IN641" s="9"/>
      <c r="IO641" s="9"/>
      <c r="IP641" s="9"/>
      <c r="IQ641" s="9"/>
      <c r="IR641" s="9"/>
      <c r="IS641" s="9"/>
      <c r="IT641" s="9"/>
      <c r="IU641" s="9"/>
      <c r="IV641" s="9"/>
      <c r="IW641" s="9"/>
      <c r="IX641" s="9"/>
      <c r="IY641" s="9"/>
      <c r="IZ641" s="9"/>
      <c r="JA641" s="9"/>
      <c r="JB641" s="9"/>
      <c r="JC641" s="9"/>
      <c r="JD641" s="9"/>
      <c r="JE641" s="9"/>
      <c r="JF641" s="9"/>
      <c r="JG641" s="9"/>
      <c r="JH641" s="9"/>
      <c r="JI641" s="9"/>
      <c r="JJ641" s="9"/>
      <c r="JK641" s="9"/>
      <c r="JL641" s="9"/>
      <c r="JM641" s="9"/>
      <c r="JN641" s="9"/>
      <c r="JO641" s="9"/>
      <c r="JP641" s="9"/>
      <c r="JQ641" s="9"/>
      <c r="JR641" s="9"/>
      <c r="JS641" s="9"/>
      <c r="JT641" s="9"/>
      <c r="JU641" s="9"/>
      <c r="JV641" s="9"/>
      <c r="JW641" s="9"/>
      <c r="JX641" s="9"/>
      <c r="JY641" s="9"/>
      <c r="JZ641" s="9"/>
      <c r="KA641" s="9"/>
      <c r="KB641" s="9"/>
      <c r="KC641" s="9"/>
      <c r="KD641" s="9"/>
      <c r="KE641" s="9"/>
      <c r="KF641" s="9"/>
      <c r="KG641" s="9"/>
      <c r="KH641" s="9"/>
      <c r="KI641" s="9"/>
      <c r="KJ641" s="9"/>
      <c r="KK641" s="9"/>
      <c r="KL641" s="9"/>
      <c r="KM641" s="9"/>
      <c r="KN641" s="9"/>
      <c r="KO641" s="9"/>
      <c r="KP641" s="9"/>
      <c r="KQ641" s="9"/>
      <c r="KR641" s="9"/>
      <c r="KS641" s="9"/>
      <c r="KT641" s="9"/>
      <c r="KU641" s="9"/>
      <c r="KV641" s="9"/>
      <c r="KW641" s="9"/>
      <c r="KX641" s="9"/>
      <c r="KY641" s="9"/>
      <c r="KZ641" s="9"/>
      <c r="LA641" s="9"/>
      <c r="LB641" s="9"/>
      <c r="LC641" s="9"/>
      <c r="LD641" s="9"/>
      <c r="LE641" s="9"/>
      <c r="LF641" s="9"/>
      <c r="LG641" s="9"/>
      <c r="LH641" s="9"/>
      <c r="LI641" s="9"/>
      <c r="LJ641" s="9"/>
      <c r="LK641" s="9"/>
      <c r="LL641" s="9"/>
      <c r="LM641" s="9"/>
      <c r="LN641" s="9"/>
      <c r="LO641" s="9"/>
      <c r="LP641" s="9"/>
      <c r="LQ641" s="9"/>
      <c r="LR641" s="9"/>
      <c r="LS641" s="9"/>
      <c r="LT641" s="9"/>
      <c r="LU641" s="9"/>
      <c r="LV641" s="9"/>
      <c r="LW641" s="9"/>
      <c r="LX641" s="9"/>
      <c r="LY641" s="9"/>
      <c r="LZ641" s="9"/>
      <c r="MA641" s="9"/>
      <c r="MB641" s="9"/>
      <c r="MC641" s="9"/>
      <c r="MD641" s="9"/>
      <c r="ME641" s="9"/>
      <c r="MF641" s="9"/>
      <c r="MG641" s="9"/>
      <c r="MH641" s="9"/>
      <c r="MI641" s="9"/>
      <c r="MJ641" s="9"/>
      <c r="MK641" s="9"/>
      <c r="ML641" s="9"/>
      <c r="MM641" s="9"/>
      <c r="MN641" s="9"/>
      <c r="MO641" s="9"/>
      <c r="MP641" s="9"/>
      <c r="MQ641" s="9"/>
      <c r="MR641" s="9"/>
      <c r="MS641" s="9"/>
      <c r="MT641" s="9"/>
      <c r="MU641" s="9"/>
      <c r="MV641" s="9"/>
      <c r="MW641" s="9"/>
      <c r="MX641" s="9"/>
      <c r="MY641" s="9"/>
      <c r="MZ641" s="9"/>
      <c r="NA641" s="9"/>
      <c r="NB641" s="9"/>
      <c r="NC641" s="9"/>
      <c r="ND641" s="9"/>
      <c r="NE641" s="9"/>
      <c r="NF641" s="9"/>
      <c r="NG641" s="9"/>
      <c r="NH641" s="9"/>
      <c r="NI641" s="9"/>
      <c r="NJ641" s="9"/>
      <c r="NK641" s="9"/>
      <c r="NL641" s="9"/>
      <c r="NM641" s="9"/>
      <c r="NN641" s="9"/>
      <c r="NO641" s="9"/>
      <c r="NP641" s="9"/>
      <c r="NQ641" s="9"/>
      <c r="NR641" s="9"/>
      <c r="NS641" s="9"/>
      <c r="NT641" s="9"/>
      <c r="NU641" s="9"/>
      <c r="NV641" s="9"/>
      <c r="NW641" s="9"/>
      <c r="NX641" s="9"/>
      <c r="NY641" s="9"/>
      <c r="NZ641" s="9"/>
      <c r="OA641" s="9"/>
      <c r="OB641" s="9"/>
      <c r="OC641" s="9"/>
      <c r="OD641" s="9"/>
      <c r="OE641" s="9"/>
      <c r="OF641" s="9"/>
      <c r="OG641" s="9"/>
      <c r="OH641" s="9"/>
      <c r="OI641" s="9"/>
      <c r="OJ641" s="9"/>
      <c r="OK641" s="9"/>
      <c r="OL641" s="9"/>
      <c r="OM641" s="9"/>
      <c r="ON641" s="9"/>
      <c r="OO641" s="9"/>
      <c r="OP641" s="9"/>
      <c r="OQ641" s="9"/>
      <c r="OR641" s="9"/>
      <c r="OS641" s="9"/>
      <c r="OT641" s="9"/>
      <c r="OU641" s="9"/>
      <c r="OV641" s="9"/>
      <c r="OW641" s="9"/>
      <c r="OX641" s="9"/>
      <c r="OY641" s="9"/>
      <c r="OZ641" s="9"/>
      <c r="PA641" s="9"/>
      <c r="PB641" s="9"/>
      <c r="PC641" s="9"/>
      <c r="PD641" s="9"/>
      <c r="PE641" s="9"/>
      <c r="PF641" s="9"/>
      <c r="PG641" s="9"/>
      <c r="PH641" s="9"/>
      <c r="PI641" s="9"/>
      <c r="PJ641" s="9"/>
      <c r="PK641" s="9"/>
      <c r="PL641" s="9"/>
      <c r="PM641" s="9"/>
      <c r="PN641" s="9"/>
      <c r="PO641" s="9"/>
      <c r="PP641" s="9"/>
      <c r="PQ641" s="9"/>
      <c r="PR641" s="9"/>
      <c r="PS641" s="9"/>
      <c r="PT641" s="9"/>
      <c r="PU641" s="9"/>
      <c r="PV641" s="9"/>
      <c r="PW641" s="9"/>
      <c r="PX641" s="9"/>
      <c r="PY641" s="9"/>
      <c r="PZ641" s="9"/>
      <c r="QA641" s="9"/>
      <c r="QB641" s="9"/>
      <c r="QC641" s="9"/>
      <c r="QD641" s="9"/>
      <c r="QE641" s="9"/>
      <c r="QF641" s="9"/>
      <c r="QG641" s="9"/>
      <c r="QH641" s="9"/>
      <c r="QI641" s="9"/>
      <c r="QJ641" s="9"/>
      <c r="QK641" s="9"/>
      <c r="QL641" s="9"/>
      <c r="QM641" s="9"/>
      <c r="QN641" s="9"/>
      <c r="QO641" s="9"/>
      <c r="QP641" s="9"/>
      <c r="QQ641" s="9"/>
      <c r="QR641" s="9"/>
      <c r="QS641" s="9"/>
      <c r="QT641" s="9"/>
      <c r="QU641" s="9"/>
      <c r="QV641" s="9"/>
      <c r="QW641" s="9"/>
      <c r="QX641" s="9"/>
      <c r="QY641" s="9"/>
      <c r="QZ641" s="9"/>
      <c r="RA641" s="9"/>
      <c r="RB641" s="9"/>
      <c r="RC641" s="9"/>
      <c r="RD641" s="9"/>
      <c r="RE641" s="9"/>
      <c r="RF641" s="9"/>
      <c r="RG641" s="9"/>
      <c r="RH641" s="9"/>
      <c r="RI641" s="9"/>
      <c r="RJ641" s="9"/>
      <c r="RK641" s="9"/>
      <c r="RL641" s="9"/>
      <c r="RM641" s="9"/>
      <c r="RN641" s="9"/>
      <c r="RO641" s="9"/>
      <c r="RP641" s="9"/>
      <c r="RQ641" s="9"/>
      <c r="RR641" s="9"/>
      <c r="RS641" s="9"/>
      <c r="RT641" s="9"/>
      <c r="RU641" s="9"/>
      <c r="RV641" s="9"/>
      <c r="RW641" s="9"/>
      <c r="RX641" s="9"/>
      <c r="RY641" s="9"/>
      <c r="RZ641" s="9"/>
      <c r="SA641" s="9"/>
      <c r="SB641" s="9"/>
      <c r="SC641" s="9"/>
      <c r="SD641" s="9"/>
      <c r="SE641" s="9"/>
      <c r="SF641" s="9"/>
      <c r="SG641" s="9"/>
      <c r="SH641" s="9"/>
      <c r="SI641" s="9"/>
      <c r="SJ641" s="9"/>
      <c r="SK641" s="9"/>
      <c r="SL641" s="9"/>
      <c r="SM641" s="9"/>
      <c r="SN641" s="9"/>
      <c r="SO641" s="9"/>
      <c r="SP641" s="9"/>
      <c r="SQ641" s="9"/>
      <c r="SR641" s="9"/>
      <c r="SS641" s="9"/>
      <c r="ST641" s="9"/>
      <c r="SU641" s="9"/>
      <c r="SV641" s="9"/>
      <c r="SW641" s="9"/>
      <c r="SX641" s="9"/>
      <c r="SY641" s="9"/>
      <c r="SZ641" s="9"/>
      <c r="TA641" s="9"/>
      <c r="TB641" s="9"/>
      <c r="TC641" s="9"/>
      <c r="TD641" s="9"/>
      <c r="TE641" s="9"/>
      <c r="TF641" s="9"/>
      <c r="TG641" s="9"/>
      <c r="TH641" s="9"/>
      <c r="TI641" s="9"/>
      <c r="TJ641" s="9"/>
      <c r="TK641" s="9"/>
      <c r="TL641" s="9"/>
      <c r="TM641" s="9"/>
      <c r="TN641" s="9"/>
      <c r="TO641" s="9"/>
      <c r="TP641" s="9"/>
      <c r="TQ641" s="9"/>
      <c r="TR641" s="9"/>
      <c r="TS641" s="9"/>
      <c r="TT641" s="9"/>
      <c r="TU641" s="9"/>
      <c r="TV641" s="9"/>
      <c r="TW641" s="9"/>
      <c r="TX641" s="9"/>
      <c r="TY641" s="9"/>
      <c r="TZ641" s="9"/>
      <c r="UA641" s="9"/>
      <c r="UB641" s="9"/>
      <c r="UC641" s="9"/>
      <c r="UD641" s="9"/>
      <c r="UE641" s="9"/>
      <c r="UF641" s="9"/>
      <c r="UG641" s="9"/>
      <c r="UH641" s="9"/>
      <c r="UI641" s="9"/>
      <c r="UJ641" s="9"/>
    </row>
    <row r="642">
      <c r="A642" s="8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9"/>
      <c r="IA642" s="9"/>
      <c r="IB642" s="9"/>
      <c r="IC642" s="9"/>
      <c r="ID642" s="9"/>
      <c r="IE642" s="9"/>
      <c r="IF642" s="9"/>
      <c r="IG642" s="9"/>
      <c r="IH642" s="9"/>
      <c r="II642" s="9"/>
      <c r="IJ642" s="9"/>
      <c r="IK642" s="9"/>
      <c r="IL642" s="9"/>
      <c r="IM642" s="9"/>
      <c r="IN642" s="9"/>
      <c r="IO642" s="9"/>
      <c r="IP642" s="9"/>
      <c r="IQ642" s="9"/>
      <c r="IR642" s="9"/>
      <c r="IS642" s="9"/>
      <c r="IT642" s="9"/>
      <c r="IU642" s="9"/>
      <c r="IV642" s="9"/>
      <c r="IW642" s="9"/>
      <c r="IX642" s="9"/>
      <c r="IY642" s="9"/>
      <c r="IZ642" s="9"/>
      <c r="JA642" s="9"/>
      <c r="JB642" s="9"/>
      <c r="JC642" s="9"/>
      <c r="JD642" s="9"/>
      <c r="JE642" s="9"/>
      <c r="JF642" s="9"/>
      <c r="JG642" s="9"/>
      <c r="JH642" s="9"/>
      <c r="JI642" s="9"/>
      <c r="JJ642" s="9"/>
      <c r="JK642" s="9"/>
      <c r="JL642" s="9"/>
      <c r="JM642" s="9"/>
      <c r="JN642" s="9"/>
      <c r="JO642" s="9"/>
      <c r="JP642" s="9"/>
      <c r="JQ642" s="9"/>
      <c r="JR642" s="9"/>
      <c r="JS642" s="9"/>
      <c r="JT642" s="9"/>
      <c r="JU642" s="9"/>
      <c r="JV642" s="9"/>
      <c r="JW642" s="9"/>
      <c r="JX642" s="9"/>
      <c r="JY642" s="9"/>
      <c r="JZ642" s="9"/>
      <c r="KA642" s="9"/>
      <c r="KB642" s="9"/>
      <c r="KC642" s="9"/>
      <c r="KD642" s="9"/>
      <c r="KE642" s="9"/>
      <c r="KF642" s="9"/>
      <c r="KG642" s="9"/>
      <c r="KH642" s="9"/>
      <c r="KI642" s="9"/>
      <c r="KJ642" s="9"/>
      <c r="KK642" s="9"/>
      <c r="KL642" s="9"/>
      <c r="KM642" s="9"/>
      <c r="KN642" s="9"/>
      <c r="KO642" s="9"/>
      <c r="KP642" s="9"/>
      <c r="KQ642" s="9"/>
      <c r="KR642" s="9"/>
      <c r="KS642" s="9"/>
      <c r="KT642" s="9"/>
      <c r="KU642" s="9"/>
      <c r="KV642" s="9"/>
      <c r="KW642" s="9"/>
      <c r="KX642" s="9"/>
      <c r="KY642" s="9"/>
      <c r="KZ642" s="9"/>
      <c r="LA642" s="9"/>
      <c r="LB642" s="9"/>
      <c r="LC642" s="9"/>
      <c r="LD642" s="9"/>
      <c r="LE642" s="9"/>
      <c r="LF642" s="9"/>
      <c r="LG642" s="9"/>
      <c r="LH642" s="9"/>
      <c r="LI642" s="9"/>
      <c r="LJ642" s="9"/>
      <c r="LK642" s="9"/>
      <c r="LL642" s="9"/>
      <c r="LM642" s="9"/>
      <c r="LN642" s="9"/>
      <c r="LO642" s="9"/>
      <c r="LP642" s="9"/>
      <c r="LQ642" s="9"/>
      <c r="LR642" s="9"/>
      <c r="LS642" s="9"/>
      <c r="LT642" s="9"/>
      <c r="LU642" s="9"/>
      <c r="LV642" s="9"/>
      <c r="LW642" s="9"/>
      <c r="LX642" s="9"/>
      <c r="LY642" s="9"/>
      <c r="LZ642" s="9"/>
      <c r="MA642" s="9"/>
      <c r="MB642" s="9"/>
      <c r="MC642" s="9"/>
      <c r="MD642" s="9"/>
      <c r="ME642" s="9"/>
      <c r="MF642" s="9"/>
      <c r="MG642" s="9"/>
      <c r="MH642" s="9"/>
      <c r="MI642" s="9"/>
      <c r="MJ642" s="9"/>
      <c r="MK642" s="9"/>
      <c r="ML642" s="9"/>
      <c r="MM642" s="9"/>
      <c r="MN642" s="9"/>
      <c r="MO642" s="9"/>
      <c r="MP642" s="9"/>
      <c r="MQ642" s="9"/>
      <c r="MR642" s="9"/>
      <c r="MS642" s="9"/>
      <c r="MT642" s="9"/>
      <c r="MU642" s="9"/>
      <c r="MV642" s="9"/>
      <c r="MW642" s="9"/>
      <c r="MX642" s="9"/>
      <c r="MY642" s="9"/>
      <c r="MZ642" s="9"/>
      <c r="NA642" s="9"/>
      <c r="NB642" s="9"/>
      <c r="NC642" s="9"/>
      <c r="ND642" s="9"/>
      <c r="NE642" s="9"/>
      <c r="NF642" s="9"/>
      <c r="NG642" s="9"/>
      <c r="NH642" s="9"/>
      <c r="NI642" s="9"/>
      <c r="NJ642" s="9"/>
      <c r="NK642" s="9"/>
      <c r="NL642" s="9"/>
      <c r="NM642" s="9"/>
      <c r="NN642" s="9"/>
      <c r="NO642" s="9"/>
      <c r="NP642" s="9"/>
      <c r="NQ642" s="9"/>
      <c r="NR642" s="9"/>
      <c r="NS642" s="9"/>
      <c r="NT642" s="9"/>
      <c r="NU642" s="9"/>
      <c r="NV642" s="9"/>
      <c r="NW642" s="9"/>
      <c r="NX642" s="9"/>
      <c r="NY642" s="9"/>
      <c r="NZ642" s="9"/>
      <c r="OA642" s="9"/>
      <c r="OB642" s="9"/>
      <c r="OC642" s="9"/>
      <c r="OD642" s="9"/>
      <c r="OE642" s="9"/>
      <c r="OF642" s="9"/>
      <c r="OG642" s="9"/>
      <c r="OH642" s="9"/>
      <c r="OI642" s="9"/>
      <c r="OJ642" s="9"/>
      <c r="OK642" s="9"/>
      <c r="OL642" s="9"/>
      <c r="OM642" s="9"/>
      <c r="ON642" s="9"/>
      <c r="OO642" s="9"/>
      <c r="OP642" s="9"/>
      <c r="OQ642" s="9"/>
      <c r="OR642" s="9"/>
      <c r="OS642" s="9"/>
      <c r="OT642" s="9"/>
      <c r="OU642" s="9"/>
      <c r="OV642" s="9"/>
      <c r="OW642" s="9"/>
      <c r="OX642" s="9"/>
      <c r="OY642" s="9"/>
      <c r="OZ642" s="9"/>
      <c r="PA642" s="9"/>
      <c r="PB642" s="9"/>
      <c r="PC642" s="9"/>
      <c r="PD642" s="9"/>
      <c r="PE642" s="9"/>
      <c r="PF642" s="9"/>
      <c r="PG642" s="9"/>
      <c r="PH642" s="9"/>
      <c r="PI642" s="9"/>
      <c r="PJ642" s="9"/>
      <c r="PK642" s="9"/>
      <c r="PL642" s="9"/>
      <c r="PM642" s="9"/>
      <c r="PN642" s="9"/>
      <c r="PO642" s="9"/>
      <c r="PP642" s="9"/>
      <c r="PQ642" s="9"/>
      <c r="PR642" s="9"/>
      <c r="PS642" s="9"/>
      <c r="PT642" s="9"/>
      <c r="PU642" s="9"/>
      <c r="PV642" s="9"/>
      <c r="PW642" s="9"/>
      <c r="PX642" s="9"/>
      <c r="PY642" s="9"/>
      <c r="PZ642" s="9"/>
      <c r="QA642" s="9"/>
      <c r="QB642" s="9"/>
      <c r="QC642" s="9"/>
      <c r="QD642" s="9"/>
      <c r="QE642" s="9"/>
      <c r="QF642" s="9"/>
      <c r="QG642" s="9"/>
      <c r="QH642" s="9"/>
      <c r="QI642" s="9"/>
      <c r="QJ642" s="9"/>
      <c r="QK642" s="9"/>
      <c r="QL642" s="9"/>
      <c r="QM642" s="9"/>
      <c r="QN642" s="9"/>
      <c r="QO642" s="9"/>
      <c r="QP642" s="9"/>
      <c r="QQ642" s="9"/>
      <c r="QR642" s="9"/>
      <c r="QS642" s="9"/>
      <c r="QT642" s="9"/>
      <c r="QU642" s="9"/>
      <c r="QV642" s="9"/>
      <c r="QW642" s="9"/>
      <c r="QX642" s="9"/>
      <c r="QY642" s="9"/>
      <c r="QZ642" s="9"/>
      <c r="RA642" s="9"/>
      <c r="RB642" s="9"/>
      <c r="RC642" s="9"/>
      <c r="RD642" s="9"/>
      <c r="RE642" s="9"/>
      <c r="RF642" s="9"/>
      <c r="RG642" s="9"/>
      <c r="RH642" s="9"/>
      <c r="RI642" s="9"/>
      <c r="RJ642" s="9"/>
      <c r="RK642" s="9"/>
      <c r="RL642" s="9"/>
      <c r="RM642" s="9"/>
      <c r="RN642" s="9"/>
      <c r="RO642" s="9"/>
      <c r="RP642" s="9"/>
      <c r="RQ642" s="9"/>
      <c r="RR642" s="9"/>
      <c r="RS642" s="9"/>
      <c r="RT642" s="9"/>
      <c r="RU642" s="9"/>
      <c r="RV642" s="9"/>
      <c r="RW642" s="9"/>
      <c r="RX642" s="9"/>
      <c r="RY642" s="9"/>
      <c r="RZ642" s="9"/>
      <c r="SA642" s="9"/>
      <c r="SB642" s="9"/>
      <c r="SC642" s="9"/>
      <c r="SD642" s="9"/>
      <c r="SE642" s="9"/>
      <c r="SF642" s="9"/>
      <c r="SG642" s="9"/>
      <c r="SH642" s="9"/>
      <c r="SI642" s="9"/>
      <c r="SJ642" s="9"/>
      <c r="SK642" s="9"/>
      <c r="SL642" s="9"/>
      <c r="SM642" s="9"/>
      <c r="SN642" s="9"/>
      <c r="SO642" s="9"/>
      <c r="SP642" s="9"/>
      <c r="SQ642" s="9"/>
      <c r="SR642" s="9"/>
      <c r="SS642" s="9"/>
      <c r="ST642" s="9"/>
      <c r="SU642" s="9"/>
      <c r="SV642" s="9"/>
      <c r="SW642" s="9"/>
      <c r="SX642" s="9"/>
      <c r="SY642" s="9"/>
      <c r="SZ642" s="9"/>
      <c r="TA642" s="9"/>
      <c r="TB642" s="9"/>
      <c r="TC642" s="9"/>
      <c r="TD642" s="9"/>
      <c r="TE642" s="9"/>
      <c r="TF642" s="9"/>
      <c r="TG642" s="9"/>
      <c r="TH642" s="9"/>
      <c r="TI642" s="9"/>
      <c r="TJ642" s="9"/>
      <c r="TK642" s="9"/>
      <c r="TL642" s="9"/>
      <c r="TM642" s="9"/>
      <c r="TN642" s="9"/>
      <c r="TO642" s="9"/>
      <c r="TP642" s="9"/>
      <c r="TQ642" s="9"/>
      <c r="TR642" s="9"/>
      <c r="TS642" s="9"/>
      <c r="TT642" s="9"/>
      <c r="TU642" s="9"/>
      <c r="TV642" s="9"/>
      <c r="TW642" s="9"/>
      <c r="TX642" s="9"/>
      <c r="TY642" s="9"/>
      <c r="TZ642" s="9"/>
      <c r="UA642" s="9"/>
      <c r="UB642" s="9"/>
      <c r="UC642" s="9"/>
      <c r="UD642" s="9"/>
      <c r="UE642" s="9"/>
      <c r="UF642" s="9"/>
      <c r="UG642" s="9"/>
      <c r="UH642" s="9"/>
      <c r="UI642" s="9"/>
      <c r="UJ642" s="9"/>
    </row>
    <row r="643">
      <c r="A643" s="8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  <c r="IC643" s="9"/>
      <c r="ID643" s="9"/>
      <c r="IE643" s="9"/>
      <c r="IF643" s="9"/>
      <c r="IG643" s="9"/>
      <c r="IH643" s="9"/>
      <c r="II643" s="9"/>
      <c r="IJ643" s="9"/>
      <c r="IK643" s="9"/>
      <c r="IL643" s="9"/>
      <c r="IM643" s="9"/>
      <c r="IN643" s="9"/>
      <c r="IO643" s="9"/>
      <c r="IP643" s="9"/>
      <c r="IQ643" s="9"/>
      <c r="IR643" s="9"/>
      <c r="IS643" s="9"/>
      <c r="IT643" s="9"/>
      <c r="IU643" s="9"/>
      <c r="IV643" s="9"/>
      <c r="IW643" s="9"/>
      <c r="IX643" s="9"/>
      <c r="IY643" s="9"/>
      <c r="IZ643" s="9"/>
      <c r="JA643" s="9"/>
      <c r="JB643" s="9"/>
      <c r="JC643" s="9"/>
      <c r="JD643" s="9"/>
      <c r="JE643" s="9"/>
      <c r="JF643" s="9"/>
      <c r="JG643" s="9"/>
      <c r="JH643" s="9"/>
      <c r="JI643" s="9"/>
      <c r="JJ643" s="9"/>
      <c r="JK643" s="9"/>
      <c r="JL643" s="9"/>
      <c r="JM643" s="9"/>
      <c r="JN643" s="9"/>
      <c r="JO643" s="9"/>
      <c r="JP643" s="9"/>
      <c r="JQ643" s="9"/>
      <c r="JR643" s="9"/>
      <c r="JS643" s="9"/>
      <c r="JT643" s="9"/>
      <c r="JU643" s="9"/>
      <c r="JV643" s="9"/>
      <c r="JW643" s="9"/>
      <c r="JX643" s="9"/>
      <c r="JY643" s="9"/>
      <c r="JZ643" s="9"/>
      <c r="KA643" s="9"/>
      <c r="KB643" s="9"/>
      <c r="KC643" s="9"/>
      <c r="KD643" s="9"/>
      <c r="KE643" s="9"/>
      <c r="KF643" s="9"/>
      <c r="KG643" s="9"/>
      <c r="KH643" s="9"/>
      <c r="KI643" s="9"/>
      <c r="KJ643" s="9"/>
      <c r="KK643" s="9"/>
      <c r="KL643" s="9"/>
      <c r="KM643" s="9"/>
      <c r="KN643" s="9"/>
      <c r="KO643" s="9"/>
      <c r="KP643" s="9"/>
      <c r="KQ643" s="9"/>
      <c r="KR643" s="9"/>
      <c r="KS643" s="9"/>
      <c r="KT643" s="9"/>
      <c r="KU643" s="9"/>
      <c r="KV643" s="9"/>
      <c r="KW643" s="9"/>
      <c r="KX643" s="9"/>
      <c r="KY643" s="9"/>
      <c r="KZ643" s="9"/>
      <c r="LA643" s="9"/>
      <c r="LB643" s="9"/>
      <c r="LC643" s="9"/>
      <c r="LD643" s="9"/>
      <c r="LE643" s="9"/>
      <c r="LF643" s="9"/>
      <c r="LG643" s="9"/>
      <c r="LH643" s="9"/>
      <c r="LI643" s="9"/>
      <c r="LJ643" s="9"/>
      <c r="LK643" s="9"/>
      <c r="LL643" s="9"/>
      <c r="LM643" s="9"/>
      <c r="LN643" s="9"/>
      <c r="LO643" s="9"/>
      <c r="LP643" s="9"/>
      <c r="LQ643" s="9"/>
      <c r="LR643" s="9"/>
      <c r="LS643" s="9"/>
      <c r="LT643" s="9"/>
      <c r="LU643" s="9"/>
      <c r="LV643" s="9"/>
      <c r="LW643" s="9"/>
      <c r="LX643" s="9"/>
      <c r="LY643" s="9"/>
      <c r="LZ643" s="9"/>
      <c r="MA643" s="9"/>
      <c r="MB643" s="9"/>
      <c r="MC643" s="9"/>
      <c r="MD643" s="9"/>
      <c r="ME643" s="9"/>
      <c r="MF643" s="9"/>
      <c r="MG643" s="9"/>
      <c r="MH643" s="9"/>
      <c r="MI643" s="9"/>
      <c r="MJ643" s="9"/>
      <c r="MK643" s="9"/>
      <c r="ML643" s="9"/>
      <c r="MM643" s="9"/>
      <c r="MN643" s="9"/>
      <c r="MO643" s="9"/>
      <c r="MP643" s="9"/>
      <c r="MQ643" s="9"/>
      <c r="MR643" s="9"/>
      <c r="MS643" s="9"/>
      <c r="MT643" s="9"/>
      <c r="MU643" s="9"/>
      <c r="MV643" s="9"/>
      <c r="MW643" s="9"/>
      <c r="MX643" s="9"/>
      <c r="MY643" s="9"/>
      <c r="MZ643" s="9"/>
      <c r="NA643" s="9"/>
      <c r="NB643" s="9"/>
      <c r="NC643" s="9"/>
      <c r="ND643" s="9"/>
      <c r="NE643" s="9"/>
      <c r="NF643" s="9"/>
      <c r="NG643" s="9"/>
      <c r="NH643" s="9"/>
      <c r="NI643" s="9"/>
      <c r="NJ643" s="9"/>
      <c r="NK643" s="9"/>
      <c r="NL643" s="9"/>
      <c r="NM643" s="9"/>
      <c r="NN643" s="9"/>
      <c r="NO643" s="9"/>
      <c r="NP643" s="9"/>
      <c r="NQ643" s="9"/>
      <c r="NR643" s="9"/>
      <c r="NS643" s="9"/>
      <c r="NT643" s="9"/>
      <c r="NU643" s="9"/>
      <c r="NV643" s="9"/>
      <c r="NW643" s="9"/>
      <c r="NX643" s="9"/>
      <c r="NY643" s="9"/>
      <c r="NZ643" s="9"/>
      <c r="OA643" s="9"/>
      <c r="OB643" s="9"/>
      <c r="OC643" s="9"/>
      <c r="OD643" s="9"/>
      <c r="OE643" s="9"/>
      <c r="OF643" s="9"/>
      <c r="OG643" s="9"/>
      <c r="OH643" s="9"/>
      <c r="OI643" s="9"/>
      <c r="OJ643" s="9"/>
      <c r="OK643" s="9"/>
      <c r="OL643" s="9"/>
      <c r="OM643" s="9"/>
      <c r="ON643" s="9"/>
      <c r="OO643" s="9"/>
      <c r="OP643" s="9"/>
      <c r="OQ643" s="9"/>
      <c r="OR643" s="9"/>
      <c r="OS643" s="9"/>
      <c r="OT643" s="9"/>
      <c r="OU643" s="9"/>
      <c r="OV643" s="9"/>
      <c r="OW643" s="9"/>
      <c r="OX643" s="9"/>
      <c r="OY643" s="9"/>
      <c r="OZ643" s="9"/>
      <c r="PA643" s="9"/>
      <c r="PB643" s="9"/>
      <c r="PC643" s="9"/>
      <c r="PD643" s="9"/>
      <c r="PE643" s="9"/>
      <c r="PF643" s="9"/>
      <c r="PG643" s="9"/>
      <c r="PH643" s="9"/>
      <c r="PI643" s="9"/>
      <c r="PJ643" s="9"/>
      <c r="PK643" s="9"/>
      <c r="PL643" s="9"/>
      <c r="PM643" s="9"/>
      <c r="PN643" s="9"/>
      <c r="PO643" s="9"/>
      <c r="PP643" s="9"/>
      <c r="PQ643" s="9"/>
      <c r="PR643" s="9"/>
      <c r="PS643" s="9"/>
      <c r="PT643" s="9"/>
      <c r="PU643" s="9"/>
      <c r="PV643" s="9"/>
      <c r="PW643" s="9"/>
      <c r="PX643" s="9"/>
      <c r="PY643" s="9"/>
      <c r="PZ643" s="9"/>
      <c r="QA643" s="9"/>
      <c r="QB643" s="9"/>
      <c r="QC643" s="9"/>
      <c r="QD643" s="9"/>
      <c r="QE643" s="9"/>
      <c r="QF643" s="9"/>
      <c r="QG643" s="9"/>
      <c r="QH643" s="9"/>
      <c r="QI643" s="9"/>
      <c r="QJ643" s="9"/>
      <c r="QK643" s="9"/>
      <c r="QL643" s="9"/>
      <c r="QM643" s="9"/>
      <c r="QN643" s="9"/>
      <c r="QO643" s="9"/>
      <c r="QP643" s="9"/>
      <c r="QQ643" s="9"/>
      <c r="QR643" s="9"/>
      <c r="QS643" s="9"/>
      <c r="QT643" s="9"/>
      <c r="QU643" s="9"/>
      <c r="QV643" s="9"/>
      <c r="QW643" s="9"/>
      <c r="QX643" s="9"/>
      <c r="QY643" s="9"/>
      <c r="QZ643" s="9"/>
      <c r="RA643" s="9"/>
      <c r="RB643" s="9"/>
      <c r="RC643" s="9"/>
      <c r="RD643" s="9"/>
      <c r="RE643" s="9"/>
      <c r="RF643" s="9"/>
      <c r="RG643" s="9"/>
      <c r="RH643" s="9"/>
      <c r="RI643" s="9"/>
      <c r="RJ643" s="9"/>
      <c r="RK643" s="9"/>
      <c r="RL643" s="9"/>
      <c r="RM643" s="9"/>
      <c r="RN643" s="9"/>
      <c r="RO643" s="9"/>
      <c r="RP643" s="9"/>
      <c r="RQ643" s="9"/>
      <c r="RR643" s="9"/>
      <c r="RS643" s="9"/>
      <c r="RT643" s="9"/>
      <c r="RU643" s="9"/>
      <c r="RV643" s="9"/>
      <c r="RW643" s="9"/>
      <c r="RX643" s="9"/>
      <c r="RY643" s="9"/>
      <c r="RZ643" s="9"/>
      <c r="SA643" s="9"/>
      <c r="SB643" s="9"/>
      <c r="SC643" s="9"/>
      <c r="SD643" s="9"/>
      <c r="SE643" s="9"/>
      <c r="SF643" s="9"/>
      <c r="SG643" s="9"/>
      <c r="SH643" s="9"/>
      <c r="SI643" s="9"/>
      <c r="SJ643" s="9"/>
      <c r="SK643" s="9"/>
      <c r="SL643" s="9"/>
      <c r="SM643" s="9"/>
      <c r="SN643" s="9"/>
      <c r="SO643" s="9"/>
      <c r="SP643" s="9"/>
      <c r="SQ643" s="9"/>
      <c r="SR643" s="9"/>
      <c r="SS643" s="9"/>
      <c r="ST643" s="9"/>
      <c r="SU643" s="9"/>
      <c r="SV643" s="9"/>
      <c r="SW643" s="9"/>
      <c r="SX643" s="9"/>
      <c r="SY643" s="9"/>
      <c r="SZ643" s="9"/>
      <c r="TA643" s="9"/>
      <c r="TB643" s="9"/>
      <c r="TC643" s="9"/>
      <c r="TD643" s="9"/>
      <c r="TE643" s="9"/>
      <c r="TF643" s="9"/>
      <c r="TG643" s="9"/>
      <c r="TH643" s="9"/>
      <c r="TI643" s="9"/>
      <c r="TJ643" s="9"/>
      <c r="TK643" s="9"/>
      <c r="TL643" s="9"/>
      <c r="TM643" s="9"/>
      <c r="TN643" s="9"/>
      <c r="TO643" s="9"/>
      <c r="TP643" s="9"/>
      <c r="TQ643" s="9"/>
      <c r="TR643" s="9"/>
      <c r="TS643" s="9"/>
      <c r="TT643" s="9"/>
      <c r="TU643" s="9"/>
      <c r="TV643" s="9"/>
      <c r="TW643" s="9"/>
      <c r="TX643" s="9"/>
      <c r="TY643" s="9"/>
      <c r="TZ643" s="9"/>
      <c r="UA643" s="9"/>
      <c r="UB643" s="9"/>
      <c r="UC643" s="9"/>
      <c r="UD643" s="9"/>
      <c r="UE643" s="9"/>
      <c r="UF643" s="9"/>
      <c r="UG643" s="9"/>
      <c r="UH643" s="9"/>
      <c r="UI643" s="9"/>
      <c r="UJ643" s="9"/>
    </row>
    <row r="644">
      <c r="A644" s="8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  <c r="HZ644" s="9"/>
      <c r="IA644" s="9"/>
      <c r="IB644" s="9"/>
      <c r="IC644" s="9"/>
      <c r="ID644" s="9"/>
      <c r="IE644" s="9"/>
      <c r="IF644" s="9"/>
      <c r="IG644" s="9"/>
      <c r="IH644" s="9"/>
      <c r="II644" s="9"/>
      <c r="IJ644" s="9"/>
      <c r="IK644" s="9"/>
      <c r="IL644" s="9"/>
      <c r="IM644" s="9"/>
      <c r="IN644" s="9"/>
      <c r="IO644" s="9"/>
      <c r="IP644" s="9"/>
      <c r="IQ644" s="9"/>
      <c r="IR644" s="9"/>
      <c r="IS644" s="9"/>
      <c r="IT644" s="9"/>
      <c r="IU644" s="9"/>
      <c r="IV644" s="9"/>
      <c r="IW644" s="9"/>
      <c r="IX644" s="9"/>
      <c r="IY644" s="9"/>
      <c r="IZ644" s="9"/>
      <c r="JA644" s="9"/>
      <c r="JB644" s="9"/>
      <c r="JC644" s="9"/>
      <c r="JD644" s="9"/>
      <c r="JE644" s="9"/>
      <c r="JF644" s="9"/>
      <c r="JG644" s="9"/>
      <c r="JH644" s="9"/>
      <c r="JI644" s="9"/>
      <c r="JJ644" s="9"/>
      <c r="JK644" s="9"/>
      <c r="JL644" s="9"/>
      <c r="JM644" s="9"/>
      <c r="JN644" s="9"/>
      <c r="JO644" s="9"/>
      <c r="JP644" s="9"/>
      <c r="JQ644" s="9"/>
      <c r="JR644" s="9"/>
      <c r="JS644" s="9"/>
      <c r="JT644" s="9"/>
      <c r="JU644" s="9"/>
      <c r="JV644" s="9"/>
      <c r="JW644" s="9"/>
      <c r="JX644" s="9"/>
      <c r="JY644" s="9"/>
      <c r="JZ644" s="9"/>
      <c r="KA644" s="9"/>
      <c r="KB644" s="9"/>
      <c r="KC644" s="9"/>
      <c r="KD644" s="9"/>
      <c r="KE644" s="9"/>
      <c r="KF644" s="9"/>
      <c r="KG644" s="9"/>
      <c r="KH644" s="9"/>
      <c r="KI644" s="9"/>
      <c r="KJ644" s="9"/>
      <c r="KK644" s="9"/>
      <c r="KL644" s="9"/>
      <c r="KM644" s="9"/>
      <c r="KN644" s="9"/>
      <c r="KO644" s="9"/>
      <c r="KP644" s="9"/>
      <c r="KQ644" s="9"/>
      <c r="KR644" s="9"/>
      <c r="KS644" s="9"/>
      <c r="KT644" s="9"/>
      <c r="KU644" s="9"/>
      <c r="KV644" s="9"/>
      <c r="KW644" s="9"/>
      <c r="KX644" s="9"/>
      <c r="KY644" s="9"/>
      <c r="KZ644" s="9"/>
      <c r="LA644" s="9"/>
      <c r="LB644" s="9"/>
      <c r="LC644" s="9"/>
      <c r="LD644" s="9"/>
      <c r="LE644" s="9"/>
      <c r="LF644" s="9"/>
      <c r="LG644" s="9"/>
      <c r="LH644" s="9"/>
      <c r="LI644" s="9"/>
      <c r="LJ644" s="9"/>
      <c r="LK644" s="9"/>
      <c r="LL644" s="9"/>
      <c r="LM644" s="9"/>
      <c r="LN644" s="9"/>
      <c r="LO644" s="9"/>
      <c r="LP644" s="9"/>
      <c r="LQ644" s="9"/>
      <c r="LR644" s="9"/>
      <c r="LS644" s="9"/>
      <c r="LT644" s="9"/>
      <c r="LU644" s="9"/>
      <c r="LV644" s="9"/>
      <c r="LW644" s="9"/>
      <c r="LX644" s="9"/>
      <c r="LY644" s="9"/>
      <c r="LZ644" s="9"/>
      <c r="MA644" s="9"/>
      <c r="MB644" s="9"/>
      <c r="MC644" s="9"/>
      <c r="MD644" s="9"/>
      <c r="ME644" s="9"/>
      <c r="MF644" s="9"/>
      <c r="MG644" s="9"/>
      <c r="MH644" s="9"/>
      <c r="MI644" s="9"/>
      <c r="MJ644" s="9"/>
      <c r="MK644" s="9"/>
      <c r="ML644" s="9"/>
      <c r="MM644" s="9"/>
      <c r="MN644" s="9"/>
      <c r="MO644" s="9"/>
      <c r="MP644" s="9"/>
      <c r="MQ644" s="9"/>
      <c r="MR644" s="9"/>
      <c r="MS644" s="9"/>
      <c r="MT644" s="9"/>
      <c r="MU644" s="9"/>
      <c r="MV644" s="9"/>
      <c r="MW644" s="9"/>
      <c r="MX644" s="9"/>
      <c r="MY644" s="9"/>
      <c r="MZ644" s="9"/>
      <c r="NA644" s="9"/>
      <c r="NB644" s="9"/>
      <c r="NC644" s="9"/>
      <c r="ND644" s="9"/>
      <c r="NE644" s="9"/>
      <c r="NF644" s="9"/>
      <c r="NG644" s="9"/>
      <c r="NH644" s="9"/>
      <c r="NI644" s="9"/>
      <c r="NJ644" s="9"/>
      <c r="NK644" s="9"/>
      <c r="NL644" s="9"/>
      <c r="NM644" s="9"/>
      <c r="NN644" s="9"/>
      <c r="NO644" s="9"/>
      <c r="NP644" s="9"/>
      <c r="NQ644" s="9"/>
      <c r="NR644" s="9"/>
      <c r="NS644" s="9"/>
      <c r="NT644" s="9"/>
      <c r="NU644" s="9"/>
      <c r="NV644" s="9"/>
      <c r="NW644" s="9"/>
      <c r="NX644" s="9"/>
      <c r="NY644" s="9"/>
      <c r="NZ644" s="9"/>
      <c r="OA644" s="9"/>
      <c r="OB644" s="9"/>
      <c r="OC644" s="9"/>
      <c r="OD644" s="9"/>
      <c r="OE644" s="9"/>
      <c r="OF644" s="9"/>
      <c r="OG644" s="9"/>
      <c r="OH644" s="9"/>
      <c r="OI644" s="9"/>
      <c r="OJ644" s="9"/>
      <c r="OK644" s="9"/>
      <c r="OL644" s="9"/>
      <c r="OM644" s="9"/>
      <c r="ON644" s="9"/>
      <c r="OO644" s="9"/>
      <c r="OP644" s="9"/>
      <c r="OQ644" s="9"/>
      <c r="OR644" s="9"/>
      <c r="OS644" s="9"/>
      <c r="OT644" s="9"/>
      <c r="OU644" s="9"/>
      <c r="OV644" s="9"/>
      <c r="OW644" s="9"/>
      <c r="OX644" s="9"/>
      <c r="OY644" s="9"/>
      <c r="OZ644" s="9"/>
      <c r="PA644" s="9"/>
      <c r="PB644" s="9"/>
      <c r="PC644" s="9"/>
      <c r="PD644" s="9"/>
      <c r="PE644" s="9"/>
      <c r="PF644" s="9"/>
      <c r="PG644" s="9"/>
      <c r="PH644" s="9"/>
      <c r="PI644" s="9"/>
      <c r="PJ644" s="9"/>
      <c r="PK644" s="9"/>
      <c r="PL644" s="9"/>
      <c r="PM644" s="9"/>
      <c r="PN644" s="9"/>
      <c r="PO644" s="9"/>
      <c r="PP644" s="9"/>
      <c r="PQ644" s="9"/>
      <c r="PR644" s="9"/>
      <c r="PS644" s="9"/>
      <c r="PT644" s="9"/>
      <c r="PU644" s="9"/>
      <c r="PV644" s="9"/>
      <c r="PW644" s="9"/>
      <c r="PX644" s="9"/>
      <c r="PY644" s="9"/>
      <c r="PZ644" s="9"/>
      <c r="QA644" s="9"/>
      <c r="QB644" s="9"/>
      <c r="QC644" s="9"/>
      <c r="QD644" s="9"/>
      <c r="QE644" s="9"/>
      <c r="QF644" s="9"/>
      <c r="QG644" s="9"/>
      <c r="QH644" s="9"/>
      <c r="QI644" s="9"/>
      <c r="QJ644" s="9"/>
      <c r="QK644" s="9"/>
      <c r="QL644" s="9"/>
      <c r="QM644" s="9"/>
      <c r="QN644" s="9"/>
      <c r="QO644" s="9"/>
      <c r="QP644" s="9"/>
      <c r="QQ644" s="9"/>
      <c r="QR644" s="9"/>
      <c r="QS644" s="9"/>
      <c r="QT644" s="9"/>
      <c r="QU644" s="9"/>
      <c r="QV644" s="9"/>
      <c r="QW644" s="9"/>
      <c r="QX644" s="9"/>
      <c r="QY644" s="9"/>
      <c r="QZ644" s="9"/>
      <c r="RA644" s="9"/>
      <c r="RB644" s="9"/>
      <c r="RC644" s="9"/>
      <c r="RD644" s="9"/>
      <c r="RE644" s="9"/>
      <c r="RF644" s="9"/>
      <c r="RG644" s="9"/>
      <c r="RH644" s="9"/>
      <c r="RI644" s="9"/>
      <c r="RJ644" s="9"/>
      <c r="RK644" s="9"/>
      <c r="RL644" s="9"/>
      <c r="RM644" s="9"/>
      <c r="RN644" s="9"/>
      <c r="RO644" s="9"/>
      <c r="RP644" s="9"/>
      <c r="RQ644" s="9"/>
      <c r="RR644" s="9"/>
      <c r="RS644" s="9"/>
      <c r="RT644" s="9"/>
      <c r="RU644" s="9"/>
      <c r="RV644" s="9"/>
      <c r="RW644" s="9"/>
      <c r="RX644" s="9"/>
      <c r="RY644" s="9"/>
      <c r="RZ644" s="9"/>
      <c r="SA644" s="9"/>
      <c r="SB644" s="9"/>
      <c r="SC644" s="9"/>
      <c r="SD644" s="9"/>
      <c r="SE644" s="9"/>
      <c r="SF644" s="9"/>
      <c r="SG644" s="9"/>
      <c r="SH644" s="9"/>
      <c r="SI644" s="9"/>
      <c r="SJ644" s="9"/>
      <c r="SK644" s="9"/>
      <c r="SL644" s="9"/>
      <c r="SM644" s="9"/>
      <c r="SN644" s="9"/>
      <c r="SO644" s="9"/>
      <c r="SP644" s="9"/>
      <c r="SQ644" s="9"/>
      <c r="SR644" s="9"/>
      <c r="SS644" s="9"/>
      <c r="ST644" s="9"/>
      <c r="SU644" s="9"/>
      <c r="SV644" s="9"/>
      <c r="SW644" s="9"/>
      <c r="SX644" s="9"/>
      <c r="SY644" s="9"/>
      <c r="SZ644" s="9"/>
      <c r="TA644" s="9"/>
      <c r="TB644" s="9"/>
      <c r="TC644" s="9"/>
      <c r="TD644" s="9"/>
      <c r="TE644" s="9"/>
      <c r="TF644" s="9"/>
      <c r="TG644" s="9"/>
      <c r="TH644" s="9"/>
      <c r="TI644" s="9"/>
      <c r="TJ644" s="9"/>
      <c r="TK644" s="9"/>
      <c r="TL644" s="9"/>
      <c r="TM644" s="9"/>
      <c r="TN644" s="9"/>
      <c r="TO644" s="9"/>
      <c r="TP644" s="9"/>
      <c r="TQ644" s="9"/>
      <c r="TR644" s="9"/>
      <c r="TS644" s="9"/>
      <c r="TT644" s="9"/>
      <c r="TU644" s="9"/>
      <c r="TV644" s="9"/>
      <c r="TW644" s="9"/>
      <c r="TX644" s="9"/>
      <c r="TY644" s="9"/>
      <c r="TZ644" s="9"/>
      <c r="UA644" s="9"/>
      <c r="UB644" s="9"/>
      <c r="UC644" s="9"/>
      <c r="UD644" s="9"/>
      <c r="UE644" s="9"/>
      <c r="UF644" s="9"/>
      <c r="UG644" s="9"/>
      <c r="UH644" s="9"/>
      <c r="UI644" s="9"/>
      <c r="UJ644" s="9"/>
    </row>
    <row r="645">
      <c r="A645" s="8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  <c r="IN645" s="9"/>
      <c r="IO645" s="9"/>
      <c r="IP645" s="9"/>
      <c r="IQ645" s="9"/>
      <c r="IR645" s="9"/>
      <c r="IS645" s="9"/>
      <c r="IT645" s="9"/>
      <c r="IU645" s="9"/>
      <c r="IV645" s="9"/>
      <c r="IW645" s="9"/>
      <c r="IX645" s="9"/>
      <c r="IY645" s="9"/>
      <c r="IZ645" s="9"/>
      <c r="JA645" s="9"/>
      <c r="JB645" s="9"/>
      <c r="JC645" s="9"/>
      <c r="JD645" s="9"/>
      <c r="JE645" s="9"/>
      <c r="JF645" s="9"/>
      <c r="JG645" s="9"/>
      <c r="JH645" s="9"/>
      <c r="JI645" s="9"/>
      <c r="JJ645" s="9"/>
      <c r="JK645" s="9"/>
      <c r="JL645" s="9"/>
      <c r="JM645" s="9"/>
      <c r="JN645" s="9"/>
      <c r="JO645" s="9"/>
      <c r="JP645" s="9"/>
      <c r="JQ645" s="9"/>
      <c r="JR645" s="9"/>
      <c r="JS645" s="9"/>
      <c r="JT645" s="9"/>
      <c r="JU645" s="9"/>
      <c r="JV645" s="9"/>
      <c r="JW645" s="9"/>
      <c r="JX645" s="9"/>
      <c r="JY645" s="9"/>
      <c r="JZ645" s="9"/>
      <c r="KA645" s="9"/>
      <c r="KB645" s="9"/>
      <c r="KC645" s="9"/>
      <c r="KD645" s="9"/>
      <c r="KE645" s="9"/>
      <c r="KF645" s="9"/>
      <c r="KG645" s="9"/>
      <c r="KH645" s="9"/>
      <c r="KI645" s="9"/>
      <c r="KJ645" s="9"/>
      <c r="KK645" s="9"/>
      <c r="KL645" s="9"/>
      <c r="KM645" s="9"/>
      <c r="KN645" s="9"/>
      <c r="KO645" s="9"/>
      <c r="KP645" s="9"/>
      <c r="KQ645" s="9"/>
      <c r="KR645" s="9"/>
      <c r="KS645" s="9"/>
      <c r="KT645" s="9"/>
      <c r="KU645" s="9"/>
      <c r="KV645" s="9"/>
      <c r="KW645" s="9"/>
      <c r="KX645" s="9"/>
      <c r="KY645" s="9"/>
      <c r="KZ645" s="9"/>
      <c r="LA645" s="9"/>
      <c r="LB645" s="9"/>
      <c r="LC645" s="9"/>
      <c r="LD645" s="9"/>
      <c r="LE645" s="9"/>
      <c r="LF645" s="9"/>
      <c r="LG645" s="9"/>
      <c r="LH645" s="9"/>
      <c r="LI645" s="9"/>
      <c r="LJ645" s="9"/>
      <c r="LK645" s="9"/>
      <c r="LL645" s="9"/>
      <c r="LM645" s="9"/>
      <c r="LN645" s="9"/>
      <c r="LO645" s="9"/>
      <c r="LP645" s="9"/>
      <c r="LQ645" s="9"/>
      <c r="LR645" s="9"/>
      <c r="LS645" s="9"/>
      <c r="LT645" s="9"/>
      <c r="LU645" s="9"/>
      <c r="LV645" s="9"/>
      <c r="LW645" s="9"/>
      <c r="LX645" s="9"/>
      <c r="LY645" s="9"/>
      <c r="LZ645" s="9"/>
      <c r="MA645" s="9"/>
      <c r="MB645" s="9"/>
      <c r="MC645" s="9"/>
      <c r="MD645" s="9"/>
      <c r="ME645" s="9"/>
      <c r="MF645" s="9"/>
      <c r="MG645" s="9"/>
      <c r="MH645" s="9"/>
      <c r="MI645" s="9"/>
      <c r="MJ645" s="9"/>
      <c r="MK645" s="9"/>
      <c r="ML645" s="9"/>
      <c r="MM645" s="9"/>
      <c r="MN645" s="9"/>
      <c r="MO645" s="9"/>
      <c r="MP645" s="9"/>
      <c r="MQ645" s="9"/>
      <c r="MR645" s="9"/>
      <c r="MS645" s="9"/>
      <c r="MT645" s="9"/>
      <c r="MU645" s="9"/>
      <c r="MV645" s="9"/>
      <c r="MW645" s="9"/>
      <c r="MX645" s="9"/>
      <c r="MY645" s="9"/>
      <c r="MZ645" s="9"/>
      <c r="NA645" s="9"/>
      <c r="NB645" s="9"/>
      <c r="NC645" s="9"/>
      <c r="ND645" s="9"/>
      <c r="NE645" s="9"/>
      <c r="NF645" s="9"/>
      <c r="NG645" s="9"/>
      <c r="NH645" s="9"/>
      <c r="NI645" s="9"/>
      <c r="NJ645" s="9"/>
      <c r="NK645" s="9"/>
      <c r="NL645" s="9"/>
      <c r="NM645" s="9"/>
      <c r="NN645" s="9"/>
      <c r="NO645" s="9"/>
      <c r="NP645" s="9"/>
      <c r="NQ645" s="9"/>
      <c r="NR645" s="9"/>
      <c r="NS645" s="9"/>
      <c r="NT645" s="9"/>
      <c r="NU645" s="9"/>
      <c r="NV645" s="9"/>
      <c r="NW645" s="9"/>
      <c r="NX645" s="9"/>
      <c r="NY645" s="9"/>
      <c r="NZ645" s="9"/>
      <c r="OA645" s="9"/>
      <c r="OB645" s="9"/>
      <c r="OC645" s="9"/>
      <c r="OD645" s="9"/>
      <c r="OE645" s="9"/>
      <c r="OF645" s="9"/>
      <c r="OG645" s="9"/>
      <c r="OH645" s="9"/>
      <c r="OI645" s="9"/>
      <c r="OJ645" s="9"/>
      <c r="OK645" s="9"/>
      <c r="OL645" s="9"/>
      <c r="OM645" s="9"/>
      <c r="ON645" s="9"/>
      <c r="OO645" s="9"/>
      <c r="OP645" s="9"/>
      <c r="OQ645" s="9"/>
      <c r="OR645" s="9"/>
      <c r="OS645" s="9"/>
      <c r="OT645" s="9"/>
      <c r="OU645" s="9"/>
      <c r="OV645" s="9"/>
      <c r="OW645" s="9"/>
      <c r="OX645" s="9"/>
      <c r="OY645" s="9"/>
      <c r="OZ645" s="9"/>
      <c r="PA645" s="9"/>
      <c r="PB645" s="9"/>
      <c r="PC645" s="9"/>
      <c r="PD645" s="9"/>
      <c r="PE645" s="9"/>
      <c r="PF645" s="9"/>
      <c r="PG645" s="9"/>
      <c r="PH645" s="9"/>
      <c r="PI645" s="9"/>
      <c r="PJ645" s="9"/>
      <c r="PK645" s="9"/>
      <c r="PL645" s="9"/>
      <c r="PM645" s="9"/>
      <c r="PN645" s="9"/>
      <c r="PO645" s="9"/>
      <c r="PP645" s="9"/>
      <c r="PQ645" s="9"/>
      <c r="PR645" s="9"/>
      <c r="PS645" s="9"/>
      <c r="PT645" s="9"/>
      <c r="PU645" s="9"/>
      <c r="PV645" s="9"/>
      <c r="PW645" s="9"/>
      <c r="PX645" s="9"/>
      <c r="PY645" s="9"/>
      <c r="PZ645" s="9"/>
      <c r="QA645" s="9"/>
      <c r="QB645" s="9"/>
      <c r="QC645" s="9"/>
      <c r="QD645" s="9"/>
      <c r="QE645" s="9"/>
      <c r="QF645" s="9"/>
      <c r="QG645" s="9"/>
      <c r="QH645" s="9"/>
      <c r="QI645" s="9"/>
      <c r="QJ645" s="9"/>
      <c r="QK645" s="9"/>
      <c r="QL645" s="9"/>
      <c r="QM645" s="9"/>
      <c r="QN645" s="9"/>
      <c r="QO645" s="9"/>
      <c r="QP645" s="9"/>
      <c r="QQ645" s="9"/>
      <c r="QR645" s="9"/>
      <c r="QS645" s="9"/>
      <c r="QT645" s="9"/>
      <c r="QU645" s="9"/>
      <c r="QV645" s="9"/>
      <c r="QW645" s="9"/>
      <c r="QX645" s="9"/>
      <c r="QY645" s="9"/>
      <c r="QZ645" s="9"/>
      <c r="RA645" s="9"/>
      <c r="RB645" s="9"/>
      <c r="RC645" s="9"/>
      <c r="RD645" s="9"/>
      <c r="RE645" s="9"/>
      <c r="RF645" s="9"/>
      <c r="RG645" s="9"/>
      <c r="RH645" s="9"/>
      <c r="RI645" s="9"/>
      <c r="RJ645" s="9"/>
      <c r="RK645" s="9"/>
      <c r="RL645" s="9"/>
      <c r="RM645" s="9"/>
      <c r="RN645" s="9"/>
      <c r="RO645" s="9"/>
      <c r="RP645" s="9"/>
      <c r="RQ645" s="9"/>
      <c r="RR645" s="9"/>
      <c r="RS645" s="9"/>
      <c r="RT645" s="9"/>
      <c r="RU645" s="9"/>
      <c r="RV645" s="9"/>
      <c r="RW645" s="9"/>
      <c r="RX645" s="9"/>
      <c r="RY645" s="9"/>
      <c r="RZ645" s="9"/>
      <c r="SA645" s="9"/>
      <c r="SB645" s="9"/>
      <c r="SC645" s="9"/>
      <c r="SD645" s="9"/>
      <c r="SE645" s="9"/>
      <c r="SF645" s="9"/>
      <c r="SG645" s="9"/>
      <c r="SH645" s="9"/>
      <c r="SI645" s="9"/>
      <c r="SJ645" s="9"/>
      <c r="SK645" s="9"/>
      <c r="SL645" s="9"/>
      <c r="SM645" s="9"/>
      <c r="SN645" s="9"/>
      <c r="SO645" s="9"/>
      <c r="SP645" s="9"/>
      <c r="SQ645" s="9"/>
      <c r="SR645" s="9"/>
      <c r="SS645" s="9"/>
      <c r="ST645" s="9"/>
      <c r="SU645" s="9"/>
      <c r="SV645" s="9"/>
      <c r="SW645" s="9"/>
      <c r="SX645" s="9"/>
      <c r="SY645" s="9"/>
      <c r="SZ645" s="9"/>
      <c r="TA645" s="9"/>
      <c r="TB645" s="9"/>
      <c r="TC645" s="9"/>
      <c r="TD645" s="9"/>
      <c r="TE645" s="9"/>
      <c r="TF645" s="9"/>
      <c r="TG645" s="9"/>
      <c r="TH645" s="9"/>
      <c r="TI645" s="9"/>
      <c r="TJ645" s="9"/>
      <c r="TK645" s="9"/>
      <c r="TL645" s="9"/>
      <c r="TM645" s="9"/>
      <c r="TN645" s="9"/>
      <c r="TO645" s="9"/>
      <c r="TP645" s="9"/>
      <c r="TQ645" s="9"/>
      <c r="TR645" s="9"/>
      <c r="TS645" s="9"/>
      <c r="TT645" s="9"/>
      <c r="TU645" s="9"/>
      <c r="TV645" s="9"/>
      <c r="TW645" s="9"/>
      <c r="TX645" s="9"/>
      <c r="TY645" s="9"/>
      <c r="TZ645" s="9"/>
      <c r="UA645" s="9"/>
      <c r="UB645" s="9"/>
      <c r="UC645" s="9"/>
      <c r="UD645" s="9"/>
      <c r="UE645" s="9"/>
      <c r="UF645" s="9"/>
      <c r="UG645" s="9"/>
      <c r="UH645" s="9"/>
      <c r="UI645" s="9"/>
      <c r="UJ645" s="9"/>
    </row>
    <row r="646">
      <c r="A646" s="8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  <c r="HZ646" s="9"/>
      <c r="IA646" s="9"/>
      <c r="IB646" s="9"/>
      <c r="IC646" s="9"/>
      <c r="ID646" s="9"/>
      <c r="IE646" s="9"/>
      <c r="IF646" s="9"/>
      <c r="IG646" s="9"/>
      <c r="IH646" s="9"/>
      <c r="II646" s="9"/>
      <c r="IJ646" s="9"/>
      <c r="IK646" s="9"/>
      <c r="IL646" s="9"/>
      <c r="IM646" s="9"/>
      <c r="IN646" s="9"/>
      <c r="IO646" s="9"/>
      <c r="IP646" s="9"/>
      <c r="IQ646" s="9"/>
      <c r="IR646" s="9"/>
      <c r="IS646" s="9"/>
      <c r="IT646" s="9"/>
      <c r="IU646" s="9"/>
      <c r="IV646" s="9"/>
      <c r="IW646" s="9"/>
      <c r="IX646" s="9"/>
      <c r="IY646" s="9"/>
      <c r="IZ646" s="9"/>
      <c r="JA646" s="9"/>
      <c r="JB646" s="9"/>
      <c r="JC646" s="9"/>
      <c r="JD646" s="9"/>
      <c r="JE646" s="9"/>
      <c r="JF646" s="9"/>
      <c r="JG646" s="9"/>
      <c r="JH646" s="9"/>
      <c r="JI646" s="9"/>
      <c r="JJ646" s="9"/>
      <c r="JK646" s="9"/>
      <c r="JL646" s="9"/>
      <c r="JM646" s="9"/>
      <c r="JN646" s="9"/>
      <c r="JO646" s="9"/>
      <c r="JP646" s="9"/>
      <c r="JQ646" s="9"/>
      <c r="JR646" s="9"/>
      <c r="JS646" s="9"/>
      <c r="JT646" s="9"/>
      <c r="JU646" s="9"/>
      <c r="JV646" s="9"/>
      <c r="JW646" s="9"/>
      <c r="JX646" s="9"/>
      <c r="JY646" s="9"/>
      <c r="JZ646" s="9"/>
      <c r="KA646" s="9"/>
      <c r="KB646" s="9"/>
      <c r="KC646" s="9"/>
      <c r="KD646" s="9"/>
      <c r="KE646" s="9"/>
      <c r="KF646" s="9"/>
      <c r="KG646" s="9"/>
      <c r="KH646" s="9"/>
      <c r="KI646" s="9"/>
      <c r="KJ646" s="9"/>
      <c r="KK646" s="9"/>
      <c r="KL646" s="9"/>
      <c r="KM646" s="9"/>
      <c r="KN646" s="9"/>
      <c r="KO646" s="9"/>
      <c r="KP646" s="9"/>
      <c r="KQ646" s="9"/>
      <c r="KR646" s="9"/>
      <c r="KS646" s="9"/>
      <c r="KT646" s="9"/>
      <c r="KU646" s="9"/>
      <c r="KV646" s="9"/>
      <c r="KW646" s="9"/>
      <c r="KX646" s="9"/>
      <c r="KY646" s="9"/>
      <c r="KZ646" s="9"/>
      <c r="LA646" s="9"/>
      <c r="LB646" s="9"/>
      <c r="LC646" s="9"/>
      <c r="LD646" s="9"/>
      <c r="LE646" s="9"/>
      <c r="LF646" s="9"/>
      <c r="LG646" s="9"/>
      <c r="LH646" s="9"/>
      <c r="LI646" s="9"/>
      <c r="LJ646" s="9"/>
      <c r="LK646" s="9"/>
      <c r="LL646" s="9"/>
      <c r="LM646" s="9"/>
      <c r="LN646" s="9"/>
      <c r="LO646" s="9"/>
      <c r="LP646" s="9"/>
      <c r="LQ646" s="9"/>
      <c r="LR646" s="9"/>
      <c r="LS646" s="9"/>
      <c r="LT646" s="9"/>
      <c r="LU646" s="9"/>
      <c r="LV646" s="9"/>
      <c r="LW646" s="9"/>
      <c r="LX646" s="9"/>
      <c r="LY646" s="9"/>
      <c r="LZ646" s="9"/>
      <c r="MA646" s="9"/>
      <c r="MB646" s="9"/>
      <c r="MC646" s="9"/>
      <c r="MD646" s="9"/>
      <c r="ME646" s="9"/>
      <c r="MF646" s="9"/>
      <c r="MG646" s="9"/>
      <c r="MH646" s="9"/>
      <c r="MI646" s="9"/>
      <c r="MJ646" s="9"/>
      <c r="MK646" s="9"/>
      <c r="ML646" s="9"/>
      <c r="MM646" s="9"/>
      <c r="MN646" s="9"/>
      <c r="MO646" s="9"/>
      <c r="MP646" s="9"/>
      <c r="MQ646" s="9"/>
      <c r="MR646" s="9"/>
      <c r="MS646" s="9"/>
      <c r="MT646" s="9"/>
      <c r="MU646" s="9"/>
      <c r="MV646" s="9"/>
      <c r="MW646" s="9"/>
      <c r="MX646" s="9"/>
      <c r="MY646" s="9"/>
      <c r="MZ646" s="9"/>
      <c r="NA646" s="9"/>
      <c r="NB646" s="9"/>
      <c r="NC646" s="9"/>
      <c r="ND646" s="9"/>
      <c r="NE646" s="9"/>
      <c r="NF646" s="9"/>
      <c r="NG646" s="9"/>
      <c r="NH646" s="9"/>
      <c r="NI646" s="9"/>
      <c r="NJ646" s="9"/>
      <c r="NK646" s="9"/>
      <c r="NL646" s="9"/>
      <c r="NM646" s="9"/>
      <c r="NN646" s="9"/>
      <c r="NO646" s="9"/>
      <c r="NP646" s="9"/>
      <c r="NQ646" s="9"/>
      <c r="NR646" s="9"/>
      <c r="NS646" s="9"/>
      <c r="NT646" s="9"/>
      <c r="NU646" s="9"/>
      <c r="NV646" s="9"/>
      <c r="NW646" s="9"/>
      <c r="NX646" s="9"/>
      <c r="NY646" s="9"/>
      <c r="NZ646" s="9"/>
      <c r="OA646" s="9"/>
      <c r="OB646" s="9"/>
      <c r="OC646" s="9"/>
      <c r="OD646" s="9"/>
      <c r="OE646" s="9"/>
      <c r="OF646" s="9"/>
      <c r="OG646" s="9"/>
      <c r="OH646" s="9"/>
      <c r="OI646" s="9"/>
      <c r="OJ646" s="9"/>
      <c r="OK646" s="9"/>
      <c r="OL646" s="9"/>
      <c r="OM646" s="9"/>
      <c r="ON646" s="9"/>
      <c r="OO646" s="9"/>
      <c r="OP646" s="9"/>
      <c r="OQ646" s="9"/>
      <c r="OR646" s="9"/>
      <c r="OS646" s="9"/>
      <c r="OT646" s="9"/>
      <c r="OU646" s="9"/>
      <c r="OV646" s="9"/>
      <c r="OW646" s="9"/>
      <c r="OX646" s="9"/>
      <c r="OY646" s="9"/>
      <c r="OZ646" s="9"/>
      <c r="PA646" s="9"/>
      <c r="PB646" s="9"/>
      <c r="PC646" s="9"/>
      <c r="PD646" s="9"/>
      <c r="PE646" s="9"/>
      <c r="PF646" s="9"/>
      <c r="PG646" s="9"/>
      <c r="PH646" s="9"/>
      <c r="PI646" s="9"/>
      <c r="PJ646" s="9"/>
      <c r="PK646" s="9"/>
      <c r="PL646" s="9"/>
      <c r="PM646" s="9"/>
      <c r="PN646" s="9"/>
      <c r="PO646" s="9"/>
      <c r="PP646" s="9"/>
      <c r="PQ646" s="9"/>
      <c r="PR646" s="9"/>
      <c r="PS646" s="9"/>
      <c r="PT646" s="9"/>
      <c r="PU646" s="9"/>
      <c r="PV646" s="9"/>
      <c r="PW646" s="9"/>
      <c r="PX646" s="9"/>
      <c r="PY646" s="9"/>
      <c r="PZ646" s="9"/>
      <c r="QA646" s="9"/>
      <c r="QB646" s="9"/>
      <c r="QC646" s="9"/>
      <c r="QD646" s="9"/>
      <c r="QE646" s="9"/>
      <c r="QF646" s="9"/>
      <c r="QG646" s="9"/>
      <c r="QH646" s="9"/>
      <c r="QI646" s="9"/>
      <c r="QJ646" s="9"/>
      <c r="QK646" s="9"/>
      <c r="QL646" s="9"/>
      <c r="QM646" s="9"/>
      <c r="QN646" s="9"/>
      <c r="QO646" s="9"/>
      <c r="QP646" s="9"/>
      <c r="QQ646" s="9"/>
      <c r="QR646" s="9"/>
      <c r="QS646" s="9"/>
      <c r="QT646" s="9"/>
      <c r="QU646" s="9"/>
      <c r="QV646" s="9"/>
      <c r="QW646" s="9"/>
      <c r="QX646" s="9"/>
      <c r="QY646" s="9"/>
      <c r="QZ646" s="9"/>
      <c r="RA646" s="9"/>
      <c r="RB646" s="9"/>
      <c r="RC646" s="9"/>
      <c r="RD646" s="9"/>
      <c r="RE646" s="9"/>
      <c r="RF646" s="9"/>
      <c r="RG646" s="9"/>
      <c r="RH646" s="9"/>
      <c r="RI646" s="9"/>
      <c r="RJ646" s="9"/>
      <c r="RK646" s="9"/>
      <c r="RL646" s="9"/>
      <c r="RM646" s="9"/>
      <c r="RN646" s="9"/>
      <c r="RO646" s="9"/>
      <c r="RP646" s="9"/>
      <c r="RQ646" s="9"/>
      <c r="RR646" s="9"/>
      <c r="RS646" s="9"/>
      <c r="RT646" s="9"/>
      <c r="RU646" s="9"/>
      <c r="RV646" s="9"/>
      <c r="RW646" s="9"/>
      <c r="RX646" s="9"/>
      <c r="RY646" s="9"/>
      <c r="RZ646" s="9"/>
      <c r="SA646" s="9"/>
      <c r="SB646" s="9"/>
      <c r="SC646" s="9"/>
      <c r="SD646" s="9"/>
      <c r="SE646" s="9"/>
      <c r="SF646" s="9"/>
      <c r="SG646" s="9"/>
      <c r="SH646" s="9"/>
      <c r="SI646" s="9"/>
      <c r="SJ646" s="9"/>
      <c r="SK646" s="9"/>
      <c r="SL646" s="9"/>
      <c r="SM646" s="9"/>
      <c r="SN646" s="9"/>
      <c r="SO646" s="9"/>
      <c r="SP646" s="9"/>
      <c r="SQ646" s="9"/>
      <c r="SR646" s="9"/>
      <c r="SS646" s="9"/>
      <c r="ST646" s="9"/>
      <c r="SU646" s="9"/>
      <c r="SV646" s="9"/>
      <c r="SW646" s="9"/>
      <c r="SX646" s="9"/>
      <c r="SY646" s="9"/>
      <c r="SZ646" s="9"/>
      <c r="TA646" s="9"/>
      <c r="TB646" s="9"/>
      <c r="TC646" s="9"/>
      <c r="TD646" s="9"/>
      <c r="TE646" s="9"/>
      <c r="TF646" s="9"/>
      <c r="TG646" s="9"/>
      <c r="TH646" s="9"/>
      <c r="TI646" s="9"/>
      <c r="TJ646" s="9"/>
      <c r="TK646" s="9"/>
      <c r="TL646" s="9"/>
      <c r="TM646" s="9"/>
      <c r="TN646" s="9"/>
      <c r="TO646" s="9"/>
      <c r="TP646" s="9"/>
      <c r="TQ646" s="9"/>
      <c r="TR646" s="9"/>
      <c r="TS646" s="9"/>
      <c r="TT646" s="9"/>
      <c r="TU646" s="9"/>
      <c r="TV646" s="9"/>
      <c r="TW646" s="9"/>
      <c r="TX646" s="9"/>
      <c r="TY646" s="9"/>
      <c r="TZ646" s="9"/>
      <c r="UA646" s="9"/>
      <c r="UB646" s="9"/>
      <c r="UC646" s="9"/>
      <c r="UD646" s="9"/>
      <c r="UE646" s="9"/>
      <c r="UF646" s="9"/>
      <c r="UG646" s="9"/>
      <c r="UH646" s="9"/>
      <c r="UI646" s="9"/>
      <c r="UJ646" s="9"/>
    </row>
    <row r="647">
      <c r="A647" s="8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  <c r="HZ647" s="9"/>
      <c r="IA647" s="9"/>
      <c r="IB647" s="9"/>
      <c r="IC647" s="9"/>
      <c r="ID647" s="9"/>
      <c r="IE647" s="9"/>
      <c r="IF647" s="9"/>
      <c r="IG647" s="9"/>
      <c r="IH647" s="9"/>
      <c r="II647" s="9"/>
      <c r="IJ647" s="9"/>
      <c r="IK647" s="9"/>
      <c r="IL647" s="9"/>
      <c r="IM647" s="9"/>
      <c r="IN647" s="9"/>
      <c r="IO647" s="9"/>
      <c r="IP647" s="9"/>
      <c r="IQ647" s="9"/>
      <c r="IR647" s="9"/>
      <c r="IS647" s="9"/>
      <c r="IT647" s="9"/>
      <c r="IU647" s="9"/>
      <c r="IV647" s="9"/>
      <c r="IW647" s="9"/>
      <c r="IX647" s="9"/>
      <c r="IY647" s="9"/>
      <c r="IZ647" s="9"/>
      <c r="JA647" s="9"/>
      <c r="JB647" s="9"/>
      <c r="JC647" s="9"/>
      <c r="JD647" s="9"/>
      <c r="JE647" s="9"/>
      <c r="JF647" s="9"/>
      <c r="JG647" s="9"/>
      <c r="JH647" s="9"/>
      <c r="JI647" s="9"/>
      <c r="JJ647" s="9"/>
      <c r="JK647" s="9"/>
      <c r="JL647" s="9"/>
      <c r="JM647" s="9"/>
      <c r="JN647" s="9"/>
      <c r="JO647" s="9"/>
      <c r="JP647" s="9"/>
      <c r="JQ647" s="9"/>
      <c r="JR647" s="9"/>
      <c r="JS647" s="9"/>
      <c r="JT647" s="9"/>
      <c r="JU647" s="9"/>
      <c r="JV647" s="9"/>
      <c r="JW647" s="9"/>
      <c r="JX647" s="9"/>
      <c r="JY647" s="9"/>
      <c r="JZ647" s="9"/>
      <c r="KA647" s="9"/>
      <c r="KB647" s="9"/>
      <c r="KC647" s="9"/>
      <c r="KD647" s="9"/>
      <c r="KE647" s="9"/>
      <c r="KF647" s="9"/>
      <c r="KG647" s="9"/>
      <c r="KH647" s="9"/>
      <c r="KI647" s="9"/>
      <c r="KJ647" s="9"/>
      <c r="KK647" s="9"/>
      <c r="KL647" s="9"/>
      <c r="KM647" s="9"/>
      <c r="KN647" s="9"/>
      <c r="KO647" s="9"/>
      <c r="KP647" s="9"/>
      <c r="KQ647" s="9"/>
      <c r="KR647" s="9"/>
      <c r="KS647" s="9"/>
      <c r="KT647" s="9"/>
      <c r="KU647" s="9"/>
      <c r="KV647" s="9"/>
      <c r="KW647" s="9"/>
      <c r="KX647" s="9"/>
      <c r="KY647" s="9"/>
      <c r="KZ647" s="9"/>
      <c r="LA647" s="9"/>
      <c r="LB647" s="9"/>
      <c r="LC647" s="9"/>
      <c r="LD647" s="9"/>
      <c r="LE647" s="9"/>
      <c r="LF647" s="9"/>
      <c r="LG647" s="9"/>
      <c r="LH647" s="9"/>
      <c r="LI647" s="9"/>
      <c r="LJ647" s="9"/>
      <c r="LK647" s="9"/>
      <c r="LL647" s="9"/>
      <c r="LM647" s="9"/>
      <c r="LN647" s="9"/>
      <c r="LO647" s="9"/>
      <c r="LP647" s="9"/>
      <c r="LQ647" s="9"/>
      <c r="LR647" s="9"/>
      <c r="LS647" s="9"/>
      <c r="LT647" s="9"/>
      <c r="LU647" s="9"/>
      <c r="LV647" s="9"/>
      <c r="LW647" s="9"/>
      <c r="LX647" s="9"/>
      <c r="LY647" s="9"/>
      <c r="LZ647" s="9"/>
      <c r="MA647" s="9"/>
      <c r="MB647" s="9"/>
      <c r="MC647" s="9"/>
      <c r="MD647" s="9"/>
      <c r="ME647" s="9"/>
      <c r="MF647" s="9"/>
      <c r="MG647" s="9"/>
      <c r="MH647" s="9"/>
      <c r="MI647" s="9"/>
      <c r="MJ647" s="9"/>
      <c r="MK647" s="9"/>
      <c r="ML647" s="9"/>
      <c r="MM647" s="9"/>
      <c r="MN647" s="9"/>
      <c r="MO647" s="9"/>
      <c r="MP647" s="9"/>
      <c r="MQ647" s="9"/>
      <c r="MR647" s="9"/>
      <c r="MS647" s="9"/>
      <c r="MT647" s="9"/>
      <c r="MU647" s="9"/>
      <c r="MV647" s="9"/>
      <c r="MW647" s="9"/>
      <c r="MX647" s="9"/>
      <c r="MY647" s="9"/>
      <c r="MZ647" s="9"/>
      <c r="NA647" s="9"/>
      <c r="NB647" s="9"/>
      <c r="NC647" s="9"/>
      <c r="ND647" s="9"/>
      <c r="NE647" s="9"/>
      <c r="NF647" s="9"/>
      <c r="NG647" s="9"/>
      <c r="NH647" s="9"/>
      <c r="NI647" s="9"/>
      <c r="NJ647" s="9"/>
      <c r="NK647" s="9"/>
      <c r="NL647" s="9"/>
      <c r="NM647" s="9"/>
      <c r="NN647" s="9"/>
      <c r="NO647" s="9"/>
      <c r="NP647" s="9"/>
      <c r="NQ647" s="9"/>
      <c r="NR647" s="9"/>
      <c r="NS647" s="9"/>
      <c r="NT647" s="9"/>
      <c r="NU647" s="9"/>
      <c r="NV647" s="9"/>
      <c r="NW647" s="9"/>
      <c r="NX647" s="9"/>
      <c r="NY647" s="9"/>
      <c r="NZ647" s="9"/>
      <c r="OA647" s="9"/>
      <c r="OB647" s="9"/>
      <c r="OC647" s="9"/>
      <c r="OD647" s="9"/>
      <c r="OE647" s="9"/>
      <c r="OF647" s="9"/>
      <c r="OG647" s="9"/>
      <c r="OH647" s="9"/>
      <c r="OI647" s="9"/>
      <c r="OJ647" s="9"/>
      <c r="OK647" s="9"/>
      <c r="OL647" s="9"/>
      <c r="OM647" s="9"/>
      <c r="ON647" s="9"/>
      <c r="OO647" s="9"/>
      <c r="OP647" s="9"/>
      <c r="OQ647" s="9"/>
      <c r="OR647" s="9"/>
      <c r="OS647" s="9"/>
      <c r="OT647" s="9"/>
      <c r="OU647" s="9"/>
      <c r="OV647" s="9"/>
      <c r="OW647" s="9"/>
      <c r="OX647" s="9"/>
      <c r="OY647" s="9"/>
      <c r="OZ647" s="9"/>
      <c r="PA647" s="9"/>
      <c r="PB647" s="9"/>
      <c r="PC647" s="9"/>
      <c r="PD647" s="9"/>
      <c r="PE647" s="9"/>
      <c r="PF647" s="9"/>
      <c r="PG647" s="9"/>
      <c r="PH647" s="9"/>
      <c r="PI647" s="9"/>
      <c r="PJ647" s="9"/>
      <c r="PK647" s="9"/>
      <c r="PL647" s="9"/>
      <c r="PM647" s="9"/>
      <c r="PN647" s="9"/>
      <c r="PO647" s="9"/>
      <c r="PP647" s="9"/>
      <c r="PQ647" s="9"/>
      <c r="PR647" s="9"/>
      <c r="PS647" s="9"/>
      <c r="PT647" s="9"/>
      <c r="PU647" s="9"/>
      <c r="PV647" s="9"/>
      <c r="PW647" s="9"/>
      <c r="PX647" s="9"/>
      <c r="PY647" s="9"/>
      <c r="PZ647" s="9"/>
      <c r="QA647" s="9"/>
      <c r="QB647" s="9"/>
      <c r="QC647" s="9"/>
      <c r="QD647" s="9"/>
      <c r="QE647" s="9"/>
      <c r="QF647" s="9"/>
      <c r="QG647" s="9"/>
      <c r="QH647" s="9"/>
      <c r="QI647" s="9"/>
      <c r="QJ647" s="9"/>
      <c r="QK647" s="9"/>
      <c r="QL647" s="9"/>
      <c r="QM647" s="9"/>
      <c r="QN647" s="9"/>
      <c r="QO647" s="9"/>
      <c r="QP647" s="9"/>
      <c r="QQ647" s="9"/>
      <c r="QR647" s="9"/>
      <c r="QS647" s="9"/>
      <c r="QT647" s="9"/>
      <c r="QU647" s="9"/>
      <c r="QV647" s="9"/>
      <c r="QW647" s="9"/>
      <c r="QX647" s="9"/>
      <c r="QY647" s="9"/>
      <c r="QZ647" s="9"/>
      <c r="RA647" s="9"/>
      <c r="RB647" s="9"/>
      <c r="RC647" s="9"/>
      <c r="RD647" s="9"/>
      <c r="RE647" s="9"/>
      <c r="RF647" s="9"/>
      <c r="RG647" s="9"/>
      <c r="RH647" s="9"/>
      <c r="RI647" s="9"/>
      <c r="RJ647" s="9"/>
      <c r="RK647" s="9"/>
      <c r="RL647" s="9"/>
      <c r="RM647" s="9"/>
      <c r="RN647" s="9"/>
      <c r="RO647" s="9"/>
      <c r="RP647" s="9"/>
      <c r="RQ647" s="9"/>
      <c r="RR647" s="9"/>
      <c r="RS647" s="9"/>
      <c r="RT647" s="9"/>
      <c r="RU647" s="9"/>
      <c r="RV647" s="9"/>
      <c r="RW647" s="9"/>
      <c r="RX647" s="9"/>
      <c r="RY647" s="9"/>
      <c r="RZ647" s="9"/>
      <c r="SA647" s="9"/>
      <c r="SB647" s="9"/>
      <c r="SC647" s="9"/>
      <c r="SD647" s="9"/>
      <c r="SE647" s="9"/>
      <c r="SF647" s="9"/>
      <c r="SG647" s="9"/>
      <c r="SH647" s="9"/>
      <c r="SI647" s="9"/>
      <c r="SJ647" s="9"/>
      <c r="SK647" s="9"/>
      <c r="SL647" s="9"/>
      <c r="SM647" s="9"/>
      <c r="SN647" s="9"/>
      <c r="SO647" s="9"/>
      <c r="SP647" s="9"/>
      <c r="SQ647" s="9"/>
      <c r="SR647" s="9"/>
      <c r="SS647" s="9"/>
      <c r="ST647" s="9"/>
      <c r="SU647" s="9"/>
      <c r="SV647" s="9"/>
      <c r="SW647" s="9"/>
      <c r="SX647" s="9"/>
      <c r="SY647" s="9"/>
      <c r="SZ647" s="9"/>
      <c r="TA647" s="9"/>
      <c r="TB647" s="9"/>
      <c r="TC647" s="9"/>
      <c r="TD647" s="9"/>
      <c r="TE647" s="9"/>
      <c r="TF647" s="9"/>
      <c r="TG647" s="9"/>
      <c r="TH647" s="9"/>
      <c r="TI647" s="9"/>
      <c r="TJ647" s="9"/>
      <c r="TK647" s="9"/>
      <c r="TL647" s="9"/>
      <c r="TM647" s="9"/>
      <c r="TN647" s="9"/>
      <c r="TO647" s="9"/>
      <c r="TP647" s="9"/>
      <c r="TQ647" s="9"/>
      <c r="TR647" s="9"/>
      <c r="TS647" s="9"/>
      <c r="TT647" s="9"/>
      <c r="TU647" s="9"/>
      <c r="TV647" s="9"/>
      <c r="TW647" s="9"/>
      <c r="TX647" s="9"/>
      <c r="TY647" s="9"/>
      <c r="TZ647" s="9"/>
      <c r="UA647" s="9"/>
      <c r="UB647" s="9"/>
      <c r="UC647" s="9"/>
      <c r="UD647" s="9"/>
      <c r="UE647" s="9"/>
      <c r="UF647" s="9"/>
      <c r="UG647" s="9"/>
      <c r="UH647" s="9"/>
      <c r="UI647" s="9"/>
      <c r="UJ647" s="9"/>
    </row>
    <row r="648">
      <c r="A648" s="8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9"/>
      <c r="IA648" s="9"/>
      <c r="IB648" s="9"/>
      <c r="IC648" s="9"/>
      <c r="ID648" s="9"/>
      <c r="IE648" s="9"/>
      <c r="IF648" s="9"/>
      <c r="IG648" s="9"/>
      <c r="IH648" s="9"/>
      <c r="II648" s="9"/>
      <c r="IJ648" s="9"/>
      <c r="IK648" s="9"/>
      <c r="IL648" s="9"/>
      <c r="IM648" s="9"/>
      <c r="IN648" s="9"/>
      <c r="IO648" s="9"/>
      <c r="IP648" s="9"/>
      <c r="IQ648" s="9"/>
      <c r="IR648" s="9"/>
      <c r="IS648" s="9"/>
      <c r="IT648" s="9"/>
      <c r="IU648" s="9"/>
      <c r="IV648" s="9"/>
      <c r="IW648" s="9"/>
      <c r="IX648" s="9"/>
      <c r="IY648" s="9"/>
      <c r="IZ648" s="9"/>
      <c r="JA648" s="9"/>
      <c r="JB648" s="9"/>
      <c r="JC648" s="9"/>
      <c r="JD648" s="9"/>
      <c r="JE648" s="9"/>
      <c r="JF648" s="9"/>
      <c r="JG648" s="9"/>
      <c r="JH648" s="9"/>
      <c r="JI648" s="9"/>
      <c r="JJ648" s="9"/>
      <c r="JK648" s="9"/>
      <c r="JL648" s="9"/>
      <c r="JM648" s="9"/>
      <c r="JN648" s="9"/>
      <c r="JO648" s="9"/>
      <c r="JP648" s="9"/>
      <c r="JQ648" s="9"/>
      <c r="JR648" s="9"/>
      <c r="JS648" s="9"/>
      <c r="JT648" s="9"/>
      <c r="JU648" s="9"/>
      <c r="JV648" s="9"/>
      <c r="JW648" s="9"/>
      <c r="JX648" s="9"/>
      <c r="JY648" s="9"/>
      <c r="JZ648" s="9"/>
      <c r="KA648" s="9"/>
      <c r="KB648" s="9"/>
      <c r="KC648" s="9"/>
      <c r="KD648" s="9"/>
      <c r="KE648" s="9"/>
      <c r="KF648" s="9"/>
      <c r="KG648" s="9"/>
      <c r="KH648" s="9"/>
      <c r="KI648" s="9"/>
      <c r="KJ648" s="9"/>
      <c r="KK648" s="9"/>
      <c r="KL648" s="9"/>
      <c r="KM648" s="9"/>
      <c r="KN648" s="9"/>
      <c r="KO648" s="9"/>
      <c r="KP648" s="9"/>
      <c r="KQ648" s="9"/>
      <c r="KR648" s="9"/>
      <c r="KS648" s="9"/>
      <c r="KT648" s="9"/>
      <c r="KU648" s="9"/>
      <c r="KV648" s="9"/>
      <c r="KW648" s="9"/>
      <c r="KX648" s="9"/>
      <c r="KY648" s="9"/>
      <c r="KZ648" s="9"/>
      <c r="LA648" s="9"/>
      <c r="LB648" s="9"/>
      <c r="LC648" s="9"/>
      <c r="LD648" s="9"/>
      <c r="LE648" s="9"/>
      <c r="LF648" s="9"/>
      <c r="LG648" s="9"/>
      <c r="LH648" s="9"/>
      <c r="LI648" s="9"/>
      <c r="LJ648" s="9"/>
      <c r="LK648" s="9"/>
      <c r="LL648" s="9"/>
      <c r="LM648" s="9"/>
      <c r="LN648" s="9"/>
      <c r="LO648" s="9"/>
      <c r="LP648" s="9"/>
      <c r="LQ648" s="9"/>
      <c r="LR648" s="9"/>
      <c r="LS648" s="9"/>
      <c r="LT648" s="9"/>
      <c r="LU648" s="9"/>
      <c r="LV648" s="9"/>
      <c r="LW648" s="9"/>
      <c r="LX648" s="9"/>
      <c r="LY648" s="9"/>
      <c r="LZ648" s="9"/>
      <c r="MA648" s="9"/>
      <c r="MB648" s="9"/>
      <c r="MC648" s="9"/>
      <c r="MD648" s="9"/>
      <c r="ME648" s="9"/>
      <c r="MF648" s="9"/>
      <c r="MG648" s="9"/>
      <c r="MH648" s="9"/>
      <c r="MI648" s="9"/>
      <c r="MJ648" s="9"/>
      <c r="MK648" s="9"/>
      <c r="ML648" s="9"/>
      <c r="MM648" s="9"/>
      <c r="MN648" s="9"/>
      <c r="MO648" s="9"/>
      <c r="MP648" s="9"/>
      <c r="MQ648" s="9"/>
      <c r="MR648" s="9"/>
      <c r="MS648" s="9"/>
      <c r="MT648" s="9"/>
      <c r="MU648" s="9"/>
      <c r="MV648" s="9"/>
      <c r="MW648" s="9"/>
      <c r="MX648" s="9"/>
      <c r="MY648" s="9"/>
      <c r="MZ648" s="9"/>
      <c r="NA648" s="9"/>
      <c r="NB648" s="9"/>
      <c r="NC648" s="9"/>
      <c r="ND648" s="9"/>
      <c r="NE648" s="9"/>
      <c r="NF648" s="9"/>
      <c r="NG648" s="9"/>
      <c r="NH648" s="9"/>
      <c r="NI648" s="9"/>
      <c r="NJ648" s="9"/>
      <c r="NK648" s="9"/>
      <c r="NL648" s="9"/>
      <c r="NM648" s="9"/>
      <c r="NN648" s="9"/>
      <c r="NO648" s="9"/>
      <c r="NP648" s="9"/>
      <c r="NQ648" s="9"/>
      <c r="NR648" s="9"/>
      <c r="NS648" s="9"/>
      <c r="NT648" s="9"/>
      <c r="NU648" s="9"/>
      <c r="NV648" s="9"/>
      <c r="NW648" s="9"/>
      <c r="NX648" s="9"/>
      <c r="NY648" s="9"/>
      <c r="NZ648" s="9"/>
      <c r="OA648" s="9"/>
      <c r="OB648" s="9"/>
      <c r="OC648" s="9"/>
      <c r="OD648" s="9"/>
      <c r="OE648" s="9"/>
      <c r="OF648" s="9"/>
      <c r="OG648" s="9"/>
      <c r="OH648" s="9"/>
      <c r="OI648" s="9"/>
      <c r="OJ648" s="9"/>
      <c r="OK648" s="9"/>
      <c r="OL648" s="9"/>
      <c r="OM648" s="9"/>
      <c r="ON648" s="9"/>
      <c r="OO648" s="9"/>
      <c r="OP648" s="9"/>
      <c r="OQ648" s="9"/>
      <c r="OR648" s="9"/>
      <c r="OS648" s="9"/>
      <c r="OT648" s="9"/>
      <c r="OU648" s="9"/>
      <c r="OV648" s="9"/>
      <c r="OW648" s="9"/>
      <c r="OX648" s="9"/>
      <c r="OY648" s="9"/>
      <c r="OZ648" s="9"/>
      <c r="PA648" s="9"/>
      <c r="PB648" s="9"/>
      <c r="PC648" s="9"/>
      <c r="PD648" s="9"/>
      <c r="PE648" s="9"/>
      <c r="PF648" s="9"/>
      <c r="PG648" s="9"/>
      <c r="PH648" s="9"/>
      <c r="PI648" s="9"/>
      <c r="PJ648" s="9"/>
      <c r="PK648" s="9"/>
      <c r="PL648" s="9"/>
      <c r="PM648" s="9"/>
      <c r="PN648" s="9"/>
      <c r="PO648" s="9"/>
      <c r="PP648" s="9"/>
      <c r="PQ648" s="9"/>
      <c r="PR648" s="9"/>
      <c r="PS648" s="9"/>
      <c r="PT648" s="9"/>
      <c r="PU648" s="9"/>
      <c r="PV648" s="9"/>
      <c r="PW648" s="9"/>
      <c r="PX648" s="9"/>
      <c r="PY648" s="9"/>
      <c r="PZ648" s="9"/>
      <c r="QA648" s="9"/>
      <c r="QB648" s="9"/>
      <c r="QC648" s="9"/>
      <c r="QD648" s="9"/>
      <c r="QE648" s="9"/>
      <c r="QF648" s="9"/>
      <c r="QG648" s="9"/>
      <c r="QH648" s="9"/>
      <c r="QI648" s="9"/>
      <c r="QJ648" s="9"/>
      <c r="QK648" s="9"/>
      <c r="QL648" s="9"/>
      <c r="QM648" s="9"/>
      <c r="QN648" s="9"/>
      <c r="QO648" s="9"/>
      <c r="QP648" s="9"/>
      <c r="QQ648" s="9"/>
      <c r="QR648" s="9"/>
      <c r="QS648" s="9"/>
      <c r="QT648" s="9"/>
      <c r="QU648" s="9"/>
      <c r="QV648" s="9"/>
      <c r="QW648" s="9"/>
      <c r="QX648" s="9"/>
      <c r="QY648" s="9"/>
      <c r="QZ648" s="9"/>
      <c r="RA648" s="9"/>
      <c r="RB648" s="9"/>
      <c r="RC648" s="9"/>
      <c r="RD648" s="9"/>
      <c r="RE648" s="9"/>
      <c r="RF648" s="9"/>
      <c r="RG648" s="9"/>
      <c r="RH648" s="9"/>
      <c r="RI648" s="9"/>
      <c r="RJ648" s="9"/>
      <c r="RK648" s="9"/>
      <c r="RL648" s="9"/>
      <c r="RM648" s="9"/>
      <c r="RN648" s="9"/>
      <c r="RO648" s="9"/>
      <c r="RP648" s="9"/>
      <c r="RQ648" s="9"/>
      <c r="RR648" s="9"/>
      <c r="RS648" s="9"/>
      <c r="RT648" s="9"/>
      <c r="RU648" s="9"/>
      <c r="RV648" s="9"/>
      <c r="RW648" s="9"/>
      <c r="RX648" s="9"/>
      <c r="RY648" s="9"/>
      <c r="RZ648" s="9"/>
      <c r="SA648" s="9"/>
      <c r="SB648" s="9"/>
      <c r="SC648" s="9"/>
      <c r="SD648" s="9"/>
      <c r="SE648" s="9"/>
      <c r="SF648" s="9"/>
      <c r="SG648" s="9"/>
      <c r="SH648" s="9"/>
      <c r="SI648" s="9"/>
      <c r="SJ648" s="9"/>
      <c r="SK648" s="9"/>
      <c r="SL648" s="9"/>
      <c r="SM648" s="9"/>
      <c r="SN648" s="9"/>
      <c r="SO648" s="9"/>
      <c r="SP648" s="9"/>
      <c r="SQ648" s="9"/>
      <c r="SR648" s="9"/>
      <c r="SS648" s="9"/>
      <c r="ST648" s="9"/>
      <c r="SU648" s="9"/>
      <c r="SV648" s="9"/>
      <c r="SW648" s="9"/>
      <c r="SX648" s="9"/>
      <c r="SY648" s="9"/>
      <c r="SZ648" s="9"/>
      <c r="TA648" s="9"/>
      <c r="TB648" s="9"/>
      <c r="TC648" s="9"/>
      <c r="TD648" s="9"/>
      <c r="TE648" s="9"/>
      <c r="TF648" s="9"/>
      <c r="TG648" s="9"/>
      <c r="TH648" s="9"/>
      <c r="TI648" s="9"/>
      <c r="TJ648" s="9"/>
      <c r="TK648" s="9"/>
      <c r="TL648" s="9"/>
      <c r="TM648" s="9"/>
      <c r="TN648" s="9"/>
      <c r="TO648" s="9"/>
      <c r="TP648" s="9"/>
      <c r="TQ648" s="9"/>
      <c r="TR648" s="9"/>
      <c r="TS648" s="9"/>
      <c r="TT648" s="9"/>
      <c r="TU648" s="9"/>
      <c r="TV648" s="9"/>
      <c r="TW648" s="9"/>
      <c r="TX648" s="9"/>
      <c r="TY648" s="9"/>
      <c r="TZ648" s="9"/>
      <c r="UA648" s="9"/>
      <c r="UB648" s="9"/>
      <c r="UC648" s="9"/>
      <c r="UD648" s="9"/>
      <c r="UE648" s="9"/>
      <c r="UF648" s="9"/>
      <c r="UG648" s="9"/>
      <c r="UH648" s="9"/>
      <c r="UI648" s="9"/>
      <c r="UJ648" s="9"/>
    </row>
    <row r="649">
      <c r="A649" s="8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9"/>
      <c r="IA649" s="9"/>
      <c r="IB649" s="9"/>
      <c r="IC649" s="9"/>
      <c r="ID649" s="9"/>
      <c r="IE649" s="9"/>
      <c r="IF649" s="9"/>
      <c r="IG649" s="9"/>
      <c r="IH649" s="9"/>
      <c r="II649" s="9"/>
      <c r="IJ649" s="9"/>
      <c r="IK649" s="9"/>
      <c r="IL649" s="9"/>
      <c r="IM649" s="9"/>
      <c r="IN649" s="9"/>
      <c r="IO649" s="9"/>
      <c r="IP649" s="9"/>
      <c r="IQ649" s="9"/>
      <c r="IR649" s="9"/>
      <c r="IS649" s="9"/>
      <c r="IT649" s="9"/>
      <c r="IU649" s="9"/>
      <c r="IV649" s="9"/>
      <c r="IW649" s="9"/>
      <c r="IX649" s="9"/>
      <c r="IY649" s="9"/>
      <c r="IZ649" s="9"/>
      <c r="JA649" s="9"/>
      <c r="JB649" s="9"/>
      <c r="JC649" s="9"/>
      <c r="JD649" s="9"/>
      <c r="JE649" s="9"/>
      <c r="JF649" s="9"/>
      <c r="JG649" s="9"/>
      <c r="JH649" s="9"/>
      <c r="JI649" s="9"/>
      <c r="JJ649" s="9"/>
      <c r="JK649" s="9"/>
      <c r="JL649" s="9"/>
      <c r="JM649" s="9"/>
      <c r="JN649" s="9"/>
      <c r="JO649" s="9"/>
      <c r="JP649" s="9"/>
      <c r="JQ649" s="9"/>
      <c r="JR649" s="9"/>
      <c r="JS649" s="9"/>
      <c r="JT649" s="9"/>
      <c r="JU649" s="9"/>
      <c r="JV649" s="9"/>
      <c r="JW649" s="9"/>
      <c r="JX649" s="9"/>
      <c r="JY649" s="9"/>
      <c r="JZ649" s="9"/>
      <c r="KA649" s="9"/>
      <c r="KB649" s="9"/>
      <c r="KC649" s="9"/>
      <c r="KD649" s="9"/>
      <c r="KE649" s="9"/>
      <c r="KF649" s="9"/>
      <c r="KG649" s="9"/>
      <c r="KH649" s="9"/>
      <c r="KI649" s="9"/>
      <c r="KJ649" s="9"/>
      <c r="KK649" s="9"/>
      <c r="KL649" s="9"/>
      <c r="KM649" s="9"/>
      <c r="KN649" s="9"/>
      <c r="KO649" s="9"/>
      <c r="KP649" s="9"/>
      <c r="KQ649" s="9"/>
      <c r="KR649" s="9"/>
      <c r="KS649" s="9"/>
      <c r="KT649" s="9"/>
      <c r="KU649" s="9"/>
      <c r="KV649" s="9"/>
      <c r="KW649" s="9"/>
      <c r="KX649" s="9"/>
      <c r="KY649" s="9"/>
      <c r="KZ649" s="9"/>
      <c r="LA649" s="9"/>
      <c r="LB649" s="9"/>
      <c r="LC649" s="9"/>
      <c r="LD649" s="9"/>
      <c r="LE649" s="9"/>
      <c r="LF649" s="9"/>
      <c r="LG649" s="9"/>
      <c r="LH649" s="9"/>
      <c r="LI649" s="9"/>
      <c r="LJ649" s="9"/>
      <c r="LK649" s="9"/>
      <c r="LL649" s="9"/>
      <c r="LM649" s="9"/>
      <c r="LN649" s="9"/>
      <c r="LO649" s="9"/>
      <c r="LP649" s="9"/>
      <c r="LQ649" s="9"/>
      <c r="LR649" s="9"/>
      <c r="LS649" s="9"/>
      <c r="LT649" s="9"/>
      <c r="LU649" s="9"/>
      <c r="LV649" s="9"/>
      <c r="LW649" s="9"/>
      <c r="LX649" s="9"/>
      <c r="LY649" s="9"/>
      <c r="LZ649" s="9"/>
      <c r="MA649" s="9"/>
      <c r="MB649" s="9"/>
      <c r="MC649" s="9"/>
      <c r="MD649" s="9"/>
      <c r="ME649" s="9"/>
      <c r="MF649" s="9"/>
      <c r="MG649" s="9"/>
      <c r="MH649" s="9"/>
      <c r="MI649" s="9"/>
      <c r="MJ649" s="9"/>
      <c r="MK649" s="9"/>
      <c r="ML649" s="9"/>
      <c r="MM649" s="9"/>
      <c r="MN649" s="9"/>
      <c r="MO649" s="9"/>
      <c r="MP649" s="9"/>
      <c r="MQ649" s="9"/>
      <c r="MR649" s="9"/>
      <c r="MS649" s="9"/>
      <c r="MT649" s="9"/>
      <c r="MU649" s="9"/>
      <c r="MV649" s="9"/>
      <c r="MW649" s="9"/>
      <c r="MX649" s="9"/>
      <c r="MY649" s="9"/>
      <c r="MZ649" s="9"/>
      <c r="NA649" s="9"/>
      <c r="NB649" s="9"/>
      <c r="NC649" s="9"/>
      <c r="ND649" s="9"/>
      <c r="NE649" s="9"/>
      <c r="NF649" s="9"/>
      <c r="NG649" s="9"/>
      <c r="NH649" s="9"/>
      <c r="NI649" s="9"/>
      <c r="NJ649" s="9"/>
      <c r="NK649" s="9"/>
      <c r="NL649" s="9"/>
      <c r="NM649" s="9"/>
      <c r="NN649" s="9"/>
      <c r="NO649" s="9"/>
      <c r="NP649" s="9"/>
      <c r="NQ649" s="9"/>
      <c r="NR649" s="9"/>
      <c r="NS649" s="9"/>
      <c r="NT649" s="9"/>
      <c r="NU649" s="9"/>
      <c r="NV649" s="9"/>
      <c r="NW649" s="9"/>
      <c r="NX649" s="9"/>
      <c r="NY649" s="9"/>
      <c r="NZ649" s="9"/>
      <c r="OA649" s="9"/>
      <c r="OB649" s="9"/>
      <c r="OC649" s="9"/>
      <c r="OD649" s="9"/>
      <c r="OE649" s="9"/>
      <c r="OF649" s="9"/>
      <c r="OG649" s="9"/>
      <c r="OH649" s="9"/>
      <c r="OI649" s="9"/>
      <c r="OJ649" s="9"/>
      <c r="OK649" s="9"/>
      <c r="OL649" s="9"/>
      <c r="OM649" s="9"/>
      <c r="ON649" s="9"/>
      <c r="OO649" s="9"/>
      <c r="OP649" s="9"/>
      <c r="OQ649" s="9"/>
      <c r="OR649" s="9"/>
      <c r="OS649" s="9"/>
      <c r="OT649" s="9"/>
      <c r="OU649" s="9"/>
      <c r="OV649" s="9"/>
      <c r="OW649" s="9"/>
      <c r="OX649" s="9"/>
      <c r="OY649" s="9"/>
      <c r="OZ649" s="9"/>
      <c r="PA649" s="9"/>
      <c r="PB649" s="9"/>
      <c r="PC649" s="9"/>
      <c r="PD649" s="9"/>
      <c r="PE649" s="9"/>
      <c r="PF649" s="9"/>
      <c r="PG649" s="9"/>
      <c r="PH649" s="9"/>
      <c r="PI649" s="9"/>
      <c r="PJ649" s="9"/>
      <c r="PK649" s="9"/>
      <c r="PL649" s="9"/>
      <c r="PM649" s="9"/>
      <c r="PN649" s="9"/>
      <c r="PO649" s="9"/>
      <c r="PP649" s="9"/>
      <c r="PQ649" s="9"/>
      <c r="PR649" s="9"/>
      <c r="PS649" s="9"/>
      <c r="PT649" s="9"/>
      <c r="PU649" s="9"/>
      <c r="PV649" s="9"/>
      <c r="PW649" s="9"/>
      <c r="PX649" s="9"/>
      <c r="PY649" s="9"/>
      <c r="PZ649" s="9"/>
      <c r="QA649" s="9"/>
      <c r="QB649" s="9"/>
      <c r="QC649" s="9"/>
      <c r="QD649" s="9"/>
      <c r="QE649" s="9"/>
      <c r="QF649" s="9"/>
      <c r="QG649" s="9"/>
      <c r="QH649" s="9"/>
      <c r="QI649" s="9"/>
      <c r="QJ649" s="9"/>
      <c r="QK649" s="9"/>
      <c r="QL649" s="9"/>
      <c r="QM649" s="9"/>
      <c r="QN649" s="9"/>
      <c r="QO649" s="9"/>
      <c r="QP649" s="9"/>
      <c r="QQ649" s="9"/>
      <c r="QR649" s="9"/>
      <c r="QS649" s="9"/>
      <c r="QT649" s="9"/>
      <c r="QU649" s="9"/>
      <c r="QV649" s="9"/>
      <c r="QW649" s="9"/>
      <c r="QX649" s="9"/>
      <c r="QY649" s="9"/>
      <c r="QZ649" s="9"/>
      <c r="RA649" s="9"/>
      <c r="RB649" s="9"/>
      <c r="RC649" s="9"/>
      <c r="RD649" s="9"/>
      <c r="RE649" s="9"/>
      <c r="RF649" s="9"/>
      <c r="RG649" s="9"/>
      <c r="RH649" s="9"/>
      <c r="RI649" s="9"/>
      <c r="RJ649" s="9"/>
      <c r="RK649" s="9"/>
      <c r="RL649" s="9"/>
      <c r="RM649" s="9"/>
      <c r="RN649" s="9"/>
      <c r="RO649" s="9"/>
      <c r="RP649" s="9"/>
      <c r="RQ649" s="9"/>
      <c r="RR649" s="9"/>
      <c r="RS649" s="9"/>
      <c r="RT649" s="9"/>
      <c r="RU649" s="9"/>
      <c r="RV649" s="9"/>
      <c r="RW649" s="9"/>
      <c r="RX649" s="9"/>
      <c r="RY649" s="9"/>
      <c r="RZ649" s="9"/>
      <c r="SA649" s="9"/>
      <c r="SB649" s="9"/>
      <c r="SC649" s="9"/>
      <c r="SD649" s="9"/>
      <c r="SE649" s="9"/>
      <c r="SF649" s="9"/>
      <c r="SG649" s="9"/>
      <c r="SH649" s="9"/>
      <c r="SI649" s="9"/>
      <c r="SJ649" s="9"/>
      <c r="SK649" s="9"/>
      <c r="SL649" s="9"/>
      <c r="SM649" s="9"/>
      <c r="SN649" s="9"/>
      <c r="SO649" s="9"/>
      <c r="SP649" s="9"/>
      <c r="SQ649" s="9"/>
      <c r="SR649" s="9"/>
      <c r="SS649" s="9"/>
      <c r="ST649" s="9"/>
      <c r="SU649" s="9"/>
      <c r="SV649" s="9"/>
      <c r="SW649" s="9"/>
      <c r="SX649" s="9"/>
      <c r="SY649" s="9"/>
      <c r="SZ649" s="9"/>
      <c r="TA649" s="9"/>
      <c r="TB649" s="9"/>
      <c r="TC649" s="9"/>
      <c r="TD649" s="9"/>
      <c r="TE649" s="9"/>
      <c r="TF649" s="9"/>
      <c r="TG649" s="9"/>
      <c r="TH649" s="9"/>
      <c r="TI649" s="9"/>
      <c r="TJ649" s="9"/>
      <c r="TK649" s="9"/>
      <c r="TL649" s="9"/>
      <c r="TM649" s="9"/>
      <c r="TN649" s="9"/>
      <c r="TO649" s="9"/>
      <c r="TP649" s="9"/>
      <c r="TQ649" s="9"/>
      <c r="TR649" s="9"/>
      <c r="TS649" s="9"/>
      <c r="TT649" s="9"/>
      <c r="TU649" s="9"/>
      <c r="TV649" s="9"/>
      <c r="TW649" s="9"/>
      <c r="TX649" s="9"/>
      <c r="TY649" s="9"/>
      <c r="TZ649" s="9"/>
      <c r="UA649" s="9"/>
      <c r="UB649" s="9"/>
      <c r="UC649" s="9"/>
      <c r="UD649" s="9"/>
      <c r="UE649" s="9"/>
      <c r="UF649" s="9"/>
      <c r="UG649" s="9"/>
      <c r="UH649" s="9"/>
      <c r="UI649" s="9"/>
      <c r="UJ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  <c r="IC650" s="9"/>
      <c r="ID650" s="9"/>
      <c r="IE650" s="9"/>
      <c r="IF650" s="9"/>
      <c r="IG650" s="9"/>
      <c r="IH650" s="9"/>
      <c r="II650" s="9"/>
      <c r="IJ650" s="9"/>
      <c r="IK650" s="9"/>
      <c r="IL650" s="9"/>
      <c r="IM650" s="9"/>
      <c r="IN650" s="9"/>
      <c r="IO650" s="9"/>
      <c r="IP650" s="9"/>
      <c r="IQ650" s="9"/>
      <c r="IR650" s="9"/>
      <c r="IS650" s="9"/>
      <c r="IT650" s="9"/>
      <c r="IU650" s="9"/>
      <c r="IV650" s="9"/>
      <c r="IW650" s="9"/>
      <c r="IX650" s="9"/>
      <c r="IY650" s="9"/>
      <c r="IZ650" s="9"/>
      <c r="JA650" s="9"/>
      <c r="JB650" s="9"/>
      <c r="JC650" s="9"/>
      <c r="JD650" s="9"/>
      <c r="JE650" s="9"/>
      <c r="JF650" s="9"/>
      <c r="JG650" s="9"/>
      <c r="JH650" s="9"/>
      <c r="JI650" s="9"/>
      <c r="JJ650" s="9"/>
      <c r="JK650" s="9"/>
      <c r="JL650" s="9"/>
      <c r="JM650" s="9"/>
      <c r="JN650" s="9"/>
      <c r="JO650" s="9"/>
      <c r="JP650" s="9"/>
      <c r="JQ650" s="9"/>
      <c r="JR650" s="9"/>
      <c r="JS650" s="9"/>
      <c r="JT650" s="9"/>
      <c r="JU650" s="9"/>
      <c r="JV650" s="9"/>
      <c r="JW650" s="9"/>
      <c r="JX650" s="9"/>
      <c r="JY650" s="9"/>
      <c r="JZ650" s="9"/>
      <c r="KA650" s="9"/>
      <c r="KB650" s="9"/>
      <c r="KC650" s="9"/>
      <c r="KD650" s="9"/>
      <c r="KE650" s="9"/>
      <c r="KF650" s="9"/>
      <c r="KG650" s="9"/>
      <c r="KH650" s="9"/>
      <c r="KI650" s="9"/>
      <c r="KJ650" s="9"/>
      <c r="KK650" s="9"/>
      <c r="KL650" s="9"/>
      <c r="KM650" s="9"/>
      <c r="KN650" s="9"/>
      <c r="KO650" s="9"/>
      <c r="KP650" s="9"/>
      <c r="KQ650" s="9"/>
      <c r="KR650" s="9"/>
      <c r="KS650" s="9"/>
      <c r="KT650" s="9"/>
      <c r="KU650" s="9"/>
      <c r="KV650" s="9"/>
      <c r="KW650" s="9"/>
      <c r="KX650" s="9"/>
      <c r="KY650" s="9"/>
      <c r="KZ650" s="9"/>
      <c r="LA650" s="9"/>
      <c r="LB650" s="9"/>
      <c r="LC650" s="9"/>
      <c r="LD650" s="9"/>
      <c r="LE650" s="9"/>
      <c r="LF650" s="9"/>
      <c r="LG650" s="9"/>
      <c r="LH650" s="9"/>
      <c r="LI650" s="9"/>
      <c r="LJ650" s="9"/>
      <c r="LK650" s="9"/>
      <c r="LL650" s="9"/>
      <c r="LM650" s="9"/>
      <c r="LN650" s="9"/>
      <c r="LO650" s="9"/>
      <c r="LP650" s="9"/>
      <c r="LQ650" s="9"/>
      <c r="LR650" s="9"/>
      <c r="LS650" s="9"/>
      <c r="LT650" s="9"/>
      <c r="LU650" s="9"/>
      <c r="LV650" s="9"/>
      <c r="LW650" s="9"/>
      <c r="LX650" s="9"/>
      <c r="LY650" s="9"/>
      <c r="LZ650" s="9"/>
      <c r="MA650" s="9"/>
      <c r="MB650" s="9"/>
      <c r="MC650" s="9"/>
      <c r="MD650" s="9"/>
      <c r="ME650" s="9"/>
      <c r="MF650" s="9"/>
      <c r="MG650" s="9"/>
      <c r="MH650" s="9"/>
      <c r="MI650" s="9"/>
      <c r="MJ650" s="9"/>
      <c r="MK650" s="9"/>
      <c r="ML650" s="9"/>
      <c r="MM650" s="9"/>
      <c r="MN650" s="9"/>
      <c r="MO650" s="9"/>
      <c r="MP650" s="9"/>
      <c r="MQ650" s="9"/>
      <c r="MR650" s="9"/>
      <c r="MS650" s="9"/>
      <c r="MT650" s="9"/>
      <c r="MU650" s="9"/>
      <c r="MV650" s="9"/>
      <c r="MW650" s="9"/>
      <c r="MX650" s="9"/>
      <c r="MY650" s="9"/>
      <c r="MZ650" s="9"/>
      <c r="NA650" s="9"/>
      <c r="NB650" s="9"/>
      <c r="NC650" s="9"/>
      <c r="ND650" s="9"/>
      <c r="NE650" s="9"/>
      <c r="NF650" s="9"/>
      <c r="NG650" s="9"/>
      <c r="NH650" s="9"/>
      <c r="NI650" s="9"/>
      <c r="NJ650" s="9"/>
      <c r="NK650" s="9"/>
      <c r="NL650" s="9"/>
      <c r="NM650" s="9"/>
      <c r="NN650" s="9"/>
      <c r="NO650" s="9"/>
      <c r="NP650" s="9"/>
      <c r="NQ650" s="9"/>
      <c r="NR650" s="9"/>
      <c r="NS650" s="9"/>
      <c r="NT650" s="9"/>
      <c r="NU650" s="9"/>
      <c r="NV650" s="9"/>
      <c r="NW650" s="9"/>
      <c r="NX650" s="9"/>
      <c r="NY650" s="9"/>
      <c r="NZ650" s="9"/>
      <c r="OA650" s="9"/>
      <c r="OB650" s="9"/>
      <c r="OC650" s="9"/>
      <c r="OD650" s="9"/>
      <c r="OE650" s="9"/>
      <c r="OF650" s="9"/>
      <c r="OG650" s="9"/>
      <c r="OH650" s="9"/>
      <c r="OI650" s="9"/>
      <c r="OJ650" s="9"/>
      <c r="OK650" s="9"/>
      <c r="OL650" s="9"/>
      <c r="OM650" s="9"/>
      <c r="ON650" s="9"/>
      <c r="OO650" s="9"/>
      <c r="OP650" s="9"/>
      <c r="OQ650" s="9"/>
      <c r="OR650" s="9"/>
      <c r="OS650" s="9"/>
      <c r="OT650" s="9"/>
      <c r="OU650" s="9"/>
      <c r="OV650" s="9"/>
      <c r="OW650" s="9"/>
      <c r="OX650" s="9"/>
      <c r="OY650" s="9"/>
      <c r="OZ650" s="9"/>
      <c r="PA650" s="9"/>
      <c r="PB650" s="9"/>
      <c r="PC650" s="9"/>
      <c r="PD650" s="9"/>
      <c r="PE650" s="9"/>
      <c r="PF650" s="9"/>
      <c r="PG650" s="9"/>
      <c r="PH650" s="9"/>
      <c r="PI650" s="9"/>
      <c r="PJ650" s="9"/>
      <c r="PK650" s="9"/>
      <c r="PL650" s="9"/>
      <c r="PM650" s="9"/>
      <c r="PN650" s="9"/>
      <c r="PO650" s="9"/>
      <c r="PP650" s="9"/>
      <c r="PQ650" s="9"/>
      <c r="PR650" s="9"/>
      <c r="PS650" s="9"/>
      <c r="PT650" s="9"/>
      <c r="PU650" s="9"/>
      <c r="PV650" s="9"/>
      <c r="PW650" s="9"/>
      <c r="PX650" s="9"/>
      <c r="PY650" s="9"/>
      <c r="PZ650" s="9"/>
      <c r="QA650" s="9"/>
      <c r="QB650" s="9"/>
      <c r="QC650" s="9"/>
      <c r="QD650" s="9"/>
      <c r="QE650" s="9"/>
      <c r="QF650" s="9"/>
      <c r="QG650" s="9"/>
      <c r="QH650" s="9"/>
      <c r="QI650" s="9"/>
      <c r="QJ650" s="9"/>
      <c r="QK650" s="9"/>
      <c r="QL650" s="9"/>
      <c r="QM650" s="9"/>
      <c r="QN650" s="9"/>
      <c r="QO650" s="9"/>
      <c r="QP650" s="9"/>
      <c r="QQ650" s="9"/>
      <c r="QR650" s="9"/>
      <c r="QS650" s="9"/>
      <c r="QT650" s="9"/>
      <c r="QU650" s="9"/>
      <c r="QV650" s="9"/>
      <c r="QW650" s="9"/>
      <c r="QX650" s="9"/>
      <c r="QY650" s="9"/>
      <c r="QZ650" s="9"/>
      <c r="RA650" s="9"/>
      <c r="RB650" s="9"/>
      <c r="RC650" s="9"/>
      <c r="RD650" s="9"/>
      <c r="RE650" s="9"/>
      <c r="RF650" s="9"/>
      <c r="RG650" s="9"/>
      <c r="RH650" s="9"/>
      <c r="RI650" s="9"/>
      <c r="RJ650" s="9"/>
      <c r="RK650" s="9"/>
      <c r="RL650" s="9"/>
      <c r="RM650" s="9"/>
      <c r="RN650" s="9"/>
      <c r="RO650" s="9"/>
      <c r="RP650" s="9"/>
      <c r="RQ650" s="9"/>
      <c r="RR650" s="9"/>
      <c r="RS650" s="9"/>
      <c r="RT650" s="9"/>
      <c r="RU650" s="9"/>
      <c r="RV650" s="9"/>
      <c r="RW650" s="9"/>
      <c r="RX650" s="9"/>
      <c r="RY650" s="9"/>
      <c r="RZ650" s="9"/>
      <c r="SA650" s="9"/>
      <c r="SB650" s="9"/>
      <c r="SC650" s="9"/>
      <c r="SD650" s="9"/>
      <c r="SE650" s="9"/>
      <c r="SF650" s="9"/>
      <c r="SG650" s="9"/>
      <c r="SH650" s="9"/>
      <c r="SI650" s="9"/>
      <c r="SJ650" s="9"/>
      <c r="SK650" s="9"/>
      <c r="SL650" s="9"/>
      <c r="SM650" s="9"/>
      <c r="SN650" s="9"/>
      <c r="SO650" s="9"/>
      <c r="SP650" s="9"/>
      <c r="SQ650" s="9"/>
      <c r="SR650" s="9"/>
      <c r="SS650" s="9"/>
      <c r="ST650" s="9"/>
      <c r="SU650" s="9"/>
      <c r="SV650" s="9"/>
      <c r="SW650" s="9"/>
      <c r="SX650" s="9"/>
      <c r="SY650" s="9"/>
      <c r="SZ650" s="9"/>
      <c r="TA650" s="9"/>
      <c r="TB650" s="9"/>
      <c r="TC650" s="9"/>
      <c r="TD650" s="9"/>
      <c r="TE650" s="9"/>
      <c r="TF650" s="9"/>
      <c r="TG650" s="9"/>
      <c r="TH650" s="9"/>
      <c r="TI650" s="9"/>
      <c r="TJ650" s="9"/>
      <c r="TK650" s="9"/>
      <c r="TL650" s="9"/>
      <c r="TM650" s="9"/>
      <c r="TN650" s="9"/>
      <c r="TO650" s="9"/>
      <c r="TP650" s="9"/>
      <c r="TQ650" s="9"/>
      <c r="TR650" s="9"/>
      <c r="TS650" s="9"/>
      <c r="TT650" s="9"/>
      <c r="TU650" s="9"/>
      <c r="TV650" s="9"/>
      <c r="TW650" s="9"/>
      <c r="TX650" s="9"/>
      <c r="TY650" s="9"/>
      <c r="TZ650" s="9"/>
      <c r="UA650" s="9"/>
      <c r="UB650" s="9"/>
      <c r="UC650" s="9"/>
      <c r="UD650" s="9"/>
      <c r="UE650" s="9"/>
      <c r="UF650" s="9"/>
      <c r="UG650" s="9"/>
      <c r="UH650" s="9"/>
      <c r="UI650" s="9"/>
      <c r="UJ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  <c r="IC651" s="9"/>
      <c r="ID651" s="9"/>
      <c r="IE651" s="9"/>
      <c r="IF651" s="9"/>
      <c r="IG651" s="9"/>
      <c r="IH651" s="9"/>
      <c r="II651" s="9"/>
      <c r="IJ651" s="9"/>
      <c r="IK651" s="9"/>
      <c r="IL651" s="9"/>
      <c r="IM651" s="9"/>
      <c r="IN651" s="9"/>
      <c r="IO651" s="9"/>
      <c r="IP651" s="9"/>
      <c r="IQ651" s="9"/>
      <c r="IR651" s="9"/>
      <c r="IS651" s="9"/>
      <c r="IT651" s="9"/>
      <c r="IU651" s="9"/>
      <c r="IV651" s="9"/>
      <c r="IW651" s="9"/>
      <c r="IX651" s="9"/>
      <c r="IY651" s="9"/>
      <c r="IZ651" s="9"/>
      <c r="JA651" s="9"/>
      <c r="JB651" s="9"/>
      <c r="JC651" s="9"/>
      <c r="JD651" s="9"/>
      <c r="JE651" s="9"/>
      <c r="JF651" s="9"/>
      <c r="JG651" s="9"/>
      <c r="JH651" s="9"/>
      <c r="JI651" s="9"/>
      <c r="JJ651" s="9"/>
      <c r="JK651" s="9"/>
      <c r="JL651" s="9"/>
      <c r="JM651" s="9"/>
      <c r="JN651" s="9"/>
      <c r="JO651" s="9"/>
      <c r="JP651" s="9"/>
      <c r="JQ651" s="9"/>
      <c r="JR651" s="9"/>
      <c r="JS651" s="9"/>
      <c r="JT651" s="9"/>
      <c r="JU651" s="9"/>
      <c r="JV651" s="9"/>
      <c r="JW651" s="9"/>
      <c r="JX651" s="9"/>
      <c r="JY651" s="9"/>
      <c r="JZ651" s="9"/>
      <c r="KA651" s="9"/>
      <c r="KB651" s="9"/>
      <c r="KC651" s="9"/>
      <c r="KD651" s="9"/>
      <c r="KE651" s="9"/>
      <c r="KF651" s="9"/>
      <c r="KG651" s="9"/>
      <c r="KH651" s="9"/>
      <c r="KI651" s="9"/>
      <c r="KJ651" s="9"/>
      <c r="KK651" s="9"/>
      <c r="KL651" s="9"/>
      <c r="KM651" s="9"/>
      <c r="KN651" s="9"/>
      <c r="KO651" s="9"/>
      <c r="KP651" s="9"/>
      <c r="KQ651" s="9"/>
      <c r="KR651" s="9"/>
      <c r="KS651" s="9"/>
      <c r="KT651" s="9"/>
      <c r="KU651" s="9"/>
      <c r="KV651" s="9"/>
      <c r="KW651" s="9"/>
      <c r="KX651" s="9"/>
      <c r="KY651" s="9"/>
      <c r="KZ651" s="9"/>
      <c r="LA651" s="9"/>
      <c r="LB651" s="9"/>
      <c r="LC651" s="9"/>
      <c r="LD651" s="9"/>
      <c r="LE651" s="9"/>
      <c r="LF651" s="9"/>
      <c r="LG651" s="9"/>
      <c r="LH651" s="9"/>
      <c r="LI651" s="9"/>
      <c r="LJ651" s="9"/>
      <c r="LK651" s="9"/>
      <c r="LL651" s="9"/>
      <c r="LM651" s="9"/>
      <c r="LN651" s="9"/>
      <c r="LO651" s="9"/>
      <c r="LP651" s="9"/>
      <c r="LQ651" s="9"/>
      <c r="LR651" s="9"/>
      <c r="LS651" s="9"/>
      <c r="LT651" s="9"/>
      <c r="LU651" s="9"/>
      <c r="LV651" s="9"/>
      <c r="LW651" s="9"/>
      <c r="LX651" s="9"/>
      <c r="LY651" s="9"/>
      <c r="LZ651" s="9"/>
      <c r="MA651" s="9"/>
      <c r="MB651" s="9"/>
      <c r="MC651" s="9"/>
      <c r="MD651" s="9"/>
      <c r="ME651" s="9"/>
      <c r="MF651" s="9"/>
      <c r="MG651" s="9"/>
      <c r="MH651" s="9"/>
      <c r="MI651" s="9"/>
      <c r="MJ651" s="9"/>
      <c r="MK651" s="9"/>
      <c r="ML651" s="9"/>
      <c r="MM651" s="9"/>
      <c r="MN651" s="9"/>
      <c r="MO651" s="9"/>
      <c r="MP651" s="9"/>
      <c r="MQ651" s="9"/>
      <c r="MR651" s="9"/>
      <c r="MS651" s="9"/>
      <c r="MT651" s="9"/>
      <c r="MU651" s="9"/>
      <c r="MV651" s="9"/>
      <c r="MW651" s="9"/>
      <c r="MX651" s="9"/>
      <c r="MY651" s="9"/>
      <c r="MZ651" s="9"/>
      <c r="NA651" s="9"/>
      <c r="NB651" s="9"/>
      <c r="NC651" s="9"/>
      <c r="ND651" s="9"/>
      <c r="NE651" s="9"/>
      <c r="NF651" s="9"/>
      <c r="NG651" s="9"/>
      <c r="NH651" s="9"/>
      <c r="NI651" s="9"/>
      <c r="NJ651" s="9"/>
      <c r="NK651" s="9"/>
      <c r="NL651" s="9"/>
      <c r="NM651" s="9"/>
      <c r="NN651" s="9"/>
      <c r="NO651" s="9"/>
      <c r="NP651" s="9"/>
      <c r="NQ651" s="9"/>
      <c r="NR651" s="9"/>
      <c r="NS651" s="9"/>
      <c r="NT651" s="9"/>
      <c r="NU651" s="9"/>
      <c r="NV651" s="9"/>
      <c r="NW651" s="9"/>
      <c r="NX651" s="9"/>
      <c r="NY651" s="9"/>
      <c r="NZ651" s="9"/>
      <c r="OA651" s="9"/>
      <c r="OB651" s="9"/>
      <c r="OC651" s="9"/>
      <c r="OD651" s="9"/>
      <c r="OE651" s="9"/>
      <c r="OF651" s="9"/>
      <c r="OG651" s="9"/>
      <c r="OH651" s="9"/>
      <c r="OI651" s="9"/>
      <c r="OJ651" s="9"/>
      <c r="OK651" s="9"/>
      <c r="OL651" s="9"/>
      <c r="OM651" s="9"/>
      <c r="ON651" s="9"/>
      <c r="OO651" s="9"/>
      <c r="OP651" s="9"/>
      <c r="OQ651" s="9"/>
      <c r="OR651" s="9"/>
      <c r="OS651" s="9"/>
      <c r="OT651" s="9"/>
      <c r="OU651" s="9"/>
      <c r="OV651" s="9"/>
      <c r="OW651" s="9"/>
      <c r="OX651" s="9"/>
      <c r="OY651" s="9"/>
      <c r="OZ651" s="9"/>
      <c r="PA651" s="9"/>
      <c r="PB651" s="9"/>
      <c r="PC651" s="9"/>
      <c r="PD651" s="9"/>
      <c r="PE651" s="9"/>
      <c r="PF651" s="9"/>
      <c r="PG651" s="9"/>
      <c r="PH651" s="9"/>
      <c r="PI651" s="9"/>
      <c r="PJ651" s="9"/>
      <c r="PK651" s="9"/>
      <c r="PL651" s="9"/>
      <c r="PM651" s="9"/>
      <c r="PN651" s="9"/>
      <c r="PO651" s="9"/>
      <c r="PP651" s="9"/>
      <c r="PQ651" s="9"/>
      <c r="PR651" s="9"/>
      <c r="PS651" s="9"/>
      <c r="PT651" s="9"/>
      <c r="PU651" s="9"/>
      <c r="PV651" s="9"/>
      <c r="PW651" s="9"/>
      <c r="PX651" s="9"/>
      <c r="PY651" s="9"/>
      <c r="PZ651" s="9"/>
      <c r="QA651" s="9"/>
      <c r="QB651" s="9"/>
      <c r="QC651" s="9"/>
      <c r="QD651" s="9"/>
      <c r="QE651" s="9"/>
      <c r="QF651" s="9"/>
      <c r="QG651" s="9"/>
      <c r="QH651" s="9"/>
      <c r="QI651" s="9"/>
      <c r="QJ651" s="9"/>
      <c r="QK651" s="9"/>
      <c r="QL651" s="9"/>
      <c r="QM651" s="9"/>
      <c r="QN651" s="9"/>
      <c r="QO651" s="9"/>
      <c r="QP651" s="9"/>
      <c r="QQ651" s="9"/>
      <c r="QR651" s="9"/>
      <c r="QS651" s="9"/>
      <c r="QT651" s="9"/>
      <c r="QU651" s="9"/>
      <c r="QV651" s="9"/>
      <c r="QW651" s="9"/>
      <c r="QX651" s="9"/>
      <c r="QY651" s="9"/>
      <c r="QZ651" s="9"/>
      <c r="RA651" s="9"/>
      <c r="RB651" s="9"/>
      <c r="RC651" s="9"/>
      <c r="RD651" s="9"/>
      <c r="RE651" s="9"/>
      <c r="RF651" s="9"/>
      <c r="RG651" s="9"/>
      <c r="RH651" s="9"/>
      <c r="RI651" s="9"/>
      <c r="RJ651" s="9"/>
      <c r="RK651" s="9"/>
      <c r="RL651" s="9"/>
      <c r="RM651" s="9"/>
      <c r="RN651" s="9"/>
      <c r="RO651" s="9"/>
      <c r="RP651" s="9"/>
      <c r="RQ651" s="9"/>
      <c r="RR651" s="9"/>
      <c r="RS651" s="9"/>
      <c r="RT651" s="9"/>
      <c r="RU651" s="9"/>
      <c r="RV651" s="9"/>
      <c r="RW651" s="9"/>
      <c r="RX651" s="9"/>
      <c r="RY651" s="9"/>
      <c r="RZ651" s="9"/>
      <c r="SA651" s="9"/>
      <c r="SB651" s="9"/>
      <c r="SC651" s="9"/>
      <c r="SD651" s="9"/>
      <c r="SE651" s="9"/>
      <c r="SF651" s="9"/>
      <c r="SG651" s="9"/>
      <c r="SH651" s="9"/>
      <c r="SI651" s="9"/>
      <c r="SJ651" s="9"/>
      <c r="SK651" s="9"/>
      <c r="SL651" s="9"/>
      <c r="SM651" s="9"/>
      <c r="SN651" s="9"/>
      <c r="SO651" s="9"/>
      <c r="SP651" s="9"/>
      <c r="SQ651" s="9"/>
      <c r="SR651" s="9"/>
      <c r="SS651" s="9"/>
      <c r="ST651" s="9"/>
      <c r="SU651" s="9"/>
      <c r="SV651" s="9"/>
      <c r="SW651" s="9"/>
      <c r="SX651" s="9"/>
      <c r="SY651" s="9"/>
      <c r="SZ651" s="9"/>
      <c r="TA651" s="9"/>
      <c r="TB651" s="9"/>
      <c r="TC651" s="9"/>
      <c r="TD651" s="9"/>
      <c r="TE651" s="9"/>
      <c r="TF651" s="9"/>
      <c r="TG651" s="9"/>
      <c r="TH651" s="9"/>
      <c r="TI651" s="9"/>
      <c r="TJ651" s="9"/>
      <c r="TK651" s="9"/>
      <c r="TL651" s="9"/>
      <c r="TM651" s="9"/>
      <c r="TN651" s="9"/>
      <c r="TO651" s="9"/>
      <c r="TP651" s="9"/>
      <c r="TQ651" s="9"/>
      <c r="TR651" s="9"/>
      <c r="TS651" s="9"/>
      <c r="TT651" s="9"/>
      <c r="TU651" s="9"/>
      <c r="TV651" s="9"/>
      <c r="TW651" s="9"/>
      <c r="TX651" s="9"/>
      <c r="TY651" s="9"/>
      <c r="TZ651" s="9"/>
      <c r="UA651" s="9"/>
      <c r="UB651" s="9"/>
      <c r="UC651" s="9"/>
      <c r="UD651" s="9"/>
      <c r="UE651" s="9"/>
      <c r="UF651" s="9"/>
      <c r="UG651" s="9"/>
      <c r="UH651" s="9"/>
      <c r="UI651" s="9"/>
      <c r="UJ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  <c r="HZ652" s="9"/>
      <c r="IA652" s="9"/>
      <c r="IB652" s="9"/>
      <c r="IC652" s="9"/>
      <c r="ID652" s="9"/>
      <c r="IE652" s="9"/>
      <c r="IF652" s="9"/>
      <c r="IG652" s="9"/>
      <c r="IH652" s="9"/>
      <c r="II652" s="9"/>
      <c r="IJ652" s="9"/>
      <c r="IK652" s="9"/>
      <c r="IL652" s="9"/>
      <c r="IM652" s="9"/>
      <c r="IN652" s="9"/>
      <c r="IO652" s="9"/>
      <c r="IP652" s="9"/>
      <c r="IQ652" s="9"/>
      <c r="IR652" s="9"/>
      <c r="IS652" s="9"/>
      <c r="IT652" s="9"/>
      <c r="IU652" s="9"/>
      <c r="IV652" s="9"/>
      <c r="IW652" s="9"/>
      <c r="IX652" s="9"/>
      <c r="IY652" s="9"/>
      <c r="IZ652" s="9"/>
      <c r="JA652" s="9"/>
      <c r="JB652" s="9"/>
      <c r="JC652" s="9"/>
      <c r="JD652" s="9"/>
      <c r="JE652" s="9"/>
      <c r="JF652" s="9"/>
      <c r="JG652" s="9"/>
      <c r="JH652" s="9"/>
      <c r="JI652" s="9"/>
      <c r="JJ652" s="9"/>
      <c r="JK652" s="9"/>
      <c r="JL652" s="9"/>
      <c r="JM652" s="9"/>
      <c r="JN652" s="9"/>
      <c r="JO652" s="9"/>
      <c r="JP652" s="9"/>
      <c r="JQ652" s="9"/>
      <c r="JR652" s="9"/>
      <c r="JS652" s="9"/>
      <c r="JT652" s="9"/>
      <c r="JU652" s="9"/>
      <c r="JV652" s="9"/>
      <c r="JW652" s="9"/>
      <c r="JX652" s="9"/>
      <c r="JY652" s="9"/>
      <c r="JZ652" s="9"/>
      <c r="KA652" s="9"/>
      <c r="KB652" s="9"/>
      <c r="KC652" s="9"/>
      <c r="KD652" s="9"/>
      <c r="KE652" s="9"/>
      <c r="KF652" s="9"/>
      <c r="KG652" s="9"/>
      <c r="KH652" s="9"/>
      <c r="KI652" s="9"/>
      <c r="KJ652" s="9"/>
      <c r="KK652" s="9"/>
      <c r="KL652" s="9"/>
      <c r="KM652" s="9"/>
      <c r="KN652" s="9"/>
      <c r="KO652" s="9"/>
      <c r="KP652" s="9"/>
      <c r="KQ652" s="9"/>
      <c r="KR652" s="9"/>
      <c r="KS652" s="9"/>
      <c r="KT652" s="9"/>
      <c r="KU652" s="9"/>
      <c r="KV652" s="9"/>
      <c r="KW652" s="9"/>
      <c r="KX652" s="9"/>
      <c r="KY652" s="9"/>
      <c r="KZ652" s="9"/>
      <c r="LA652" s="9"/>
      <c r="LB652" s="9"/>
      <c r="LC652" s="9"/>
      <c r="LD652" s="9"/>
      <c r="LE652" s="9"/>
      <c r="LF652" s="9"/>
      <c r="LG652" s="9"/>
      <c r="LH652" s="9"/>
      <c r="LI652" s="9"/>
      <c r="LJ652" s="9"/>
      <c r="LK652" s="9"/>
      <c r="LL652" s="9"/>
      <c r="LM652" s="9"/>
      <c r="LN652" s="9"/>
      <c r="LO652" s="9"/>
      <c r="LP652" s="9"/>
      <c r="LQ652" s="9"/>
      <c r="LR652" s="9"/>
      <c r="LS652" s="9"/>
      <c r="LT652" s="9"/>
      <c r="LU652" s="9"/>
      <c r="LV652" s="9"/>
      <c r="LW652" s="9"/>
      <c r="LX652" s="9"/>
      <c r="LY652" s="9"/>
      <c r="LZ652" s="9"/>
      <c r="MA652" s="9"/>
      <c r="MB652" s="9"/>
      <c r="MC652" s="9"/>
      <c r="MD652" s="9"/>
      <c r="ME652" s="9"/>
      <c r="MF652" s="9"/>
      <c r="MG652" s="9"/>
      <c r="MH652" s="9"/>
      <c r="MI652" s="9"/>
      <c r="MJ652" s="9"/>
      <c r="MK652" s="9"/>
      <c r="ML652" s="9"/>
      <c r="MM652" s="9"/>
      <c r="MN652" s="9"/>
      <c r="MO652" s="9"/>
      <c r="MP652" s="9"/>
      <c r="MQ652" s="9"/>
      <c r="MR652" s="9"/>
      <c r="MS652" s="9"/>
      <c r="MT652" s="9"/>
      <c r="MU652" s="9"/>
      <c r="MV652" s="9"/>
      <c r="MW652" s="9"/>
      <c r="MX652" s="9"/>
      <c r="MY652" s="9"/>
      <c r="MZ652" s="9"/>
      <c r="NA652" s="9"/>
      <c r="NB652" s="9"/>
      <c r="NC652" s="9"/>
      <c r="ND652" s="9"/>
      <c r="NE652" s="9"/>
      <c r="NF652" s="9"/>
      <c r="NG652" s="9"/>
      <c r="NH652" s="9"/>
      <c r="NI652" s="9"/>
      <c r="NJ652" s="9"/>
      <c r="NK652" s="9"/>
      <c r="NL652" s="9"/>
      <c r="NM652" s="9"/>
      <c r="NN652" s="9"/>
      <c r="NO652" s="9"/>
      <c r="NP652" s="9"/>
      <c r="NQ652" s="9"/>
      <c r="NR652" s="9"/>
      <c r="NS652" s="9"/>
      <c r="NT652" s="9"/>
      <c r="NU652" s="9"/>
      <c r="NV652" s="9"/>
      <c r="NW652" s="9"/>
      <c r="NX652" s="9"/>
      <c r="NY652" s="9"/>
      <c r="NZ652" s="9"/>
      <c r="OA652" s="9"/>
      <c r="OB652" s="9"/>
      <c r="OC652" s="9"/>
      <c r="OD652" s="9"/>
      <c r="OE652" s="9"/>
      <c r="OF652" s="9"/>
      <c r="OG652" s="9"/>
      <c r="OH652" s="9"/>
      <c r="OI652" s="9"/>
      <c r="OJ652" s="9"/>
      <c r="OK652" s="9"/>
      <c r="OL652" s="9"/>
      <c r="OM652" s="9"/>
      <c r="ON652" s="9"/>
      <c r="OO652" s="9"/>
      <c r="OP652" s="9"/>
      <c r="OQ652" s="9"/>
      <c r="OR652" s="9"/>
      <c r="OS652" s="9"/>
      <c r="OT652" s="9"/>
      <c r="OU652" s="9"/>
      <c r="OV652" s="9"/>
      <c r="OW652" s="9"/>
      <c r="OX652" s="9"/>
      <c r="OY652" s="9"/>
      <c r="OZ652" s="9"/>
      <c r="PA652" s="9"/>
      <c r="PB652" s="9"/>
      <c r="PC652" s="9"/>
      <c r="PD652" s="9"/>
      <c r="PE652" s="9"/>
      <c r="PF652" s="9"/>
      <c r="PG652" s="9"/>
      <c r="PH652" s="9"/>
      <c r="PI652" s="9"/>
      <c r="PJ652" s="9"/>
      <c r="PK652" s="9"/>
      <c r="PL652" s="9"/>
      <c r="PM652" s="9"/>
      <c r="PN652" s="9"/>
      <c r="PO652" s="9"/>
      <c r="PP652" s="9"/>
      <c r="PQ652" s="9"/>
      <c r="PR652" s="9"/>
      <c r="PS652" s="9"/>
      <c r="PT652" s="9"/>
      <c r="PU652" s="9"/>
      <c r="PV652" s="9"/>
      <c r="PW652" s="9"/>
      <c r="PX652" s="9"/>
      <c r="PY652" s="9"/>
      <c r="PZ652" s="9"/>
      <c r="QA652" s="9"/>
      <c r="QB652" s="9"/>
      <c r="QC652" s="9"/>
      <c r="QD652" s="9"/>
      <c r="QE652" s="9"/>
      <c r="QF652" s="9"/>
      <c r="QG652" s="9"/>
      <c r="QH652" s="9"/>
      <c r="QI652" s="9"/>
      <c r="QJ652" s="9"/>
      <c r="QK652" s="9"/>
      <c r="QL652" s="9"/>
      <c r="QM652" s="9"/>
      <c r="QN652" s="9"/>
      <c r="QO652" s="9"/>
      <c r="QP652" s="9"/>
      <c r="QQ652" s="9"/>
      <c r="QR652" s="9"/>
      <c r="QS652" s="9"/>
      <c r="QT652" s="9"/>
      <c r="QU652" s="9"/>
      <c r="QV652" s="9"/>
      <c r="QW652" s="9"/>
      <c r="QX652" s="9"/>
      <c r="QY652" s="9"/>
      <c r="QZ652" s="9"/>
      <c r="RA652" s="9"/>
      <c r="RB652" s="9"/>
      <c r="RC652" s="9"/>
      <c r="RD652" s="9"/>
      <c r="RE652" s="9"/>
      <c r="RF652" s="9"/>
      <c r="RG652" s="9"/>
      <c r="RH652" s="9"/>
      <c r="RI652" s="9"/>
      <c r="RJ652" s="9"/>
      <c r="RK652" s="9"/>
      <c r="RL652" s="9"/>
      <c r="RM652" s="9"/>
      <c r="RN652" s="9"/>
      <c r="RO652" s="9"/>
      <c r="RP652" s="9"/>
      <c r="RQ652" s="9"/>
      <c r="RR652" s="9"/>
      <c r="RS652" s="9"/>
      <c r="RT652" s="9"/>
      <c r="RU652" s="9"/>
      <c r="RV652" s="9"/>
      <c r="RW652" s="9"/>
      <c r="RX652" s="9"/>
      <c r="RY652" s="9"/>
      <c r="RZ652" s="9"/>
      <c r="SA652" s="9"/>
      <c r="SB652" s="9"/>
      <c r="SC652" s="9"/>
      <c r="SD652" s="9"/>
      <c r="SE652" s="9"/>
      <c r="SF652" s="9"/>
      <c r="SG652" s="9"/>
      <c r="SH652" s="9"/>
      <c r="SI652" s="9"/>
      <c r="SJ652" s="9"/>
      <c r="SK652" s="9"/>
      <c r="SL652" s="9"/>
      <c r="SM652" s="9"/>
      <c r="SN652" s="9"/>
      <c r="SO652" s="9"/>
      <c r="SP652" s="9"/>
      <c r="SQ652" s="9"/>
      <c r="SR652" s="9"/>
      <c r="SS652" s="9"/>
      <c r="ST652" s="9"/>
      <c r="SU652" s="9"/>
      <c r="SV652" s="9"/>
      <c r="SW652" s="9"/>
      <c r="SX652" s="9"/>
      <c r="SY652" s="9"/>
      <c r="SZ652" s="9"/>
      <c r="TA652" s="9"/>
      <c r="TB652" s="9"/>
      <c r="TC652" s="9"/>
      <c r="TD652" s="9"/>
      <c r="TE652" s="9"/>
      <c r="TF652" s="9"/>
      <c r="TG652" s="9"/>
      <c r="TH652" s="9"/>
      <c r="TI652" s="9"/>
      <c r="TJ652" s="9"/>
      <c r="TK652" s="9"/>
      <c r="TL652" s="9"/>
      <c r="TM652" s="9"/>
      <c r="TN652" s="9"/>
      <c r="TO652" s="9"/>
      <c r="TP652" s="9"/>
      <c r="TQ652" s="9"/>
      <c r="TR652" s="9"/>
      <c r="TS652" s="9"/>
      <c r="TT652" s="9"/>
      <c r="TU652" s="9"/>
      <c r="TV652" s="9"/>
      <c r="TW652" s="9"/>
      <c r="TX652" s="9"/>
      <c r="TY652" s="9"/>
      <c r="TZ652" s="9"/>
      <c r="UA652" s="9"/>
      <c r="UB652" s="9"/>
      <c r="UC652" s="9"/>
      <c r="UD652" s="9"/>
      <c r="UE652" s="9"/>
      <c r="UF652" s="9"/>
      <c r="UG652" s="9"/>
      <c r="UH652" s="9"/>
      <c r="UI652" s="9"/>
      <c r="UJ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  <c r="IN653" s="9"/>
      <c r="IO653" s="9"/>
      <c r="IP653" s="9"/>
      <c r="IQ653" s="9"/>
      <c r="IR653" s="9"/>
      <c r="IS653" s="9"/>
      <c r="IT653" s="9"/>
      <c r="IU653" s="9"/>
      <c r="IV653" s="9"/>
      <c r="IW653" s="9"/>
      <c r="IX653" s="9"/>
      <c r="IY653" s="9"/>
      <c r="IZ653" s="9"/>
      <c r="JA653" s="9"/>
      <c r="JB653" s="9"/>
      <c r="JC653" s="9"/>
      <c r="JD653" s="9"/>
      <c r="JE653" s="9"/>
      <c r="JF653" s="9"/>
      <c r="JG653" s="9"/>
      <c r="JH653" s="9"/>
      <c r="JI653" s="9"/>
      <c r="JJ653" s="9"/>
      <c r="JK653" s="9"/>
      <c r="JL653" s="9"/>
      <c r="JM653" s="9"/>
      <c r="JN653" s="9"/>
      <c r="JO653" s="9"/>
      <c r="JP653" s="9"/>
      <c r="JQ653" s="9"/>
      <c r="JR653" s="9"/>
      <c r="JS653" s="9"/>
      <c r="JT653" s="9"/>
      <c r="JU653" s="9"/>
      <c r="JV653" s="9"/>
      <c r="JW653" s="9"/>
      <c r="JX653" s="9"/>
      <c r="JY653" s="9"/>
      <c r="JZ653" s="9"/>
      <c r="KA653" s="9"/>
      <c r="KB653" s="9"/>
      <c r="KC653" s="9"/>
      <c r="KD653" s="9"/>
      <c r="KE653" s="9"/>
      <c r="KF653" s="9"/>
      <c r="KG653" s="9"/>
      <c r="KH653" s="9"/>
      <c r="KI653" s="9"/>
      <c r="KJ653" s="9"/>
      <c r="KK653" s="9"/>
      <c r="KL653" s="9"/>
      <c r="KM653" s="9"/>
      <c r="KN653" s="9"/>
      <c r="KO653" s="9"/>
      <c r="KP653" s="9"/>
      <c r="KQ653" s="9"/>
      <c r="KR653" s="9"/>
      <c r="KS653" s="9"/>
      <c r="KT653" s="9"/>
      <c r="KU653" s="9"/>
      <c r="KV653" s="9"/>
      <c r="KW653" s="9"/>
      <c r="KX653" s="9"/>
      <c r="KY653" s="9"/>
      <c r="KZ653" s="9"/>
      <c r="LA653" s="9"/>
      <c r="LB653" s="9"/>
      <c r="LC653" s="9"/>
      <c r="LD653" s="9"/>
      <c r="LE653" s="9"/>
      <c r="LF653" s="9"/>
      <c r="LG653" s="9"/>
      <c r="LH653" s="9"/>
      <c r="LI653" s="9"/>
      <c r="LJ653" s="9"/>
      <c r="LK653" s="9"/>
      <c r="LL653" s="9"/>
      <c r="LM653" s="9"/>
      <c r="LN653" s="9"/>
      <c r="LO653" s="9"/>
      <c r="LP653" s="9"/>
      <c r="LQ653" s="9"/>
      <c r="LR653" s="9"/>
      <c r="LS653" s="9"/>
      <c r="LT653" s="9"/>
      <c r="LU653" s="9"/>
      <c r="LV653" s="9"/>
      <c r="LW653" s="9"/>
      <c r="LX653" s="9"/>
      <c r="LY653" s="9"/>
      <c r="LZ653" s="9"/>
      <c r="MA653" s="9"/>
      <c r="MB653" s="9"/>
      <c r="MC653" s="9"/>
      <c r="MD653" s="9"/>
      <c r="ME653" s="9"/>
      <c r="MF653" s="9"/>
      <c r="MG653" s="9"/>
      <c r="MH653" s="9"/>
      <c r="MI653" s="9"/>
      <c r="MJ653" s="9"/>
      <c r="MK653" s="9"/>
      <c r="ML653" s="9"/>
      <c r="MM653" s="9"/>
      <c r="MN653" s="9"/>
      <c r="MO653" s="9"/>
      <c r="MP653" s="9"/>
      <c r="MQ653" s="9"/>
      <c r="MR653" s="9"/>
      <c r="MS653" s="9"/>
      <c r="MT653" s="9"/>
      <c r="MU653" s="9"/>
      <c r="MV653" s="9"/>
      <c r="MW653" s="9"/>
      <c r="MX653" s="9"/>
      <c r="MY653" s="9"/>
      <c r="MZ653" s="9"/>
      <c r="NA653" s="9"/>
      <c r="NB653" s="9"/>
      <c r="NC653" s="9"/>
      <c r="ND653" s="9"/>
      <c r="NE653" s="9"/>
      <c r="NF653" s="9"/>
      <c r="NG653" s="9"/>
      <c r="NH653" s="9"/>
      <c r="NI653" s="9"/>
      <c r="NJ653" s="9"/>
      <c r="NK653" s="9"/>
      <c r="NL653" s="9"/>
      <c r="NM653" s="9"/>
      <c r="NN653" s="9"/>
      <c r="NO653" s="9"/>
      <c r="NP653" s="9"/>
      <c r="NQ653" s="9"/>
      <c r="NR653" s="9"/>
      <c r="NS653" s="9"/>
      <c r="NT653" s="9"/>
      <c r="NU653" s="9"/>
      <c r="NV653" s="9"/>
      <c r="NW653" s="9"/>
      <c r="NX653" s="9"/>
      <c r="NY653" s="9"/>
      <c r="NZ653" s="9"/>
      <c r="OA653" s="9"/>
      <c r="OB653" s="9"/>
      <c r="OC653" s="9"/>
      <c r="OD653" s="9"/>
      <c r="OE653" s="9"/>
      <c r="OF653" s="9"/>
      <c r="OG653" s="9"/>
      <c r="OH653" s="9"/>
      <c r="OI653" s="9"/>
      <c r="OJ653" s="9"/>
      <c r="OK653" s="9"/>
      <c r="OL653" s="9"/>
      <c r="OM653" s="9"/>
      <c r="ON653" s="9"/>
      <c r="OO653" s="9"/>
      <c r="OP653" s="9"/>
      <c r="OQ653" s="9"/>
      <c r="OR653" s="9"/>
      <c r="OS653" s="9"/>
      <c r="OT653" s="9"/>
      <c r="OU653" s="9"/>
      <c r="OV653" s="9"/>
      <c r="OW653" s="9"/>
      <c r="OX653" s="9"/>
      <c r="OY653" s="9"/>
      <c r="OZ653" s="9"/>
      <c r="PA653" s="9"/>
      <c r="PB653" s="9"/>
      <c r="PC653" s="9"/>
      <c r="PD653" s="9"/>
      <c r="PE653" s="9"/>
      <c r="PF653" s="9"/>
      <c r="PG653" s="9"/>
      <c r="PH653" s="9"/>
      <c r="PI653" s="9"/>
      <c r="PJ653" s="9"/>
      <c r="PK653" s="9"/>
      <c r="PL653" s="9"/>
      <c r="PM653" s="9"/>
      <c r="PN653" s="9"/>
      <c r="PO653" s="9"/>
      <c r="PP653" s="9"/>
      <c r="PQ653" s="9"/>
      <c r="PR653" s="9"/>
      <c r="PS653" s="9"/>
      <c r="PT653" s="9"/>
      <c r="PU653" s="9"/>
      <c r="PV653" s="9"/>
      <c r="PW653" s="9"/>
      <c r="PX653" s="9"/>
      <c r="PY653" s="9"/>
      <c r="PZ653" s="9"/>
      <c r="QA653" s="9"/>
      <c r="QB653" s="9"/>
      <c r="QC653" s="9"/>
      <c r="QD653" s="9"/>
      <c r="QE653" s="9"/>
      <c r="QF653" s="9"/>
      <c r="QG653" s="9"/>
      <c r="QH653" s="9"/>
      <c r="QI653" s="9"/>
      <c r="QJ653" s="9"/>
      <c r="QK653" s="9"/>
      <c r="QL653" s="9"/>
      <c r="QM653" s="9"/>
      <c r="QN653" s="9"/>
      <c r="QO653" s="9"/>
      <c r="QP653" s="9"/>
      <c r="QQ653" s="9"/>
      <c r="QR653" s="9"/>
      <c r="QS653" s="9"/>
      <c r="QT653" s="9"/>
      <c r="QU653" s="9"/>
      <c r="QV653" s="9"/>
      <c r="QW653" s="9"/>
      <c r="QX653" s="9"/>
      <c r="QY653" s="9"/>
      <c r="QZ653" s="9"/>
      <c r="RA653" s="9"/>
      <c r="RB653" s="9"/>
      <c r="RC653" s="9"/>
      <c r="RD653" s="9"/>
      <c r="RE653" s="9"/>
      <c r="RF653" s="9"/>
      <c r="RG653" s="9"/>
      <c r="RH653" s="9"/>
      <c r="RI653" s="9"/>
      <c r="RJ653" s="9"/>
      <c r="RK653" s="9"/>
      <c r="RL653" s="9"/>
      <c r="RM653" s="9"/>
      <c r="RN653" s="9"/>
      <c r="RO653" s="9"/>
      <c r="RP653" s="9"/>
      <c r="RQ653" s="9"/>
      <c r="RR653" s="9"/>
      <c r="RS653" s="9"/>
      <c r="RT653" s="9"/>
      <c r="RU653" s="9"/>
      <c r="RV653" s="9"/>
      <c r="RW653" s="9"/>
      <c r="RX653" s="9"/>
      <c r="RY653" s="9"/>
      <c r="RZ653" s="9"/>
      <c r="SA653" s="9"/>
      <c r="SB653" s="9"/>
      <c r="SC653" s="9"/>
      <c r="SD653" s="9"/>
      <c r="SE653" s="9"/>
      <c r="SF653" s="9"/>
      <c r="SG653" s="9"/>
      <c r="SH653" s="9"/>
      <c r="SI653" s="9"/>
      <c r="SJ653" s="9"/>
      <c r="SK653" s="9"/>
      <c r="SL653" s="9"/>
      <c r="SM653" s="9"/>
      <c r="SN653" s="9"/>
      <c r="SO653" s="9"/>
      <c r="SP653" s="9"/>
      <c r="SQ653" s="9"/>
      <c r="SR653" s="9"/>
      <c r="SS653" s="9"/>
      <c r="ST653" s="9"/>
      <c r="SU653" s="9"/>
      <c r="SV653" s="9"/>
      <c r="SW653" s="9"/>
      <c r="SX653" s="9"/>
      <c r="SY653" s="9"/>
      <c r="SZ653" s="9"/>
      <c r="TA653" s="9"/>
      <c r="TB653" s="9"/>
      <c r="TC653" s="9"/>
      <c r="TD653" s="9"/>
      <c r="TE653" s="9"/>
      <c r="TF653" s="9"/>
      <c r="TG653" s="9"/>
      <c r="TH653" s="9"/>
      <c r="TI653" s="9"/>
      <c r="TJ653" s="9"/>
      <c r="TK653" s="9"/>
      <c r="TL653" s="9"/>
      <c r="TM653" s="9"/>
      <c r="TN653" s="9"/>
      <c r="TO653" s="9"/>
      <c r="TP653" s="9"/>
      <c r="TQ653" s="9"/>
      <c r="TR653" s="9"/>
      <c r="TS653" s="9"/>
      <c r="TT653" s="9"/>
      <c r="TU653" s="9"/>
      <c r="TV653" s="9"/>
      <c r="TW653" s="9"/>
      <c r="TX653" s="9"/>
      <c r="TY653" s="9"/>
      <c r="TZ653" s="9"/>
      <c r="UA653" s="9"/>
      <c r="UB653" s="9"/>
      <c r="UC653" s="9"/>
      <c r="UD653" s="9"/>
      <c r="UE653" s="9"/>
      <c r="UF653" s="9"/>
      <c r="UG653" s="9"/>
      <c r="UH653" s="9"/>
      <c r="UI653" s="9"/>
      <c r="UJ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  <c r="IN654" s="9"/>
      <c r="IO654" s="9"/>
      <c r="IP654" s="9"/>
      <c r="IQ654" s="9"/>
      <c r="IR654" s="9"/>
      <c r="IS654" s="9"/>
      <c r="IT654" s="9"/>
      <c r="IU654" s="9"/>
      <c r="IV654" s="9"/>
      <c r="IW654" s="9"/>
      <c r="IX654" s="9"/>
      <c r="IY654" s="9"/>
      <c r="IZ654" s="9"/>
      <c r="JA654" s="9"/>
      <c r="JB654" s="9"/>
      <c r="JC654" s="9"/>
      <c r="JD654" s="9"/>
      <c r="JE654" s="9"/>
      <c r="JF654" s="9"/>
      <c r="JG654" s="9"/>
      <c r="JH654" s="9"/>
      <c r="JI654" s="9"/>
      <c r="JJ654" s="9"/>
      <c r="JK654" s="9"/>
      <c r="JL654" s="9"/>
      <c r="JM654" s="9"/>
      <c r="JN654" s="9"/>
      <c r="JO654" s="9"/>
      <c r="JP654" s="9"/>
      <c r="JQ654" s="9"/>
      <c r="JR654" s="9"/>
      <c r="JS654" s="9"/>
      <c r="JT654" s="9"/>
      <c r="JU654" s="9"/>
      <c r="JV654" s="9"/>
      <c r="JW654" s="9"/>
      <c r="JX654" s="9"/>
      <c r="JY654" s="9"/>
      <c r="JZ654" s="9"/>
      <c r="KA654" s="9"/>
      <c r="KB654" s="9"/>
      <c r="KC654" s="9"/>
      <c r="KD654" s="9"/>
      <c r="KE654" s="9"/>
      <c r="KF654" s="9"/>
      <c r="KG654" s="9"/>
      <c r="KH654" s="9"/>
      <c r="KI654" s="9"/>
      <c r="KJ654" s="9"/>
      <c r="KK654" s="9"/>
      <c r="KL654" s="9"/>
      <c r="KM654" s="9"/>
      <c r="KN654" s="9"/>
      <c r="KO654" s="9"/>
      <c r="KP654" s="9"/>
      <c r="KQ654" s="9"/>
      <c r="KR654" s="9"/>
      <c r="KS654" s="9"/>
      <c r="KT654" s="9"/>
      <c r="KU654" s="9"/>
      <c r="KV654" s="9"/>
      <c r="KW654" s="9"/>
      <c r="KX654" s="9"/>
      <c r="KY654" s="9"/>
      <c r="KZ654" s="9"/>
      <c r="LA654" s="9"/>
      <c r="LB654" s="9"/>
      <c r="LC654" s="9"/>
      <c r="LD654" s="9"/>
      <c r="LE654" s="9"/>
      <c r="LF654" s="9"/>
      <c r="LG654" s="9"/>
      <c r="LH654" s="9"/>
      <c r="LI654" s="9"/>
      <c r="LJ654" s="9"/>
      <c r="LK654" s="9"/>
      <c r="LL654" s="9"/>
      <c r="LM654" s="9"/>
      <c r="LN654" s="9"/>
      <c r="LO654" s="9"/>
      <c r="LP654" s="9"/>
      <c r="LQ654" s="9"/>
      <c r="LR654" s="9"/>
      <c r="LS654" s="9"/>
      <c r="LT654" s="9"/>
      <c r="LU654" s="9"/>
      <c r="LV654" s="9"/>
      <c r="LW654" s="9"/>
      <c r="LX654" s="9"/>
      <c r="LY654" s="9"/>
      <c r="LZ654" s="9"/>
      <c r="MA654" s="9"/>
      <c r="MB654" s="9"/>
      <c r="MC654" s="9"/>
      <c r="MD654" s="9"/>
      <c r="ME654" s="9"/>
      <c r="MF654" s="9"/>
      <c r="MG654" s="9"/>
      <c r="MH654" s="9"/>
      <c r="MI654" s="9"/>
      <c r="MJ654" s="9"/>
      <c r="MK654" s="9"/>
      <c r="ML654" s="9"/>
      <c r="MM654" s="9"/>
      <c r="MN654" s="9"/>
      <c r="MO654" s="9"/>
      <c r="MP654" s="9"/>
      <c r="MQ654" s="9"/>
      <c r="MR654" s="9"/>
      <c r="MS654" s="9"/>
      <c r="MT654" s="9"/>
      <c r="MU654" s="9"/>
      <c r="MV654" s="9"/>
      <c r="MW654" s="9"/>
      <c r="MX654" s="9"/>
      <c r="MY654" s="9"/>
      <c r="MZ654" s="9"/>
      <c r="NA654" s="9"/>
      <c r="NB654" s="9"/>
      <c r="NC654" s="9"/>
      <c r="ND654" s="9"/>
      <c r="NE654" s="9"/>
      <c r="NF654" s="9"/>
      <c r="NG654" s="9"/>
      <c r="NH654" s="9"/>
      <c r="NI654" s="9"/>
      <c r="NJ654" s="9"/>
      <c r="NK654" s="9"/>
      <c r="NL654" s="9"/>
      <c r="NM654" s="9"/>
      <c r="NN654" s="9"/>
      <c r="NO654" s="9"/>
      <c r="NP654" s="9"/>
      <c r="NQ654" s="9"/>
      <c r="NR654" s="9"/>
      <c r="NS654" s="9"/>
      <c r="NT654" s="9"/>
      <c r="NU654" s="9"/>
      <c r="NV654" s="9"/>
      <c r="NW654" s="9"/>
      <c r="NX654" s="9"/>
      <c r="NY654" s="9"/>
      <c r="NZ654" s="9"/>
      <c r="OA654" s="9"/>
      <c r="OB654" s="9"/>
      <c r="OC654" s="9"/>
      <c r="OD654" s="9"/>
      <c r="OE654" s="9"/>
      <c r="OF654" s="9"/>
      <c r="OG654" s="9"/>
      <c r="OH654" s="9"/>
      <c r="OI654" s="9"/>
      <c r="OJ654" s="9"/>
      <c r="OK654" s="9"/>
      <c r="OL654" s="9"/>
      <c r="OM654" s="9"/>
      <c r="ON654" s="9"/>
      <c r="OO654" s="9"/>
      <c r="OP654" s="9"/>
      <c r="OQ654" s="9"/>
      <c r="OR654" s="9"/>
      <c r="OS654" s="9"/>
      <c r="OT654" s="9"/>
      <c r="OU654" s="9"/>
      <c r="OV654" s="9"/>
      <c r="OW654" s="9"/>
      <c r="OX654" s="9"/>
      <c r="OY654" s="9"/>
      <c r="OZ654" s="9"/>
      <c r="PA654" s="9"/>
      <c r="PB654" s="9"/>
      <c r="PC654" s="9"/>
      <c r="PD654" s="9"/>
      <c r="PE654" s="9"/>
      <c r="PF654" s="9"/>
      <c r="PG654" s="9"/>
      <c r="PH654" s="9"/>
      <c r="PI654" s="9"/>
      <c r="PJ654" s="9"/>
      <c r="PK654" s="9"/>
      <c r="PL654" s="9"/>
      <c r="PM654" s="9"/>
      <c r="PN654" s="9"/>
      <c r="PO654" s="9"/>
      <c r="PP654" s="9"/>
      <c r="PQ654" s="9"/>
      <c r="PR654" s="9"/>
      <c r="PS654" s="9"/>
      <c r="PT654" s="9"/>
      <c r="PU654" s="9"/>
      <c r="PV654" s="9"/>
      <c r="PW654" s="9"/>
      <c r="PX654" s="9"/>
      <c r="PY654" s="9"/>
      <c r="PZ654" s="9"/>
      <c r="QA654" s="9"/>
      <c r="QB654" s="9"/>
      <c r="QC654" s="9"/>
      <c r="QD654" s="9"/>
      <c r="QE654" s="9"/>
      <c r="QF654" s="9"/>
      <c r="QG654" s="9"/>
      <c r="QH654" s="9"/>
      <c r="QI654" s="9"/>
      <c r="QJ654" s="9"/>
      <c r="QK654" s="9"/>
      <c r="QL654" s="9"/>
      <c r="QM654" s="9"/>
      <c r="QN654" s="9"/>
      <c r="QO654" s="9"/>
      <c r="QP654" s="9"/>
      <c r="QQ654" s="9"/>
      <c r="QR654" s="9"/>
      <c r="QS654" s="9"/>
      <c r="QT654" s="9"/>
      <c r="QU654" s="9"/>
      <c r="QV654" s="9"/>
      <c r="QW654" s="9"/>
      <c r="QX654" s="9"/>
      <c r="QY654" s="9"/>
      <c r="QZ654" s="9"/>
      <c r="RA654" s="9"/>
      <c r="RB654" s="9"/>
      <c r="RC654" s="9"/>
      <c r="RD654" s="9"/>
      <c r="RE654" s="9"/>
      <c r="RF654" s="9"/>
      <c r="RG654" s="9"/>
      <c r="RH654" s="9"/>
      <c r="RI654" s="9"/>
      <c r="RJ654" s="9"/>
      <c r="RK654" s="9"/>
      <c r="RL654" s="9"/>
      <c r="RM654" s="9"/>
      <c r="RN654" s="9"/>
      <c r="RO654" s="9"/>
      <c r="RP654" s="9"/>
      <c r="RQ654" s="9"/>
      <c r="RR654" s="9"/>
      <c r="RS654" s="9"/>
      <c r="RT654" s="9"/>
      <c r="RU654" s="9"/>
      <c r="RV654" s="9"/>
      <c r="RW654" s="9"/>
      <c r="RX654" s="9"/>
      <c r="RY654" s="9"/>
      <c r="RZ654" s="9"/>
      <c r="SA654" s="9"/>
      <c r="SB654" s="9"/>
      <c r="SC654" s="9"/>
      <c r="SD654" s="9"/>
      <c r="SE654" s="9"/>
      <c r="SF654" s="9"/>
      <c r="SG654" s="9"/>
      <c r="SH654" s="9"/>
      <c r="SI654" s="9"/>
      <c r="SJ654" s="9"/>
      <c r="SK654" s="9"/>
      <c r="SL654" s="9"/>
      <c r="SM654" s="9"/>
      <c r="SN654" s="9"/>
      <c r="SO654" s="9"/>
      <c r="SP654" s="9"/>
      <c r="SQ654" s="9"/>
      <c r="SR654" s="9"/>
      <c r="SS654" s="9"/>
      <c r="ST654" s="9"/>
      <c r="SU654" s="9"/>
      <c r="SV654" s="9"/>
      <c r="SW654" s="9"/>
      <c r="SX654" s="9"/>
      <c r="SY654" s="9"/>
      <c r="SZ654" s="9"/>
      <c r="TA654" s="9"/>
      <c r="TB654" s="9"/>
      <c r="TC654" s="9"/>
      <c r="TD654" s="9"/>
      <c r="TE654" s="9"/>
      <c r="TF654" s="9"/>
      <c r="TG654" s="9"/>
      <c r="TH654" s="9"/>
      <c r="TI654" s="9"/>
      <c r="TJ654" s="9"/>
      <c r="TK654" s="9"/>
      <c r="TL654" s="9"/>
      <c r="TM654" s="9"/>
      <c r="TN654" s="9"/>
      <c r="TO654" s="9"/>
      <c r="TP654" s="9"/>
      <c r="TQ654" s="9"/>
      <c r="TR654" s="9"/>
      <c r="TS654" s="9"/>
      <c r="TT654" s="9"/>
      <c r="TU654" s="9"/>
      <c r="TV654" s="9"/>
      <c r="TW654" s="9"/>
      <c r="TX654" s="9"/>
      <c r="TY654" s="9"/>
      <c r="TZ654" s="9"/>
      <c r="UA654" s="9"/>
      <c r="UB654" s="9"/>
      <c r="UC654" s="9"/>
      <c r="UD654" s="9"/>
      <c r="UE654" s="9"/>
      <c r="UF654" s="9"/>
      <c r="UG654" s="9"/>
      <c r="UH654" s="9"/>
      <c r="UI654" s="9"/>
      <c r="UJ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  <c r="IN655" s="9"/>
      <c r="IO655" s="9"/>
      <c r="IP655" s="9"/>
      <c r="IQ655" s="9"/>
      <c r="IR655" s="9"/>
      <c r="IS655" s="9"/>
      <c r="IT655" s="9"/>
      <c r="IU655" s="9"/>
      <c r="IV655" s="9"/>
      <c r="IW655" s="9"/>
      <c r="IX655" s="9"/>
      <c r="IY655" s="9"/>
      <c r="IZ655" s="9"/>
      <c r="JA655" s="9"/>
      <c r="JB655" s="9"/>
      <c r="JC655" s="9"/>
      <c r="JD655" s="9"/>
      <c r="JE655" s="9"/>
      <c r="JF655" s="9"/>
      <c r="JG655" s="9"/>
      <c r="JH655" s="9"/>
      <c r="JI655" s="9"/>
      <c r="JJ655" s="9"/>
      <c r="JK655" s="9"/>
      <c r="JL655" s="9"/>
      <c r="JM655" s="9"/>
      <c r="JN655" s="9"/>
      <c r="JO655" s="9"/>
      <c r="JP655" s="9"/>
      <c r="JQ655" s="9"/>
      <c r="JR655" s="9"/>
      <c r="JS655" s="9"/>
      <c r="JT655" s="9"/>
      <c r="JU655" s="9"/>
      <c r="JV655" s="9"/>
      <c r="JW655" s="9"/>
      <c r="JX655" s="9"/>
      <c r="JY655" s="9"/>
      <c r="JZ655" s="9"/>
      <c r="KA655" s="9"/>
      <c r="KB655" s="9"/>
      <c r="KC655" s="9"/>
      <c r="KD655" s="9"/>
      <c r="KE655" s="9"/>
      <c r="KF655" s="9"/>
      <c r="KG655" s="9"/>
      <c r="KH655" s="9"/>
      <c r="KI655" s="9"/>
      <c r="KJ655" s="9"/>
      <c r="KK655" s="9"/>
      <c r="KL655" s="9"/>
      <c r="KM655" s="9"/>
      <c r="KN655" s="9"/>
      <c r="KO655" s="9"/>
      <c r="KP655" s="9"/>
      <c r="KQ655" s="9"/>
      <c r="KR655" s="9"/>
      <c r="KS655" s="9"/>
      <c r="KT655" s="9"/>
      <c r="KU655" s="9"/>
      <c r="KV655" s="9"/>
      <c r="KW655" s="9"/>
      <c r="KX655" s="9"/>
      <c r="KY655" s="9"/>
      <c r="KZ655" s="9"/>
      <c r="LA655" s="9"/>
      <c r="LB655" s="9"/>
      <c r="LC655" s="9"/>
      <c r="LD655" s="9"/>
      <c r="LE655" s="9"/>
      <c r="LF655" s="9"/>
      <c r="LG655" s="9"/>
      <c r="LH655" s="9"/>
      <c r="LI655" s="9"/>
      <c r="LJ655" s="9"/>
      <c r="LK655" s="9"/>
      <c r="LL655" s="9"/>
      <c r="LM655" s="9"/>
      <c r="LN655" s="9"/>
      <c r="LO655" s="9"/>
      <c r="LP655" s="9"/>
      <c r="LQ655" s="9"/>
      <c r="LR655" s="9"/>
      <c r="LS655" s="9"/>
      <c r="LT655" s="9"/>
      <c r="LU655" s="9"/>
      <c r="LV655" s="9"/>
      <c r="LW655" s="9"/>
      <c r="LX655" s="9"/>
      <c r="LY655" s="9"/>
      <c r="LZ655" s="9"/>
      <c r="MA655" s="9"/>
      <c r="MB655" s="9"/>
      <c r="MC655" s="9"/>
      <c r="MD655" s="9"/>
      <c r="ME655" s="9"/>
      <c r="MF655" s="9"/>
      <c r="MG655" s="9"/>
      <c r="MH655" s="9"/>
      <c r="MI655" s="9"/>
      <c r="MJ655" s="9"/>
      <c r="MK655" s="9"/>
      <c r="ML655" s="9"/>
      <c r="MM655" s="9"/>
      <c r="MN655" s="9"/>
      <c r="MO655" s="9"/>
      <c r="MP655" s="9"/>
      <c r="MQ655" s="9"/>
      <c r="MR655" s="9"/>
      <c r="MS655" s="9"/>
      <c r="MT655" s="9"/>
      <c r="MU655" s="9"/>
      <c r="MV655" s="9"/>
      <c r="MW655" s="9"/>
      <c r="MX655" s="9"/>
      <c r="MY655" s="9"/>
      <c r="MZ655" s="9"/>
      <c r="NA655" s="9"/>
      <c r="NB655" s="9"/>
      <c r="NC655" s="9"/>
      <c r="ND655" s="9"/>
      <c r="NE655" s="9"/>
      <c r="NF655" s="9"/>
      <c r="NG655" s="9"/>
      <c r="NH655" s="9"/>
      <c r="NI655" s="9"/>
      <c r="NJ655" s="9"/>
      <c r="NK655" s="9"/>
      <c r="NL655" s="9"/>
      <c r="NM655" s="9"/>
      <c r="NN655" s="9"/>
      <c r="NO655" s="9"/>
      <c r="NP655" s="9"/>
      <c r="NQ655" s="9"/>
      <c r="NR655" s="9"/>
      <c r="NS655" s="9"/>
      <c r="NT655" s="9"/>
      <c r="NU655" s="9"/>
      <c r="NV655" s="9"/>
      <c r="NW655" s="9"/>
      <c r="NX655" s="9"/>
      <c r="NY655" s="9"/>
      <c r="NZ655" s="9"/>
      <c r="OA655" s="9"/>
      <c r="OB655" s="9"/>
      <c r="OC655" s="9"/>
      <c r="OD655" s="9"/>
      <c r="OE655" s="9"/>
      <c r="OF655" s="9"/>
      <c r="OG655" s="9"/>
      <c r="OH655" s="9"/>
      <c r="OI655" s="9"/>
      <c r="OJ655" s="9"/>
      <c r="OK655" s="9"/>
      <c r="OL655" s="9"/>
      <c r="OM655" s="9"/>
      <c r="ON655" s="9"/>
      <c r="OO655" s="9"/>
      <c r="OP655" s="9"/>
      <c r="OQ655" s="9"/>
      <c r="OR655" s="9"/>
      <c r="OS655" s="9"/>
      <c r="OT655" s="9"/>
      <c r="OU655" s="9"/>
      <c r="OV655" s="9"/>
      <c r="OW655" s="9"/>
      <c r="OX655" s="9"/>
      <c r="OY655" s="9"/>
      <c r="OZ655" s="9"/>
      <c r="PA655" s="9"/>
      <c r="PB655" s="9"/>
      <c r="PC655" s="9"/>
      <c r="PD655" s="9"/>
      <c r="PE655" s="9"/>
      <c r="PF655" s="9"/>
      <c r="PG655" s="9"/>
      <c r="PH655" s="9"/>
      <c r="PI655" s="9"/>
      <c r="PJ655" s="9"/>
      <c r="PK655" s="9"/>
      <c r="PL655" s="9"/>
      <c r="PM655" s="9"/>
      <c r="PN655" s="9"/>
      <c r="PO655" s="9"/>
      <c r="PP655" s="9"/>
      <c r="PQ655" s="9"/>
      <c r="PR655" s="9"/>
      <c r="PS655" s="9"/>
      <c r="PT655" s="9"/>
      <c r="PU655" s="9"/>
      <c r="PV655" s="9"/>
      <c r="PW655" s="9"/>
      <c r="PX655" s="9"/>
      <c r="PY655" s="9"/>
      <c r="PZ655" s="9"/>
      <c r="QA655" s="9"/>
      <c r="QB655" s="9"/>
      <c r="QC655" s="9"/>
      <c r="QD655" s="9"/>
      <c r="QE655" s="9"/>
      <c r="QF655" s="9"/>
      <c r="QG655" s="9"/>
      <c r="QH655" s="9"/>
      <c r="QI655" s="9"/>
      <c r="QJ655" s="9"/>
      <c r="QK655" s="9"/>
      <c r="QL655" s="9"/>
      <c r="QM655" s="9"/>
      <c r="QN655" s="9"/>
      <c r="QO655" s="9"/>
      <c r="QP655" s="9"/>
      <c r="QQ655" s="9"/>
      <c r="QR655" s="9"/>
      <c r="QS655" s="9"/>
      <c r="QT655" s="9"/>
      <c r="QU655" s="9"/>
      <c r="QV655" s="9"/>
      <c r="QW655" s="9"/>
      <c r="QX655" s="9"/>
      <c r="QY655" s="9"/>
      <c r="QZ655" s="9"/>
      <c r="RA655" s="9"/>
      <c r="RB655" s="9"/>
      <c r="RC655" s="9"/>
      <c r="RD655" s="9"/>
      <c r="RE655" s="9"/>
      <c r="RF655" s="9"/>
      <c r="RG655" s="9"/>
      <c r="RH655" s="9"/>
      <c r="RI655" s="9"/>
      <c r="RJ655" s="9"/>
      <c r="RK655" s="9"/>
      <c r="RL655" s="9"/>
      <c r="RM655" s="9"/>
      <c r="RN655" s="9"/>
      <c r="RO655" s="9"/>
      <c r="RP655" s="9"/>
      <c r="RQ655" s="9"/>
      <c r="RR655" s="9"/>
      <c r="RS655" s="9"/>
      <c r="RT655" s="9"/>
      <c r="RU655" s="9"/>
      <c r="RV655" s="9"/>
      <c r="RW655" s="9"/>
      <c r="RX655" s="9"/>
      <c r="RY655" s="9"/>
      <c r="RZ655" s="9"/>
      <c r="SA655" s="9"/>
      <c r="SB655" s="9"/>
      <c r="SC655" s="9"/>
      <c r="SD655" s="9"/>
      <c r="SE655" s="9"/>
      <c r="SF655" s="9"/>
      <c r="SG655" s="9"/>
      <c r="SH655" s="9"/>
      <c r="SI655" s="9"/>
      <c r="SJ655" s="9"/>
      <c r="SK655" s="9"/>
      <c r="SL655" s="9"/>
      <c r="SM655" s="9"/>
      <c r="SN655" s="9"/>
      <c r="SO655" s="9"/>
      <c r="SP655" s="9"/>
      <c r="SQ655" s="9"/>
      <c r="SR655" s="9"/>
      <c r="SS655" s="9"/>
      <c r="ST655" s="9"/>
      <c r="SU655" s="9"/>
      <c r="SV655" s="9"/>
      <c r="SW655" s="9"/>
      <c r="SX655" s="9"/>
      <c r="SY655" s="9"/>
      <c r="SZ655" s="9"/>
      <c r="TA655" s="9"/>
      <c r="TB655" s="9"/>
      <c r="TC655" s="9"/>
      <c r="TD655" s="9"/>
      <c r="TE655" s="9"/>
      <c r="TF655" s="9"/>
      <c r="TG655" s="9"/>
      <c r="TH655" s="9"/>
      <c r="TI655" s="9"/>
      <c r="TJ655" s="9"/>
      <c r="TK655" s="9"/>
      <c r="TL655" s="9"/>
      <c r="TM655" s="9"/>
      <c r="TN655" s="9"/>
      <c r="TO655" s="9"/>
      <c r="TP655" s="9"/>
      <c r="TQ655" s="9"/>
      <c r="TR655" s="9"/>
      <c r="TS655" s="9"/>
      <c r="TT655" s="9"/>
      <c r="TU655" s="9"/>
      <c r="TV655" s="9"/>
      <c r="TW655" s="9"/>
      <c r="TX655" s="9"/>
      <c r="TY655" s="9"/>
      <c r="TZ655" s="9"/>
      <c r="UA655" s="9"/>
      <c r="UB655" s="9"/>
      <c r="UC655" s="9"/>
      <c r="UD655" s="9"/>
      <c r="UE655" s="9"/>
      <c r="UF655" s="9"/>
      <c r="UG655" s="9"/>
      <c r="UH655" s="9"/>
      <c r="UI655" s="9"/>
      <c r="UJ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  <c r="IC656" s="9"/>
      <c r="ID656" s="9"/>
      <c r="IE656" s="9"/>
      <c r="IF656" s="9"/>
      <c r="IG656" s="9"/>
      <c r="IH656" s="9"/>
      <c r="II656" s="9"/>
      <c r="IJ656" s="9"/>
      <c r="IK656" s="9"/>
      <c r="IL656" s="9"/>
      <c r="IM656" s="9"/>
      <c r="IN656" s="9"/>
      <c r="IO656" s="9"/>
      <c r="IP656" s="9"/>
      <c r="IQ656" s="9"/>
      <c r="IR656" s="9"/>
      <c r="IS656" s="9"/>
      <c r="IT656" s="9"/>
      <c r="IU656" s="9"/>
      <c r="IV656" s="9"/>
      <c r="IW656" s="9"/>
      <c r="IX656" s="9"/>
      <c r="IY656" s="9"/>
      <c r="IZ656" s="9"/>
      <c r="JA656" s="9"/>
      <c r="JB656" s="9"/>
      <c r="JC656" s="9"/>
      <c r="JD656" s="9"/>
      <c r="JE656" s="9"/>
      <c r="JF656" s="9"/>
      <c r="JG656" s="9"/>
      <c r="JH656" s="9"/>
      <c r="JI656" s="9"/>
      <c r="JJ656" s="9"/>
      <c r="JK656" s="9"/>
      <c r="JL656" s="9"/>
      <c r="JM656" s="9"/>
      <c r="JN656" s="9"/>
      <c r="JO656" s="9"/>
      <c r="JP656" s="9"/>
      <c r="JQ656" s="9"/>
      <c r="JR656" s="9"/>
      <c r="JS656" s="9"/>
      <c r="JT656" s="9"/>
      <c r="JU656" s="9"/>
      <c r="JV656" s="9"/>
      <c r="JW656" s="9"/>
      <c r="JX656" s="9"/>
      <c r="JY656" s="9"/>
      <c r="JZ656" s="9"/>
      <c r="KA656" s="9"/>
      <c r="KB656" s="9"/>
      <c r="KC656" s="9"/>
      <c r="KD656" s="9"/>
      <c r="KE656" s="9"/>
      <c r="KF656" s="9"/>
      <c r="KG656" s="9"/>
      <c r="KH656" s="9"/>
      <c r="KI656" s="9"/>
      <c r="KJ656" s="9"/>
      <c r="KK656" s="9"/>
      <c r="KL656" s="9"/>
      <c r="KM656" s="9"/>
      <c r="KN656" s="9"/>
      <c r="KO656" s="9"/>
      <c r="KP656" s="9"/>
      <c r="KQ656" s="9"/>
      <c r="KR656" s="9"/>
      <c r="KS656" s="9"/>
      <c r="KT656" s="9"/>
      <c r="KU656" s="9"/>
      <c r="KV656" s="9"/>
      <c r="KW656" s="9"/>
      <c r="KX656" s="9"/>
      <c r="KY656" s="9"/>
      <c r="KZ656" s="9"/>
      <c r="LA656" s="9"/>
      <c r="LB656" s="9"/>
      <c r="LC656" s="9"/>
      <c r="LD656" s="9"/>
      <c r="LE656" s="9"/>
      <c r="LF656" s="9"/>
      <c r="LG656" s="9"/>
      <c r="LH656" s="9"/>
      <c r="LI656" s="9"/>
      <c r="LJ656" s="9"/>
      <c r="LK656" s="9"/>
      <c r="LL656" s="9"/>
      <c r="LM656" s="9"/>
      <c r="LN656" s="9"/>
      <c r="LO656" s="9"/>
      <c r="LP656" s="9"/>
      <c r="LQ656" s="9"/>
      <c r="LR656" s="9"/>
      <c r="LS656" s="9"/>
      <c r="LT656" s="9"/>
      <c r="LU656" s="9"/>
      <c r="LV656" s="9"/>
      <c r="LW656" s="9"/>
      <c r="LX656" s="9"/>
      <c r="LY656" s="9"/>
      <c r="LZ656" s="9"/>
      <c r="MA656" s="9"/>
      <c r="MB656" s="9"/>
      <c r="MC656" s="9"/>
      <c r="MD656" s="9"/>
      <c r="ME656" s="9"/>
      <c r="MF656" s="9"/>
      <c r="MG656" s="9"/>
      <c r="MH656" s="9"/>
      <c r="MI656" s="9"/>
      <c r="MJ656" s="9"/>
      <c r="MK656" s="9"/>
      <c r="ML656" s="9"/>
      <c r="MM656" s="9"/>
      <c r="MN656" s="9"/>
      <c r="MO656" s="9"/>
      <c r="MP656" s="9"/>
      <c r="MQ656" s="9"/>
      <c r="MR656" s="9"/>
      <c r="MS656" s="9"/>
      <c r="MT656" s="9"/>
      <c r="MU656" s="9"/>
      <c r="MV656" s="9"/>
      <c r="MW656" s="9"/>
      <c r="MX656" s="9"/>
      <c r="MY656" s="9"/>
      <c r="MZ656" s="9"/>
      <c r="NA656" s="9"/>
      <c r="NB656" s="9"/>
      <c r="NC656" s="9"/>
      <c r="ND656" s="9"/>
      <c r="NE656" s="9"/>
      <c r="NF656" s="9"/>
      <c r="NG656" s="9"/>
      <c r="NH656" s="9"/>
      <c r="NI656" s="9"/>
      <c r="NJ656" s="9"/>
      <c r="NK656" s="9"/>
      <c r="NL656" s="9"/>
      <c r="NM656" s="9"/>
      <c r="NN656" s="9"/>
      <c r="NO656" s="9"/>
      <c r="NP656" s="9"/>
      <c r="NQ656" s="9"/>
      <c r="NR656" s="9"/>
      <c r="NS656" s="9"/>
      <c r="NT656" s="9"/>
      <c r="NU656" s="9"/>
      <c r="NV656" s="9"/>
      <c r="NW656" s="9"/>
      <c r="NX656" s="9"/>
      <c r="NY656" s="9"/>
      <c r="NZ656" s="9"/>
      <c r="OA656" s="9"/>
      <c r="OB656" s="9"/>
      <c r="OC656" s="9"/>
      <c r="OD656" s="9"/>
      <c r="OE656" s="9"/>
      <c r="OF656" s="9"/>
      <c r="OG656" s="9"/>
      <c r="OH656" s="9"/>
      <c r="OI656" s="9"/>
      <c r="OJ656" s="9"/>
      <c r="OK656" s="9"/>
      <c r="OL656" s="9"/>
      <c r="OM656" s="9"/>
      <c r="ON656" s="9"/>
      <c r="OO656" s="9"/>
      <c r="OP656" s="9"/>
      <c r="OQ656" s="9"/>
      <c r="OR656" s="9"/>
      <c r="OS656" s="9"/>
      <c r="OT656" s="9"/>
      <c r="OU656" s="9"/>
      <c r="OV656" s="9"/>
      <c r="OW656" s="9"/>
      <c r="OX656" s="9"/>
      <c r="OY656" s="9"/>
      <c r="OZ656" s="9"/>
      <c r="PA656" s="9"/>
      <c r="PB656" s="9"/>
      <c r="PC656" s="9"/>
      <c r="PD656" s="9"/>
      <c r="PE656" s="9"/>
      <c r="PF656" s="9"/>
      <c r="PG656" s="9"/>
      <c r="PH656" s="9"/>
      <c r="PI656" s="9"/>
      <c r="PJ656" s="9"/>
      <c r="PK656" s="9"/>
      <c r="PL656" s="9"/>
      <c r="PM656" s="9"/>
      <c r="PN656" s="9"/>
      <c r="PO656" s="9"/>
      <c r="PP656" s="9"/>
      <c r="PQ656" s="9"/>
      <c r="PR656" s="9"/>
      <c r="PS656" s="9"/>
      <c r="PT656" s="9"/>
      <c r="PU656" s="9"/>
      <c r="PV656" s="9"/>
      <c r="PW656" s="9"/>
      <c r="PX656" s="9"/>
      <c r="PY656" s="9"/>
      <c r="PZ656" s="9"/>
      <c r="QA656" s="9"/>
      <c r="QB656" s="9"/>
      <c r="QC656" s="9"/>
      <c r="QD656" s="9"/>
      <c r="QE656" s="9"/>
      <c r="QF656" s="9"/>
      <c r="QG656" s="9"/>
      <c r="QH656" s="9"/>
      <c r="QI656" s="9"/>
      <c r="QJ656" s="9"/>
      <c r="QK656" s="9"/>
      <c r="QL656" s="9"/>
      <c r="QM656" s="9"/>
      <c r="QN656" s="9"/>
      <c r="QO656" s="9"/>
      <c r="QP656" s="9"/>
      <c r="QQ656" s="9"/>
      <c r="QR656" s="9"/>
      <c r="QS656" s="9"/>
      <c r="QT656" s="9"/>
      <c r="QU656" s="9"/>
      <c r="QV656" s="9"/>
      <c r="QW656" s="9"/>
      <c r="QX656" s="9"/>
      <c r="QY656" s="9"/>
      <c r="QZ656" s="9"/>
      <c r="RA656" s="9"/>
      <c r="RB656" s="9"/>
      <c r="RC656" s="9"/>
      <c r="RD656" s="9"/>
      <c r="RE656" s="9"/>
      <c r="RF656" s="9"/>
      <c r="RG656" s="9"/>
      <c r="RH656" s="9"/>
      <c r="RI656" s="9"/>
      <c r="RJ656" s="9"/>
      <c r="RK656" s="9"/>
      <c r="RL656" s="9"/>
      <c r="RM656" s="9"/>
      <c r="RN656" s="9"/>
      <c r="RO656" s="9"/>
      <c r="RP656" s="9"/>
      <c r="RQ656" s="9"/>
      <c r="RR656" s="9"/>
      <c r="RS656" s="9"/>
      <c r="RT656" s="9"/>
      <c r="RU656" s="9"/>
      <c r="RV656" s="9"/>
      <c r="RW656" s="9"/>
      <c r="RX656" s="9"/>
      <c r="RY656" s="9"/>
      <c r="RZ656" s="9"/>
      <c r="SA656" s="9"/>
      <c r="SB656" s="9"/>
      <c r="SC656" s="9"/>
      <c r="SD656" s="9"/>
      <c r="SE656" s="9"/>
      <c r="SF656" s="9"/>
      <c r="SG656" s="9"/>
      <c r="SH656" s="9"/>
      <c r="SI656" s="9"/>
      <c r="SJ656" s="9"/>
      <c r="SK656" s="9"/>
      <c r="SL656" s="9"/>
      <c r="SM656" s="9"/>
      <c r="SN656" s="9"/>
      <c r="SO656" s="9"/>
      <c r="SP656" s="9"/>
      <c r="SQ656" s="9"/>
      <c r="SR656" s="9"/>
      <c r="SS656" s="9"/>
      <c r="ST656" s="9"/>
      <c r="SU656" s="9"/>
      <c r="SV656" s="9"/>
      <c r="SW656" s="9"/>
      <c r="SX656" s="9"/>
      <c r="SY656" s="9"/>
      <c r="SZ656" s="9"/>
      <c r="TA656" s="9"/>
      <c r="TB656" s="9"/>
      <c r="TC656" s="9"/>
      <c r="TD656" s="9"/>
      <c r="TE656" s="9"/>
      <c r="TF656" s="9"/>
      <c r="TG656" s="9"/>
      <c r="TH656" s="9"/>
      <c r="TI656" s="9"/>
      <c r="TJ656" s="9"/>
      <c r="TK656" s="9"/>
      <c r="TL656" s="9"/>
      <c r="TM656" s="9"/>
      <c r="TN656" s="9"/>
      <c r="TO656" s="9"/>
      <c r="TP656" s="9"/>
      <c r="TQ656" s="9"/>
      <c r="TR656" s="9"/>
      <c r="TS656" s="9"/>
      <c r="TT656" s="9"/>
      <c r="TU656" s="9"/>
      <c r="TV656" s="9"/>
      <c r="TW656" s="9"/>
      <c r="TX656" s="9"/>
      <c r="TY656" s="9"/>
      <c r="TZ656" s="9"/>
      <c r="UA656" s="9"/>
      <c r="UB656" s="9"/>
      <c r="UC656" s="9"/>
      <c r="UD656" s="9"/>
      <c r="UE656" s="9"/>
      <c r="UF656" s="9"/>
      <c r="UG656" s="9"/>
      <c r="UH656" s="9"/>
      <c r="UI656" s="9"/>
      <c r="UJ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  <c r="IN657" s="9"/>
      <c r="IO657" s="9"/>
      <c r="IP657" s="9"/>
      <c r="IQ657" s="9"/>
      <c r="IR657" s="9"/>
      <c r="IS657" s="9"/>
      <c r="IT657" s="9"/>
      <c r="IU657" s="9"/>
      <c r="IV657" s="9"/>
      <c r="IW657" s="9"/>
      <c r="IX657" s="9"/>
      <c r="IY657" s="9"/>
      <c r="IZ657" s="9"/>
      <c r="JA657" s="9"/>
      <c r="JB657" s="9"/>
      <c r="JC657" s="9"/>
      <c r="JD657" s="9"/>
      <c r="JE657" s="9"/>
      <c r="JF657" s="9"/>
      <c r="JG657" s="9"/>
      <c r="JH657" s="9"/>
      <c r="JI657" s="9"/>
      <c r="JJ657" s="9"/>
      <c r="JK657" s="9"/>
      <c r="JL657" s="9"/>
      <c r="JM657" s="9"/>
      <c r="JN657" s="9"/>
      <c r="JO657" s="9"/>
      <c r="JP657" s="9"/>
      <c r="JQ657" s="9"/>
      <c r="JR657" s="9"/>
      <c r="JS657" s="9"/>
      <c r="JT657" s="9"/>
      <c r="JU657" s="9"/>
      <c r="JV657" s="9"/>
      <c r="JW657" s="9"/>
      <c r="JX657" s="9"/>
      <c r="JY657" s="9"/>
      <c r="JZ657" s="9"/>
      <c r="KA657" s="9"/>
      <c r="KB657" s="9"/>
      <c r="KC657" s="9"/>
      <c r="KD657" s="9"/>
      <c r="KE657" s="9"/>
      <c r="KF657" s="9"/>
      <c r="KG657" s="9"/>
      <c r="KH657" s="9"/>
      <c r="KI657" s="9"/>
      <c r="KJ657" s="9"/>
      <c r="KK657" s="9"/>
      <c r="KL657" s="9"/>
      <c r="KM657" s="9"/>
      <c r="KN657" s="9"/>
      <c r="KO657" s="9"/>
      <c r="KP657" s="9"/>
      <c r="KQ657" s="9"/>
      <c r="KR657" s="9"/>
      <c r="KS657" s="9"/>
      <c r="KT657" s="9"/>
      <c r="KU657" s="9"/>
      <c r="KV657" s="9"/>
      <c r="KW657" s="9"/>
      <c r="KX657" s="9"/>
      <c r="KY657" s="9"/>
      <c r="KZ657" s="9"/>
      <c r="LA657" s="9"/>
      <c r="LB657" s="9"/>
      <c r="LC657" s="9"/>
      <c r="LD657" s="9"/>
      <c r="LE657" s="9"/>
      <c r="LF657" s="9"/>
      <c r="LG657" s="9"/>
      <c r="LH657" s="9"/>
      <c r="LI657" s="9"/>
      <c r="LJ657" s="9"/>
      <c r="LK657" s="9"/>
      <c r="LL657" s="9"/>
      <c r="LM657" s="9"/>
      <c r="LN657" s="9"/>
      <c r="LO657" s="9"/>
      <c r="LP657" s="9"/>
      <c r="LQ657" s="9"/>
      <c r="LR657" s="9"/>
      <c r="LS657" s="9"/>
      <c r="LT657" s="9"/>
      <c r="LU657" s="9"/>
      <c r="LV657" s="9"/>
      <c r="LW657" s="9"/>
      <c r="LX657" s="9"/>
      <c r="LY657" s="9"/>
      <c r="LZ657" s="9"/>
      <c r="MA657" s="9"/>
      <c r="MB657" s="9"/>
      <c r="MC657" s="9"/>
      <c r="MD657" s="9"/>
      <c r="ME657" s="9"/>
      <c r="MF657" s="9"/>
      <c r="MG657" s="9"/>
      <c r="MH657" s="9"/>
      <c r="MI657" s="9"/>
      <c r="MJ657" s="9"/>
      <c r="MK657" s="9"/>
      <c r="ML657" s="9"/>
      <c r="MM657" s="9"/>
      <c r="MN657" s="9"/>
      <c r="MO657" s="9"/>
      <c r="MP657" s="9"/>
      <c r="MQ657" s="9"/>
      <c r="MR657" s="9"/>
      <c r="MS657" s="9"/>
      <c r="MT657" s="9"/>
      <c r="MU657" s="9"/>
      <c r="MV657" s="9"/>
      <c r="MW657" s="9"/>
      <c r="MX657" s="9"/>
      <c r="MY657" s="9"/>
      <c r="MZ657" s="9"/>
      <c r="NA657" s="9"/>
      <c r="NB657" s="9"/>
      <c r="NC657" s="9"/>
      <c r="ND657" s="9"/>
      <c r="NE657" s="9"/>
      <c r="NF657" s="9"/>
      <c r="NG657" s="9"/>
      <c r="NH657" s="9"/>
      <c r="NI657" s="9"/>
      <c r="NJ657" s="9"/>
      <c r="NK657" s="9"/>
      <c r="NL657" s="9"/>
      <c r="NM657" s="9"/>
      <c r="NN657" s="9"/>
      <c r="NO657" s="9"/>
      <c r="NP657" s="9"/>
      <c r="NQ657" s="9"/>
      <c r="NR657" s="9"/>
      <c r="NS657" s="9"/>
      <c r="NT657" s="9"/>
      <c r="NU657" s="9"/>
      <c r="NV657" s="9"/>
      <c r="NW657" s="9"/>
      <c r="NX657" s="9"/>
      <c r="NY657" s="9"/>
      <c r="NZ657" s="9"/>
      <c r="OA657" s="9"/>
      <c r="OB657" s="9"/>
      <c r="OC657" s="9"/>
      <c r="OD657" s="9"/>
      <c r="OE657" s="9"/>
      <c r="OF657" s="9"/>
      <c r="OG657" s="9"/>
      <c r="OH657" s="9"/>
      <c r="OI657" s="9"/>
      <c r="OJ657" s="9"/>
      <c r="OK657" s="9"/>
      <c r="OL657" s="9"/>
      <c r="OM657" s="9"/>
      <c r="ON657" s="9"/>
      <c r="OO657" s="9"/>
      <c r="OP657" s="9"/>
      <c r="OQ657" s="9"/>
      <c r="OR657" s="9"/>
      <c r="OS657" s="9"/>
      <c r="OT657" s="9"/>
      <c r="OU657" s="9"/>
      <c r="OV657" s="9"/>
      <c r="OW657" s="9"/>
      <c r="OX657" s="9"/>
      <c r="OY657" s="9"/>
      <c r="OZ657" s="9"/>
      <c r="PA657" s="9"/>
      <c r="PB657" s="9"/>
      <c r="PC657" s="9"/>
      <c r="PD657" s="9"/>
      <c r="PE657" s="9"/>
      <c r="PF657" s="9"/>
      <c r="PG657" s="9"/>
      <c r="PH657" s="9"/>
      <c r="PI657" s="9"/>
      <c r="PJ657" s="9"/>
      <c r="PK657" s="9"/>
      <c r="PL657" s="9"/>
      <c r="PM657" s="9"/>
      <c r="PN657" s="9"/>
      <c r="PO657" s="9"/>
      <c r="PP657" s="9"/>
      <c r="PQ657" s="9"/>
      <c r="PR657" s="9"/>
      <c r="PS657" s="9"/>
      <c r="PT657" s="9"/>
      <c r="PU657" s="9"/>
      <c r="PV657" s="9"/>
      <c r="PW657" s="9"/>
      <c r="PX657" s="9"/>
      <c r="PY657" s="9"/>
      <c r="PZ657" s="9"/>
      <c r="QA657" s="9"/>
      <c r="QB657" s="9"/>
      <c r="QC657" s="9"/>
      <c r="QD657" s="9"/>
      <c r="QE657" s="9"/>
      <c r="QF657" s="9"/>
      <c r="QG657" s="9"/>
      <c r="QH657" s="9"/>
      <c r="QI657" s="9"/>
      <c r="QJ657" s="9"/>
      <c r="QK657" s="9"/>
      <c r="QL657" s="9"/>
      <c r="QM657" s="9"/>
      <c r="QN657" s="9"/>
      <c r="QO657" s="9"/>
      <c r="QP657" s="9"/>
      <c r="QQ657" s="9"/>
      <c r="QR657" s="9"/>
      <c r="QS657" s="9"/>
      <c r="QT657" s="9"/>
      <c r="QU657" s="9"/>
      <c r="QV657" s="9"/>
      <c r="QW657" s="9"/>
      <c r="QX657" s="9"/>
      <c r="QY657" s="9"/>
      <c r="QZ657" s="9"/>
      <c r="RA657" s="9"/>
      <c r="RB657" s="9"/>
      <c r="RC657" s="9"/>
      <c r="RD657" s="9"/>
      <c r="RE657" s="9"/>
      <c r="RF657" s="9"/>
      <c r="RG657" s="9"/>
      <c r="RH657" s="9"/>
      <c r="RI657" s="9"/>
      <c r="RJ657" s="9"/>
      <c r="RK657" s="9"/>
      <c r="RL657" s="9"/>
      <c r="RM657" s="9"/>
      <c r="RN657" s="9"/>
      <c r="RO657" s="9"/>
      <c r="RP657" s="9"/>
      <c r="RQ657" s="9"/>
      <c r="RR657" s="9"/>
      <c r="RS657" s="9"/>
      <c r="RT657" s="9"/>
      <c r="RU657" s="9"/>
      <c r="RV657" s="9"/>
      <c r="RW657" s="9"/>
      <c r="RX657" s="9"/>
      <c r="RY657" s="9"/>
      <c r="RZ657" s="9"/>
      <c r="SA657" s="9"/>
      <c r="SB657" s="9"/>
      <c r="SC657" s="9"/>
      <c r="SD657" s="9"/>
      <c r="SE657" s="9"/>
      <c r="SF657" s="9"/>
      <c r="SG657" s="9"/>
      <c r="SH657" s="9"/>
      <c r="SI657" s="9"/>
      <c r="SJ657" s="9"/>
      <c r="SK657" s="9"/>
      <c r="SL657" s="9"/>
      <c r="SM657" s="9"/>
      <c r="SN657" s="9"/>
      <c r="SO657" s="9"/>
      <c r="SP657" s="9"/>
      <c r="SQ657" s="9"/>
      <c r="SR657" s="9"/>
      <c r="SS657" s="9"/>
      <c r="ST657" s="9"/>
      <c r="SU657" s="9"/>
      <c r="SV657" s="9"/>
      <c r="SW657" s="9"/>
      <c r="SX657" s="9"/>
      <c r="SY657" s="9"/>
      <c r="SZ657" s="9"/>
      <c r="TA657" s="9"/>
      <c r="TB657" s="9"/>
      <c r="TC657" s="9"/>
      <c r="TD657" s="9"/>
      <c r="TE657" s="9"/>
      <c r="TF657" s="9"/>
      <c r="TG657" s="9"/>
      <c r="TH657" s="9"/>
      <c r="TI657" s="9"/>
      <c r="TJ657" s="9"/>
      <c r="TK657" s="9"/>
      <c r="TL657" s="9"/>
      <c r="TM657" s="9"/>
      <c r="TN657" s="9"/>
      <c r="TO657" s="9"/>
      <c r="TP657" s="9"/>
      <c r="TQ657" s="9"/>
      <c r="TR657" s="9"/>
      <c r="TS657" s="9"/>
      <c r="TT657" s="9"/>
      <c r="TU657" s="9"/>
      <c r="TV657" s="9"/>
      <c r="TW657" s="9"/>
      <c r="TX657" s="9"/>
      <c r="TY657" s="9"/>
      <c r="TZ657" s="9"/>
      <c r="UA657" s="9"/>
      <c r="UB657" s="9"/>
      <c r="UC657" s="9"/>
      <c r="UD657" s="9"/>
      <c r="UE657" s="9"/>
      <c r="UF657" s="9"/>
      <c r="UG657" s="9"/>
      <c r="UH657" s="9"/>
      <c r="UI657" s="9"/>
      <c r="UJ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  <c r="IN658" s="9"/>
      <c r="IO658" s="9"/>
      <c r="IP658" s="9"/>
      <c r="IQ658" s="9"/>
      <c r="IR658" s="9"/>
      <c r="IS658" s="9"/>
      <c r="IT658" s="9"/>
      <c r="IU658" s="9"/>
      <c r="IV658" s="9"/>
      <c r="IW658" s="9"/>
      <c r="IX658" s="9"/>
      <c r="IY658" s="9"/>
      <c r="IZ658" s="9"/>
      <c r="JA658" s="9"/>
      <c r="JB658" s="9"/>
      <c r="JC658" s="9"/>
      <c r="JD658" s="9"/>
      <c r="JE658" s="9"/>
      <c r="JF658" s="9"/>
      <c r="JG658" s="9"/>
      <c r="JH658" s="9"/>
      <c r="JI658" s="9"/>
      <c r="JJ658" s="9"/>
      <c r="JK658" s="9"/>
      <c r="JL658" s="9"/>
      <c r="JM658" s="9"/>
      <c r="JN658" s="9"/>
      <c r="JO658" s="9"/>
      <c r="JP658" s="9"/>
      <c r="JQ658" s="9"/>
      <c r="JR658" s="9"/>
      <c r="JS658" s="9"/>
      <c r="JT658" s="9"/>
      <c r="JU658" s="9"/>
      <c r="JV658" s="9"/>
      <c r="JW658" s="9"/>
      <c r="JX658" s="9"/>
      <c r="JY658" s="9"/>
      <c r="JZ658" s="9"/>
      <c r="KA658" s="9"/>
      <c r="KB658" s="9"/>
      <c r="KC658" s="9"/>
      <c r="KD658" s="9"/>
      <c r="KE658" s="9"/>
      <c r="KF658" s="9"/>
      <c r="KG658" s="9"/>
      <c r="KH658" s="9"/>
      <c r="KI658" s="9"/>
      <c r="KJ658" s="9"/>
      <c r="KK658" s="9"/>
      <c r="KL658" s="9"/>
      <c r="KM658" s="9"/>
      <c r="KN658" s="9"/>
      <c r="KO658" s="9"/>
      <c r="KP658" s="9"/>
      <c r="KQ658" s="9"/>
      <c r="KR658" s="9"/>
      <c r="KS658" s="9"/>
      <c r="KT658" s="9"/>
      <c r="KU658" s="9"/>
      <c r="KV658" s="9"/>
      <c r="KW658" s="9"/>
      <c r="KX658" s="9"/>
      <c r="KY658" s="9"/>
      <c r="KZ658" s="9"/>
      <c r="LA658" s="9"/>
      <c r="LB658" s="9"/>
      <c r="LC658" s="9"/>
      <c r="LD658" s="9"/>
      <c r="LE658" s="9"/>
      <c r="LF658" s="9"/>
      <c r="LG658" s="9"/>
      <c r="LH658" s="9"/>
      <c r="LI658" s="9"/>
      <c r="LJ658" s="9"/>
      <c r="LK658" s="9"/>
      <c r="LL658" s="9"/>
      <c r="LM658" s="9"/>
      <c r="LN658" s="9"/>
      <c r="LO658" s="9"/>
      <c r="LP658" s="9"/>
      <c r="LQ658" s="9"/>
      <c r="LR658" s="9"/>
      <c r="LS658" s="9"/>
      <c r="LT658" s="9"/>
      <c r="LU658" s="9"/>
      <c r="LV658" s="9"/>
      <c r="LW658" s="9"/>
      <c r="LX658" s="9"/>
      <c r="LY658" s="9"/>
      <c r="LZ658" s="9"/>
      <c r="MA658" s="9"/>
      <c r="MB658" s="9"/>
      <c r="MC658" s="9"/>
      <c r="MD658" s="9"/>
      <c r="ME658" s="9"/>
      <c r="MF658" s="9"/>
      <c r="MG658" s="9"/>
      <c r="MH658" s="9"/>
      <c r="MI658" s="9"/>
      <c r="MJ658" s="9"/>
      <c r="MK658" s="9"/>
      <c r="ML658" s="9"/>
      <c r="MM658" s="9"/>
      <c r="MN658" s="9"/>
      <c r="MO658" s="9"/>
      <c r="MP658" s="9"/>
      <c r="MQ658" s="9"/>
      <c r="MR658" s="9"/>
      <c r="MS658" s="9"/>
      <c r="MT658" s="9"/>
      <c r="MU658" s="9"/>
      <c r="MV658" s="9"/>
      <c r="MW658" s="9"/>
      <c r="MX658" s="9"/>
      <c r="MY658" s="9"/>
      <c r="MZ658" s="9"/>
      <c r="NA658" s="9"/>
      <c r="NB658" s="9"/>
      <c r="NC658" s="9"/>
      <c r="ND658" s="9"/>
      <c r="NE658" s="9"/>
      <c r="NF658" s="9"/>
      <c r="NG658" s="9"/>
      <c r="NH658" s="9"/>
      <c r="NI658" s="9"/>
      <c r="NJ658" s="9"/>
      <c r="NK658" s="9"/>
      <c r="NL658" s="9"/>
      <c r="NM658" s="9"/>
      <c r="NN658" s="9"/>
      <c r="NO658" s="9"/>
      <c r="NP658" s="9"/>
      <c r="NQ658" s="9"/>
      <c r="NR658" s="9"/>
      <c r="NS658" s="9"/>
      <c r="NT658" s="9"/>
      <c r="NU658" s="9"/>
      <c r="NV658" s="9"/>
      <c r="NW658" s="9"/>
      <c r="NX658" s="9"/>
      <c r="NY658" s="9"/>
      <c r="NZ658" s="9"/>
      <c r="OA658" s="9"/>
      <c r="OB658" s="9"/>
      <c r="OC658" s="9"/>
      <c r="OD658" s="9"/>
      <c r="OE658" s="9"/>
      <c r="OF658" s="9"/>
      <c r="OG658" s="9"/>
      <c r="OH658" s="9"/>
      <c r="OI658" s="9"/>
      <c r="OJ658" s="9"/>
      <c r="OK658" s="9"/>
      <c r="OL658" s="9"/>
      <c r="OM658" s="9"/>
      <c r="ON658" s="9"/>
      <c r="OO658" s="9"/>
      <c r="OP658" s="9"/>
      <c r="OQ658" s="9"/>
      <c r="OR658" s="9"/>
      <c r="OS658" s="9"/>
      <c r="OT658" s="9"/>
      <c r="OU658" s="9"/>
      <c r="OV658" s="9"/>
      <c r="OW658" s="9"/>
      <c r="OX658" s="9"/>
      <c r="OY658" s="9"/>
      <c r="OZ658" s="9"/>
      <c r="PA658" s="9"/>
      <c r="PB658" s="9"/>
      <c r="PC658" s="9"/>
      <c r="PD658" s="9"/>
      <c r="PE658" s="9"/>
      <c r="PF658" s="9"/>
      <c r="PG658" s="9"/>
      <c r="PH658" s="9"/>
      <c r="PI658" s="9"/>
      <c r="PJ658" s="9"/>
      <c r="PK658" s="9"/>
      <c r="PL658" s="9"/>
      <c r="PM658" s="9"/>
      <c r="PN658" s="9"/>
      <c r="PO658" s="9"/>
      <c r="PP658" s="9"/>
      <c r="PQ658" s="9"/>
      <c r="PR658" s="9"/>
      <c r="PS658" s="9"/>
      <c r="PT658" s="9"/>
      <c r="PU658" s="9"/>
      <c r="PV658" s="9"/>
      <c r="PW658" s="9"/>
      <c r="PX658" s="9"/>
      <c r="PY658" s="9"/>
      <c r="PZ658" s="9"/>
      <c r="QA658" s="9"/>
      <c r="QB658" s="9"/>
      <c r="QC658" s="9"/>
      <c r="QD658" s="9"/>
      <c r="QE658" s="9"/>
      <c r="QF658" s="9"/>
      <c r="QG658" s="9"/>
      <c r="QH658" s="9"/>
      <c r="QI658" s="9"/>
      <c r="QJ658" s="9"/>
      <c r="QK658" s="9"/>
      <c r="QL658" s="9"/>
      <c r="QM658" s="9"/>
      <c r="QN658" s="9"/>
      <c r="QO658" s="9"/>
      <c r="QP658" s="9"/>
      <c r="QQ658" s="9"/>
      <c r="QR658" s="9"/>
      <c r="QS658" s="9"/>
      <c r="QT658" s="9"/>
      <c r="QU658" s="9"/>
      <c r="QV658" s="9"/>
      <c r="QW658" s="9"/>
      <c r="QX658" s="9"/>
      <c r="QY658" s="9"/>
      <c r="QZ658" s="9"/>
      <c r="RA658" s="9"/>
      <c r="RB658" s="9"/>
      <c r="RC658" s="9"/>
      <c r="RD658" s="9"/>
      <c r="RE658" s="9"/>
      <c r="RF658" s="9"/>
      <c r="RG658" s="9"/>
      <c r="RH658" s="9"/>
      <c r="RI658" s="9"/>
      <c r="RJ658" s="9"/>
      <c r="RK658" s="9"/>
      <c r="RL658" s="9"/>
      <c r="RM658" s="9"/>
      <c r="RN658" s="9"/>
      <c r="RO658" s="9"/>
      <c r="RP658" s="9"/>
      <c r="RQ658" s="9"/>
      <c r="RR658" s="9"/>
      <c r="RS658" s="9"/>
      <c r="RT658" s="9"/>
      <c r="RU658" s="9"/>
      <c r="RV658" s="9"/>
      <c r="RW658" s="9"/>
      <c r="RX658" s="9"/>
      <c r="RY658" s="9"/>
      <c r="RZ658" s="9"/>
      <c r="SA658" s="9"/>
      <c r="SB658" s="9"/>
      <c r="SC658" s="9"/>
      <c r="SD658" s="9"/>
      <c r="SE658" s="9"/>
      <c r="SF658" s="9"/>
      <c r="SG658" s="9"/>
      <c r="SH658" s="9"/>
      <c r="SI658" s="9"/>
      <c r="SJ658" s="9"/>
      <c r="SK658" s="9"/>
      <c r="SL658" s="9"/>
      <c r="SM658" s="9"/>
      <c r="SN658" s="9"/>
      <c r="SO658" s="9"/>
      <c r="SP658" s="9"/>
      <c r="SQ658" s="9"/>
      <c r="SR658" s="9"/>
      <c r="SS658" s="9"/>
      <c r="ST658" s="9"/>
      <c r="SU658" s="9"/>
      <c r="SV658" s="9"/>
      <c r="SW658" s="9"/>
      <c r="SX658" s="9"/>
      <c r="SY658" s="9"/>
      <c r="SZ658" s="9"/>
      <c r="TA658" s="9"/>
      <c r="TB658" s="9"/>
      <c r="TC658" s="9"/>
      <c r="TD658" s="9"/>
      <c r="TE658" s="9"/>
      <c r="TF658" s="9"/>
      <c r="TG658" s="9"/>
      <c r="TH658" s="9"/>
      <c r="TI658" s="9"/>
      <c r="TJ658" s="9"/>
      <c r="TK658" s="9"/>
      <c r="TL658" s="9"/>
      <c r="TM658" s="9"/>
      <c r="TN658" s="9"/>
      <c r="TO658" s="9"/>
      <c r="TP658" s="9"/>
      <c r="TQ658" s="9"/>
      <c r="TR658" s="9"/>
      <c r="TS658" s="9"/>
      <c r="TT658" s="9"/>
      <c r="TU658" s="9"/>
      <c r="TV658" s="9"/>
      <c r="TW658" s="9"/>
      <c r="TX658" s="9"/>
      <c r="TY658" s="9"/>
      <c r="TZ658" s="9"/>
      <c r="UA658" s="9"/>
      <c r="UB658" s="9"/>
      <c r="UC658" s="9"/>
      <c r="UD658" s="9"/>
      <c r="UE658" s="9"/>
      <c r="UF658" s="9"/>
      <c r="UG658" s="9"/>
      <c r="UH658" s="9"/>
      <c r="UI658" s="9"/>
      <c r="UJ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  <c r="IN659" s="9"/>
      <c r="IO659" s="9"/>
      <c r="IP659" s="9"/>
      <c r="IQ659" s="9"/>
      <c r="IR659" s="9"/>
      <c r="IS659" s="9"/>
      <c r="IT659" s="9"/>
      <c r="IU659" s="9"/>
      <c r="IV659" s="9"/>
      <c r="IW659" s="9"/>
      <c r="IX659" s="9"/>
      <c r="IY659" s="9"/>
      <c r="IZ659" s="9"/>
      <c r="JA659" s="9"/>
      <c r="JB659" s="9"/>
      <c r="JC659" s="9"/>
      <c r="JD659" s="9"/>
      <c r="JE659" s="9"/>
      <c r="JF659" s="9"/>
      <c r="JG659" s="9"/>
      <c r="JH659" s="9"/>
      <c r="JI659" s="9"/>
      <c r="JJ659" s="9"/>
      <c r="JK659" s="9"/>
      <c r="JL659" s="9"/>
      <c r="JM659" s="9"/>
      <c r="JN659" s="9"/>
      <c r="JO659" s="9"/>
      <c r="JP659" s="9"/>
      <c r="JQ659" s="9"/>
      <c r="JR659" s="9"/>
      <c r="JS659" s="9"/>
      <c r="JT659" s="9"/>
      <c r="JU659" s="9"/>
      <c r="JV659" s="9"/>
      <c r="JW659" s="9"/>
      <c r="JX659" s="9"/>
      <c r="JY659" s="9"/>
      <c r="JZ659" s="9"/>
      <c r="KA659" s="9"/>
      <c r="KB659" s="9"/>
      <c r="KC659" s="9"/>
      <c r="KD659" s="9"/>
      <c r="KE659" s="9"/>
      <c r="KF659" s="9"/>
      <c r="KG659" s="9"/>
      <c r="KH659" s="9"/>
      <c r="KI659" s="9"/>
      <c r="KJ659" s="9"/>
      <c r="KK659" s="9"/>
      <c r="KL659" s="9"/>
      <c r="KM659" s="9"/>
      <c r="KN659" s="9"/>
      <c r="KO659" s="9"/>
      <c r="KP659" s="9"/>
      <c r="KQ659" s="9"/>
      <c r="KR659" s="9"/>
      <c r="KS659" s="9"/>
      <c r="KT659" s="9"/>
      <c r="KU659" s="9"/>
      <c r="KV659" s="9"/>
      <c r="KW659" s="9"/>
      <c r="KX659" s="9"/>
      <c r="KY659" s="9"/>
      <c r="KZ659" s="9"/>
      <c r="LA659" s="9"/>
      <c r="LB659" s="9"/>
      <c r="LC659" s="9"/>
      <c r="LD659" s="9"/>
      <c r="LE659" s="9"/>
      <c r="LF659" s="9"/>
      <c r="LG659" s="9"/>
      <c r="LH659" s="9"/>
      <c r="LI659" s="9"/>
      <c r="LJ659" s="9"/>
      <c r="LK659" s="9"/>
      <c r="LL659" s="9"/>
      <c r="LM659" s="9"/>
      <c r="LN659" s="9"/>
      <c r="LO659" s="9"/>
      <c r="LP659" s="9"/>
      <c r="LQ659" s="9"/>
      <c r="LR659" s="9"/>
      <c r="LS659" s="9"/>
      <c r="LT659" s="9"/>
      <c r="LU659" s="9"/>
      <c r="LV659" s="9"/>
      <c r="LW659" s="9"/>
      <c r="LX659" s="9"/>
      <c r="LY659" s="9"/>
      <c r="LZ659" s="9"/>
      <c r="MA659" s="9"/>
      <c r="MB659" s="9"/>
      <c r="MC659" s="9"/>
      <c r="MD659" s="9"/>
      <c r="ME659" s="9"/>
      <c r="MF659" s="9"/>
      <c r="MG659" s="9"/>
      <c r="MH659" s="9"/>
      <c r="MI659" s="9"/>
      <c r="MJ659" s="9"/>
      <c r="MK659" s="9"/>
      <c r="ML659" s="9"/>
      <c r="MM659" s="9"/>
      <c r="MN659" s="9"/>
      <c r="MO659" s="9"/>
      <c r="MP659" s="9"/>
      <c r="MQ659" s="9"/>
      <c r="MR659" s="9"/>
      <c r="MS659" s="9"/>
      <c r="MT659" s="9"/>
      <c r="MU659" s="9"/>
      <c r="MV659" s="9"/>
      <c r="MW659" s="9"/>
      <c r="MX659" s="9"/>
      <c r="MY659" s="9"/>
      <c r="MZ659" s="9"/>
      <c r="NA659" s="9"/>
      <c r="NB659" s="9"/>
      <c r="NC659" s="9"/>
      <c r="ND659" s="9"/>
      <c r="NE659" s="9"/>
      <c r="NF659" s="9"/>
      <c r="NG659" s="9"/>
      <c r="NH659" s="9"/>
      <c r="NI659" s="9"/>
      <c r="NJ659" s="9"/>
      <c r="NK659" s="9"/>
      <c r="NL659" s="9"/>
      <c r="NM659" s="9"/>
      <c r="NN659" s="9"/>
      <c r="NO659" s="9"/>
      <c r="NP659" s="9"/>
      <c r="NQ659" s="9"/>
      <c r="NR659" s="9"/>
      <c r="NS659" s="9"/>
      <c r="NT659" s="9"/>
      <c r="NU659" s="9"/>
      <c r="NV659" s="9"/>
      <c r="NW659" s="9"/>
      <c r="NX659" s="9"/>
      <c r="NY659" s="9"/>
      <c r="NZ659" s="9"/>
      <c r="OA659" s="9"/>
      <c r="OB659" s="9"/>
      <c r="OC659" s="9"/>
      <c r="OD659" s="9"/>
      <c r="OE659" s="9"/>
      <c r="OF659" s="9"/>
      <c r="OG659" s="9"/>
      <c r="OH659" s="9"/>
      <c r="OI659" s="9"/>
      <c r="OJ659" s="9"/>
      <c r="OK659" s="9"/>
      <c r="OL659" s="9"/>
      <c r="OM659" s="9"/>
      <c r="ON659" s="9"/>
      <c r="OO659" s="9"/>
      <c r="OP659" s="9"/>
      <c r="OQ659" s="9"/>
      <c r="OR659" s="9"/>
      <c r="OS659" s="9"/>
      <c r="OT659" s="9"/>
      <c r="OU659" s="9"/>
      <c r="OV659" s="9"/>
      <c r="OW659" s="9"/>
      <c r="OX659" s="9"/>
      <c r="OY659" s="9"/>
      <c r="OZ659" s="9"/>
      <c r="PA659" s="9"/>
      <c r="PB659" s="9"/>
      <c r="PC659" s="9"/>
      <c r="PD659" s="9"/>
      <c r="PE659" s="9"/>
      <c r="PF659" s="9"/>
      <c r="PG659" s="9"/>
      <c r="PH659" s="9"/>
      <c r="PI659" s="9"/>
      <c r="PJ659" s="9"/>
      <c r="PK659" s="9"/>
      <c r="PL659" s="9"/>
      <c r="PM659" s="9"/>
      <c r="PN659" s="9"/>
      <c r="PO659" s="9"/>
      <c r="PP659" s="9"/>
      <c r="PQ659" s="9"/>
      <c r="PR659" s="9"/>
      <c r="PS659" s="9"/>
      <c r="PT659" s="9"/>
      <c r="PU659" s="9"/>
      <c r="PV659" s="9"/>
      <c r="PW659" s="9"/>
      <c r="PX659" s="9"/>
      <c r="PY659" s="9"/>
      <c r="PZ659" s="9"/>
      <c r="QA659" s="9"/>
      <c r="QB659" s="9"/>
      <c r="QC659" s="9"/>
      <c r="QD659" s="9"/>
      <c r="QE659" s="9"/>
      <c r="QF659" s="9"/>
      <c r="QG659" s="9"/>
      <c r="QH659" s="9"/>
      <c r="QI659" s="9"/>
      <c r="QJ659" s="9"/>
      <c r="QK659" s="9"/>
      <c r="QL659" s="9"/>
      <c r="QM659" s="9"/>
      <c r="QN659" s="9"/>
      <c r="QO659" s="9"/>
      <c r="QP659" s="9"/>
      <c r="QQ659" s="9"/>
      <c r="QR659" s="9"/>
      <c r="QS659" s="9"/>
      <c r="QT659" s="9"/>
      <c r="QU659" s="9"/>
      <c r="QV659" s="9"/>
      <c r="QW659" s="9"/>
      <c r="QX659" s="9"/>
      <c r="QY659" s="9"/>
      <c r="QZ659" s="9"/>
      <c r="RA659" s="9"/>
      <c r="RB659" s="9"/>
      <c r="RC659" s="9"/>
      <c r="RD659" s="9"/>
      <c r="RE659" s="9"/>
      <c r="RF659" s="9"/>
      <c r="RG659" s="9"/>
      <c r="RH659" s="9"/>
      <c r="RI659" s="9"/>
      <c r="RJ659" s="9"/>
      <c r="RK659" s="9"/>
      <c r="RL659" s="9"/>
      <c r="RM659" s="9"/>
      <c r="RN659" s="9"/>
      <c r="RO659" s="9"/>
      <c r="RP659" s="9"/>
      <c r="RQ659" s="9"/>
      <c r="RR659" s="9"/>
      <c r="RS659" s="9"/>
      <c r="RT659" s="9"/>
      <c r="RU659" s="9"/>
      <c r="RV659" s="9"/>
      <c r="RW659" s="9"/>
      <c r="RX659" s="9"/>
      <c r="RY659" s="9"/>
      <c r="RZ659" s="9"/>
      <c r="SA659" s="9"/>
      <c r="SB659" s="9"/>
      <c r="SC659" s="9"/>
      <c r="SD659" s="9"/>
      <c r="SE659" s="9"/>
      <c r="SF659" s="9"/>
      <c r="SG659" s="9"/>
      <c r="SH659" s="9"/>
      <c r="SI659" s="9"/>
      <c r="SJ659" s="9"/>
      <c r="SK659" s="9"/>
      <c r="SL659" s="9"/>
      <c r="SM659" s="9"/>
      <c r="SN659" s="9"/>
      <c r="SO659" s="9"/>
      <c r="SP659" s="9"/>
      <c r="SQ659" s="9"/>
      <c r="SR659" s="9"/>
      <c r="SS659" s="9"/>
      <c r="ST659" s="9"/>
      <c r="SU659" s="9"/>
      <c r="SV659" s="9"/>
      <c r="SW659" s="9"/>
      <c r="SX659" s="9"/>
      <c r="SY659" s="9"/>
      <c r="SZ659" s="9"/>
      <c r="TA659" s="9"/>
      <c r="TB659" s="9"/>
      <c r="TC659" s="9"/>
      <c r="TD659" s="9"/>
      <c r="TE659" s="9"/>
      <c r="TF659" s="9"/>
      <c r="TG659" s="9"/>
      <c r="TH659" s="9"/>
      <c r="TI659" s="9"/>
      <c r="TJ659" s="9"/>
      <c r="TK659" s="9"/>
      <c r="TL659" s="9"/>
      <c r="TM659" s="9"/>
      <c r="TN659" s="9"/>
      <c r="TO659" s="9"/>
      <c r="TP659" s="9"/>
      <c r="TQ659" s="9"/>
      <c r="TR659" s="9"/>
      <c r="TS659" s="9"/>
      <c r="TT659" s="9"/>
      <c r="TU659" s="9"/>
      <c r="TV659" s="9"/>
      <c r="TW659" s="9"/>
      <c r="TX659" s="9"/>
      <c r="TY659" s="9"/>
      <c r="TZ659" s="9"/>
      <c r="UA659" s="9"/>
      <c r="UB659" s="9"/>
      <c r="UC659" s="9"/>
      <c r="UD659" s="9"/>
      <c r="UE659" s="9"/>
      <c r="UF659" s="9"/>
      <c r="UG659" s="9"/>
      <c r="UH659" s="9"/>
      <c r="UI659" s="9"/>
      <c r="UJ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  <c r="IN660" s="9"/>
      <c r="IO660" s="9"/>
      <c r="IP660" s="9"/>
      <c r="IQ660" s="9"/>
      <c r="IR660" s="9"/>
      <c r="IS660" s="9"/>
      <c r="IT660" s="9"/>
      <c r="IU660" s="9"/>
      <c r="IV660" s="9"/>
      <c r="IW660" s="9"/>
      <c r="IX660" s="9"/>
      <c r="IY660" s="9"/>
      <c r="IZ660" s="9"/>
      <c r="JA660" s="9"/>
      <c r="JB660" s="9"/>
      <c r="JC660" s="9"/>
      <c r="JD660" s="9"/>
      <c r="JE660" s="9"/>
      <c r="JF660" s="9"/>
      <c r="JG660" s="9"/>
      <c r="JH660" s="9"/>
      <c r="JI660" s="9"/>
      <c r="JJ660" s="9"/>
      <c r="JK660" s="9"/>
      <c r="JL660" s="9"/>
      <c r="JM660" s="9"/>
      <c r="JN660" s="9"/>
      <c r="JO660" s="9"/>
      <c r="JP660" s="9"/>
      <c r="JQ660" s="9"/>
      <c r="JR660" s="9"/>
      <c r="JS660" s="9"/>
      <c r="JT660" s="9"/>
      <c r="JU660" s="9"/>
      <c r="JV660" s="9"/>
      <c r="JW660" s="9"/>
      <c r="JX660" s="9"/>
      <c r="JY660" s="9"/>
      <c r="JZ660" s="9"/>
      <c r="KA660" s="9"/>
      <c r="KB660" s="9"/>
      <c r="KC660" s="9"/>
      <c r="KD660" s="9"/>
      <c r="KE660" s="9"/>
      <c r="KF660" s="9"/>
      <c r="KG660" s="9"/>
      <c r="KH660" s="9"/>
      <c r="KI660" s="9"/>
      <c r="KJ660" s="9"/>
      <c r="KK660" s="9"/>
      <c r="KL660" s="9"/>
      <c r="KM660" s="9"/>
      <c r="KN660" s="9"/>
      <c r="KO660" s="9"/>
      <c r="KP660" s="9"/>
      <c r="KQ660" s="9"/>
      <c r="KR660" s="9"/>
      <c r="KS660" s="9"/>
      <c r="KT660" s="9"/>
      <c r="KU660" s="9"/>
      <c r="KV660" s="9"/>
      <c r="KW660" s="9"/>
      <c r="KX660" s="9"/>
      <c r="KY660" s="9"/>
      <c r="KZ660" s="9"/>
      <c r="LA660" s="9"/>
      <c r="LB660" s="9"/>
      <c r="LC660" s="9"/>
      <c r="LD660" s="9"/>
      <c r="LE660" s="9"/>
      <c r="LF660" s="9"/>
      <c r="LG660" s="9"/>
      <c r="LH660" s="9"/>
      <c r="LI660" s="9"/>
      <c r="LJ660" s="9"/>
      <c r="LK660" s="9"/>
      <c r="LL660" s="9"/>
      <c r="LM660" s="9"/>
      <c r="LN660" s="9"/>
      <c r="LO660" s="9"/>
      <c r="LP660" s="9"/>
      <c r="LQ660" s="9"/>
      <c r="LR660" s="9"/>
      <c r="LS660" s="9"/>
      <c r="LT660" s="9"/>
      <c r="LU660" s="9"/>
      <c r="LV660" s="9"/>
      <c r="LW660" s="9"/>
      <c r="LX660" s="9"/>
      <c r="LY660" s="9"/>
      <c r="LZ660" s="9"/>
      <c r="MA660" s="9"/>
      <c r="MB660" s="9"/>
      <c r="MC660" s="9"/>
      <c r="MD660" s="9"/>
      <c r="ME660" s="9"/>
      <c r="MF660" s="9"/>
      <c r="MG660" s="9"/>
      <c r="MH660" s="9"/>
      <c r="MI660" s="9"/>
      <c r="MJ660" s="9"/>
      <c r="MK660" s="9"/>
      <c r="ML660" s="9"/>
      <c r="MM660" s="9"/>
      <c r="MN660" s="9"/>
      <c r="MO660" s="9"/>
      <c r="MP660" s="9"/>
      <c r="MQ660" s="9"/>
      <c r="MR660" s="9"/>
      <c r="MS660" s="9"/>
      <c r="MT660" s="9"/>
      <c r="MU660" s="9"/>
      <c r="MV660" s="9"/>
      <c r="MW660" s="9"/>
      <c r="MX660" s="9"/>
      <c r="MY660" s="9"/>
      <c r="MZ660" s="9"/>
      <c r="NA660" s="9"/>
      <c r="NB660" s="9"/>
      <c r="NC660" s="9"/>
      <c r="ND660" s="9"/>
      <c r="NE660" s="9"/>
      <c r="NF660" s="9"/>
      <c r="NG660" s="9"/>
      <c r="NH660" s="9"/>
      <c r="NI660" s="9"/>
      <c r="NJ660" s="9"/>
      <c r="NK660" s="9"/>
      <c r="NL660" s="9"/>
      <c r="NM660" s="9"/>
      <c r="NN660" s="9"/>
      <c r="NO660" s="9"/>
      <c r="NP660" s="9"/>
      <c r="NQ660" s="9"/>
      <c r="NR660" s="9"/>
      <c r="NS660" s="9"/>
      <c r="NT660" s="9"/>
      <c r="NU660" s="9"/>
      <c r="NV660" s="9"/>
      <c r="NW660" s="9"/>
      <c r="NX660" s="9"/>
      <c r="NY660" s="9"/>
      <c r="NZ660" s="9"/>
      <c r="OA660" s="9"/>
      <c r="OB660" s="9"/>
      <c r="OC660" s="9"/>
      <c r="OD660" s="9"/>
      <c r="OE660" s="9"/>
      <c r="OF660" s="9"/>
      <c r="OG660" s="9"/>
      <c r="OH660" s="9"/>
      <c r="OI660" s="9"/>
      <c r="OJ660" s="9"/>
      <c r="OK660" s="9"/>
      <c r="OL660" s="9"/>
      <c r="OM660" s="9"/>
      <c r="ON660" s="9"/>
      <c r="OO660" s="9"/>
      <c r="OP660" s="9"/>
      <c r="OQ660" s="9"/>
      <c r="OR660" s="9"/>
      <c r="OS660" s="9"/>
      <c r="OT660" s="9"/>
      <c r="OU660" s="9"/>
      <c r="OV660" s="9"/>
      <c r="OW660" s="9"/>
      <c r="OX660" s="9"/>
      <c r="OY660" s="9"/>
      <c r="OZ660" s="9"/>
      <c r="PA660" s="9"/>
      <c r="PB660" s="9"/>
      <c r="PC660" s="9"/>
      <c r="PD660" s="9"/>
      <c r="PE660" s="9"/>
      <c r="PF660" s="9"/>
      <c r="PG660" s="9"/>
      <c r="PH660" s="9"/>
      <c r="PI660" s="9"/>
      <c r="PJ660" s="9"/>
      <c r="PK660" s="9"/>
      <c r="PL660" s="9"/>
      <c r="PM660" s="9"/>
      <c r="PN660" s="9"/>
      <c r="PO660" s="9"/>
      <c r="PP660" s="9"/>
      <c r="PQ660" s="9"/>
      <c r="PR660" s="9"/>
      <c r="PS660" s="9"/>
      <c r="PT660" s="9"/>
      <c r="PU660" s="9"/>
      <c r="PV660" s="9"/>
      <c r="PW660" s="9"/>
      <c r="PX660" s="9"/>
      <c r="PY660" s="9"/>
      <c r="PZ660" s="9"/>
      <c r="QA660" s="9"/>
      <c r="QB660" s="9"/>
      <c r="QC660" s="9"/>
      <c r="QD660" s="9"/>
      <c r="QE660" s="9"/>
      <c r="QF660" s="9"/>
      <c r="QG660" s="9"/>
      <c r="QH660" s="9"/>
      <c r="QI660" s="9"/>
      <c r="QJ660" s="9"/>
      <c r="QK660" s="9"/>
      <c r="QL660" s="9"/>
      <c r="QM660" s="9"/>
      <c r="QN660" s="9"/>
      <c r="QO660" s="9"/>
      <c r="QP660" s="9"/>
      <c r="QQ660" s="9"/>
      <c r="QR660" s="9"/>
      <c r="QS660" s="9"/>
      <c r="QT660" s="9"/>
      <c r="QU660" s="9"/>
      <c r="QV660" s="9"/>
      <c r="QW660" s="9"/>
      <c r="QX660" s="9"/>
      <c r="QY660" s="9"/>
      <c r="QZ660" s="9"/>
      <c r="RA660" s="9"/>
      <c r="RB660" s="9"/>
      <c r="RC660" s="9"/>
      <c r="RD660" s="9"/>
      <c r="RE660" s="9"/>
      <c r="RF660" s="9"/>
      <c r="RG660" s="9"/>
      <c r="RH660" s="9"/>
      <c r="RI660" s="9"/>
      <c r="RJ660" s="9"/>
      <c r="RK660" s="9"/>
      <c r="RL660" s="9"/>
      <c r="RM660" s="9"/>
      <c r="RN660" s="9"/>
      <c r="RO660" s="9"/>
      <c r="RP660" s="9"/>
      <c r="RQ660" s="9"/>
      <c r="RR660" s="9"/>
      <c r="RS660" s="9"/>
      <c r="RT660" s="9"/>
      <c r="RU660" s="9"/>
      <c r="RV660" s="9"/>
      <c r="RW660" s="9"/>
      <c r="RX660" s="9"/>
      <c r="RY660" s="9"/>
      <c r="RZ660" s="9"/>
      <c r="SA660" s="9"/>
      <c r="SB660" s="9"/>
      <c r="SC660" s="9"/>
      <c r="SD660" s="9"/>
      <c r="SE660" s="9"/>
      <c r="SF660" s="9"/>
      <c r="SG660" s="9"/>
      <c r="SH660" s="9"/>
      <c r="SI660" s="9"/>
      <c r="SJ660" s="9"/>
      <c r="SK660" s="9"/>
      <c r="SL660" s="9"/>
      <c r="SM660" s="9"/>
      <c r="SN660" s="9"/>
      <c r="SO660" s="9"/>
      <c r="SP660" s="9"/>
      <c r="SQ660" s="9"/>
      <c r="SR660" s="9"/>
      <c r="SS660" s="9"/>
      <c r="ST660" s="9"/>
      <c r="SU660" s="9"/>
      <c r="SV660" s="9"/>
      <c r="SW660" s="9"/>
      <c r="SX660" s="9"/>
      <c r="SY660" s="9"/>
      <c r="SZ660" s="9"/>
      <c r="TA660" s="9"/>
      <c r="TB660" s="9"/>
      <c r="TC660" s="9"/>
      <c r="TD660" s="9"/>
      <c r="TE660" s="9"/>
      <c r="TF660" s="9"/>
      <c r="TG660" s="9"/>
      <c r="TH660" s="9"/>
      <c r="TI660" s="9"/>
      <c r="TJ660" s="9"/>
      <c r="TK660" s="9"/>
      <c r="TL660" s="9"/>
      <c r="TM660" s="9"/>
      <c r="TN660" s="9"/>
      <c r="TO660" s="9"/>
      <c r="TP660" s="9"/>
      <c r="TQ660" s="9"/>
      <c r="TR660" s="9"/>
      <c r="TS660" s="9"/>
      <c r="TT660" s="9"/>
      <c r="TU660" s="9"/>
      <c r="TV660" s="9"/>
      <c r="TW660" s="9"/>
      <c r="TX660" s="9"/>
      <c r="TY660" s="9"/>
      <c r="TZ660" s="9"/>
      <c r="UA660" s="9"/>
      <c r="UB660" s="9"/>
      <c r="UC660" s="9"/>
      <c r="UD660" s="9"/>
      <c r="UE660" s="9"/>
      <c r="UF660" s="9"/>
      <c r="UG660" s="9"/>
      <c r="UH660" s="9"/>
      <c r="UI660" s="9"/>
      <c r="UJ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  <c r="IC661" s="9"/>
      <c r="ID661" s="9"/>
      <c r="IE661" s="9"/>
      <c r="IF661" s="9"/>
      <c r="IG661" s="9"/>
      <c r="IH661" s="9"/>
      <c r="II661" s="9"/>
      <c r="IJ661" s="9"/>
      <c r="IK661" s="9"/>
      <c r="IL661" s="9"/>
      <c r="IM661" s="9"/>
      <c r="IN661" s="9"/>
      <c r="IO661" s="9"/>
      <c r="IP661" s="9"/>
      <c r="IQ661" s="9"/>
      <c r="IR661" s="9"/>
      <c r="IS661" s="9"/>
      <c r="IT661" s="9"/>
      <c r="IU661" s="9"/>
      <c r="IV661" s="9"/>
      <c r="IW661" s="9"/>
      <c r="IX661" s="9"/>
      <c r="IY661" s="9"/>
      <c r="IZ661" s="9"/>
      <c r="JA661" s="9"/>
      <c r="JB661" s="9"/>
      <c r="JC661" s="9"/>
      <c r="JD661" s="9"/>
      <c r="JE661" s="9"/>
      <c r="JF661" s="9"/>
      <c r="JG661" s="9"/>
      <c r="JH661" s="9"/>
      <c r="JI661" s="9"/>
      <c r="JJ661" s="9"/>
      <c r="JK661" s="9"/>
      <c r="JL661" s="9"/>
      <c r="JM661" s="9"/>
      <c r="JN661" s="9"/>
      <c r="JO661" s="9"/>
      <c r="JP661" s="9"/>
      <c r="JQ661" s="9"/>
      <c r="JR661" s="9"/>
      <c r="JS661" s="9"/>
      <c r="JT661" s="9"/>
      <c r="JU661" s="9"/>
      <c r="JV661" s="9"/>
      <c r="JW661" s="9"/>
      <c r="JX661" s="9"/>
      <c r="JY661" s="9"/>
      <c r="JZ661" s="9"/>
      <c r="KA661" s="9"/>
      <c r="KB661" s="9"/>
      <c r="KC661" s="9"/>
      <c r="KD661" s="9"/>
      <c r="KE661" s="9"/>
      <c r="KF661" s="9"/>
      <c r="KG661" s="9"/>
      <c r="KH661" s="9"/>
      <c r="KI661" s="9"/>
      <c r="KJ661" s="9"/>
      <c r="KK661" s="9"/>
      <c r="KL661" s="9"/>
      <c r="KM661" s="9"/>
      <c r="KN661" s="9"/>
      <c r="KO661" s="9"/>
      <c r="KP661" s="9"/>
      <c r="KQ661" s="9"/>
      <c r="KR661" s="9"/>
      <c r="KS661" s="9"/>
      <c r="KT661" s="9"/>
      <c r="KU661" s="9"/>
      <c r="KV661" s="9"/>
      <c r="KW661" s="9"/>
      <c r="KX661" s="9"/>
      <c r="KY661" s="9"/>
      <c r="KZ661" s="9"/>
      <c r="LA661" s="9"/>
      <c r="LB661" s="9"/>
      <c r="LC661" s="9"/>
      <c r="LD661" s="9"/>
      <c r="LE661" s="9"/>
      <c r="LF661" s="9"/>
      <c r="LG661" s="9"/>
      <c r="LH661" s="9"/>
      <c r="LI661" s="9"/>
      <c r="LJ661" s="9"/>
      <c r="LK661" s="9"/>
      <c r="LL661" s="9"/>
      <c r="LM661" s="9"/>
      <c r="LN661" s="9"/>
      <c r="LO661" s="9"/>
      <c r="LP661" s="9"/>
      <c r="LQ661" s="9"/>
      <c r="LR661" s="9"/>
      <c r="LS661" s="9"/>
      <c r="LT661" s="9"/>
      <c r="LU661" s="9"/>
      <c r="LV661" s="9"/>
      <c r="LW661" s="9"/>
      <c r="LX661" s="9"/>
      <c r="LY661" s="9"/>
      <c r="LZ661" s="9"/>
      <c r="MA661" s="9"/>
      <c r="MB661" s="9"/>
      <c r="MC661" s="9"/>
      <c r="MD661" s="9"/>
      <c r="ME661" s="9"/>
      <c r="MF661" s="9"/>
      <c r="MG661" s="9"/>
      <c r="MH661" s="9"/>
      <c r="MI661" s="9"/>
      <c r="MJ661" s="9"/>
      <c r="MK661" s="9"/>
      <c r="ML661" s="9"/>
      <c r="MM661" s="9"/>
      <c r="MN661" s="9"/>
      <c r="MO661" s="9"/>
      <c r="MP661" s="9"/>
      <c r="MQ661" s="9"/>
      <c r="MR661" s="9"/>
      <c r="MS661" s="9"/>
      <c r="MT661" s="9"/>
      <c r="MU661" s="9"/>
      <c r="MV661" s="9"/>
      <c r="MW661" s="9"/>
      <c r="MX661" s="9"/>
      <c r="MY661" s="9"/>
      <c r="MZ661" s="9"/>
      <c r="NA661" s="9"/>
      <c r="NB661" s="9"/>
      <c r="NC661" s="9"/>
      <c r="ND661" s="9"/>
      <c r="NE661" s="9"/>
      <c r="NF661" s="9"/>
      <c r="NG661" s="9"/>
      <c r="NH661" s="9"/>
      <c r="NI661" s="9"/>
      <c r="NJ661" s="9"/>
      <c r="NK661" s="9"/>
      <c r="NL661" s="9"/>
      <c r="NM661" s="9"/>
      <c r="NN661" s="9"/>
      <c r="NO661" s="9"/>
      <c r="NP661" s="9"/>
      <c r="NQ661" s="9"/>
      <c r="NR661" s="9"/>
      <c r="NS661" s="9"/>
      <c r="NT661" s="9"/>
      <c r="NU661" s="9"/>
      <c r="NV661" s="9"/>
      <c r="NW661" s="9"/>
      <c r="NX661" s="9"/>
      <c r="NY661" s="9"/>
      <c r="NZ661" s="9"/>
      <c r="OA661" s="9"/>
      <c r="OB661" s="9"/>
      <c r="OC661" s="9"/>
      <c r="OD661" s="9"/>
      <c r="OE661" s="9"/>
      <c r="OF661" s="9"/>
      <c r="OG661" s="9"/>
      <c r="OH661" s="9"/>
      <c r="OI661" s="9"/>
      <c r="OJ661" s="9"/>
      <c r="OK661" s="9"/>
      <c r="OL661" s="9"/>
      <c r="OM661" s="9"/>
      <c r="ON661" s="9"/>
      <c r="OO661" s="9"/>
      <c r="OP661" s="9"/>
      <c r="OQ661" s="9"/>
      <c r="OR661" s="9"/>
      <c r="OS661" s="9"/>
      <c r="OT661" s="9"/>
      <c r="OU661" s="9"/>
      <c r="OV661" s="9"/>
      <c r="OW661" s="9"/>
      <c r="OX661" s="9"/>
      <c r="OY661" s="9"/>
      <c r="OZ661" s="9"/>
      <c r="PA661" s="9"/>
      <c r="PB661" s="9"/>
      <c r="PC661" s="9"/>
      <c r="PD661" s="9"/>
      <c r="PE661" s="9"/>
      <c r="PF661" s="9"/>
      <c r="PG661" s="9"/>
      <c r="PH661" s="9"/>
      <c r="PI661" s="9"/>
      <c r="PJ661" s="9"/>
      <c r="PK661" s="9"/>
      <c r="PL661" s="9"/>
      <c r="PM661" s="9"/>
      <c r="PN661" s="9"/>
      <c r="PO661" s="9"/>
      <c r="PP661" s="9"/>
      <c r="PQ661" s="9"/>
      <c r="PR661" s="9"/>
      <c r="PS661" s="9"/>
      <c r="PT661" s="9"/>
      <c r="PU661" s="9"/>
      <c r="PV661" s="9"/>
      <c r="PW661" s="9"/>
      <c r="PX661" s="9"/>
      <c r="PY661" s="9"/>
      <c r="PZ661" s="9"/>
      <c r="QA661" s="9"/>
      <c r="QB661" s="9"/>
      <c r="QC661" s="9"/>
      <c r="QD661" s="9"/>
      <c r="QE661" s="9"/>
      <c r="QF661" s="9"/>
      <c r="QG661" s="9"/>
      <c r="QH661" s="9"/>
      <c r="QI661" s="9"/>
      <c r="QJ661" s="9"/>
      <c r="QK661" s="9"/>
      <c r="QL661" s="9"/>
      <c r="QM661" s="9"/>
      <c r="QN661" s="9"/>
      <c r="QO661" s="9"/>
      <c r="QP661" s="9"/>
      <c r="QQ661" s="9"/>
      <c r="QR661" s="9"/>
      <c r="QS661" s="9"/>
      <c r="QT661" s="9"/>
      <c r="QU661" s="9"/>
      <c r="QV661" s="9"/>
      <c r="QW661" s="9"/>
      <c r="QX661" s="9"/>
      <c r="QY661" s="9"/>
      <c r="QZ661" s="9"/>
      <c r="RA661" s="9"/>
      <c r="RB661" s="9"/>
      <c r="RC661" s="9"/>
      <c r="RD661" s="9"/>
      <c r="RE661" s="9"/>
      <c r="RF661" s="9"/>
      <c r="RG661" s="9"/>
      <c r="RH661" s="9"/>
      <c r="RI661" s="9"/>
      <c r="RJ661" s="9"/>
      <c r="RK661" s="9"/>
      <c r="RL661" s="9"/>
      <c r="RM661" s="9"/>
      <c r="RN661" s="9"/>
      <c r="RO661" s="9"/>
      <c r="RP661" s="9"/>
      <c r="RQ661" s="9"/>
      <c r="RR661" s="9"/>
      <c r="RS661" s="9"/>
      <c r="RT661" s="9"/>
      <c r="RU661" s="9"/>
      <c r="RV661" s="9"/>
      <c r="RW661" s="9"/>
      <c r="RX661" s="9"/>
      <c r="RY661" s="9"/>
      <c r="RZ661" s="9"/>
      <c r="SA661" s="9"/>
      <c r="SB661" s="9"/>
      <c r="SC661" s="9"/>
      <c r="SD661" s="9"/>
      <c r="SE661" s="9"/>
      <c r="SF661" s="9"/>
      <c r="SG661" s="9"/>
      <c r="SH661" s="9"/>
      <c r="SI661" s="9"/>
      <c r="SJ661" s="9"/>
      <c r="SK661" s="9"/>
      <c r="SL661" s="9"/>
      <c r="SM661" s="9"/>
      <c r="SN661" s="9"/>
      <c r="SO661" s="9"/>
      <c r="SP661" s="9"/>
      <c r="SQ661" s="9"/>
      <c r="SR661" s="9"/>
      <c r="SS661" s="9"/>
      <c r="ST661" s="9"/>
      <c r="SU661" s="9"/>
      <c r="SV661" s="9"/>
      <c r="SW661" s="9"/>
      <c r="SX661" s="9"/>
      <c r="SY661" s="9"/>
      <c r="SZ661" s="9"/>
      <c r="TA661" s="9"/>
      <c r="TB661" s="9"/>
      <c r="TC661" s="9"/>
      <c r="TD661" s="9"/>
      <c r="TE661" s="9"/>
      <c r="TF661" s="9"/>
      <c r="TG661" s="9"/>
      <c r="TH661" s="9"/>
      <c r="TI661" s="9"/>
      <c r="TJ661" s="9"/>
      <c r="TK661" s="9"/>
      <c r="TL661" s="9"/>
      <c r="TM661" s="9"/>
      <c r="TN661" s="9"/>
      <c r="TO661" s="9"/>
      <c r="TP661" s="9"/>
      <c r="TQ661" s="9"/>
      <c r="TR661" s="9"/>
      <c r="TS661" s="9"/>
      <c r="TT661" s="9"/>
      <c r="TU661" s="9"/>
      <c r="TV661" s="9"/>
      <c r="TW661" s="9"/>
      <c r="TX661" s="9"/>
      <c r="TY661" s="9"/>
      <c r="TZ661" s="9"/>
      <c r="UA661" s="9"/>
      <c r="UB661" s="9"/>
      <c r="UC661" s="9"/>
      <c r="UD661" s="9"/>
      <c r="UE661" s="9"/>
      <c r="UF661" s="9"/>
      <c r="UG661" s="9"/>
      <c r="UH661" s="9"/>
      <c r="UI661" s="9"/>
      <c r="UJ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  <c r="IN662" s="9"/>
      <c r="IO662" s="9"/>
      <c r="IP662" s="9"/>
      <c r="IQ662" s="9"/>
      <c r="IR662" s="9"/>
      <c r="IS662" s="9"/>
      <c r="IT662" s="9"/>
      <c r="IU662" s="9"/>
      <c r="IV662" s="9"/>
      <c r="IW662" s="9"/>
      <c r="IX662" s="9"/>
      <c r="IY662" s="9"/>
      <c r="IZ662" s="9"/>
      <c r="JA662" s="9"/>
      <c r="JB662" s="9"/>
      <c r="JC662" s="9"/>
      <c r="JD662" s="9"/>
      <c r="JE662" s="9"/>
      <c r="JF662" s="9"/>
      <c r="JG662" s="9"/>
      <c r="JH662" s="9"/>
      <c r="JI662" s="9"/>
      <c r="JJ662" s="9"/>
      <c r="JK662" s="9"/>
      <c r="JL662" s="9"/>
      <c r="JM662" s="9"/>
      <c r="JN662" s="9"/>
      <c r="JO662" s="9"/>
      <c r="JP662" s="9"/>
      <c r="JQ662" s="9"/>
      <c r="JR662" s="9"/>
      <c r="JS662" s="9"/>
      <c r="JT662" s="9"/>
      <c r="JU662" s="9"/>
      <c r="JV662" s="9"/>
      <c r="JW662" s="9"/>
      <c r="JX662" s="9"/>
      <c r="JY662" s="9"/>
      <c r="JZ662" s="9"/>
      <c r="KA662" s="9"/>
      <c r="KB662" s="9"/>
      <c r="KC662" s="9"/>
      <c r="KD662" s="9"/>
      <c r="KE662" s="9"/>
      <c r="KF662" s="9"/>
      <c r="KG662" s="9"/>
      <c r="KH662" s="9"/>
      <c r="KI662" s="9"/>
      <c r="KJ662" s="9"/>
      <c r="KK662" s="9"/>
      <c r="KL662" s="9"/>
      <c r="KM662" s="9"/>
      <c r="KN662" s="9"/>
      <c r="KO662" s="9"/>
      <c r="KP662" s="9"/>
      <c r="KQ662" s="9"/>
      <c r="KR662" s="9"/>
      <c r="KS662" s="9"/>
      <c r="KT662" s="9"/>
      <c r="KU662" s="9"/>
      <c r="KV662" s="9"/>
      <c r="KW662" s="9"/>
      <c r="KX662" s="9"/>
      <c r="KY662" s="9"/>
      <c r="KZ662" s="9"/>
      <c r="LA662" s="9"/>
      <c r="LB662" s="9"/>
      <c r="LC662" s="9"/>
      <c r="LD662" s="9"/>
      <c r="LE662" s="9"/>
      <c r="LF662" s="9"/>
      <c r="LG662" s="9"/>
      <c r="LH662" s="9"/>
      <c r="LI662" s="9"/>
      <c r="LJ662" s="9"/>
      <c r="LK662" s="9"/>
      <c r="LL662" s="9"/>
      <c r="LM662" s="9"/>
      <c r="LN662" s="9"/>
      <c r="LO662" s="9"/>
      <c r="LP662" s="9"/>
      <c r="LQ662" s="9"/>
      <c r="LR662" s="9"/>
      <c r="LS662" s="9"/>
      <c r="LT662" s="9"/>
      <c r="LU662" s="9"/>
      <c r="LV662" s="9"/>
      <c r="LW662" s="9"/>
      <c r="LX662" s="9"/>
      <c r="LY662" s="9"/>
      <c r="LZ662" s="9"/>
      <c r="MA662" s="9"/>
      <c r="MB662" s="9"/>
      <c r="MC662" s="9"/>
      <c r="MD662" s="9"/>
      <c r="ME662" s="9"/>
      <c r="MF662" s="9"/>
      <c r="MG662" s="9"/>
      <c r="MH662" s="9"/>
      <c r="MI662" s="9"/>
      <c r="MJ662" s="9"/>
      <c r="MK662" s="9"/>
      <c r="ML662" s="9"/>
      <c r="MM662" s="9"/>
      <c r="MN662" s="9"/>
      <c r="MO662" s="9"/>
      <c r="MP662" s="9"/>
      <c r="MQ662" s="9"/>
      <c r="MR662" s="9"/>
      <c r="MS662" s="9"/>
      <c r="MT662" s="9"/>
      <c r="MU662" s="9"/>
      <c r="MV662" s="9"/>
      <c r="MW662" s="9"/>
      <c r="MX662" s="9"/>
      <c r="MY662" s="9"/>
      <c r="MZ662" s="9"/>
      <c r="NA662" s="9"/>
      <c r="NB662" s="9"/>
      <c r="NC662" s="9"/>
      <c r="ND662" s="9"/>
      <c r="NE662" s="9"/>
      <c r="NF662" s="9"/>
      <c r="NG662" s="9"/>
      <c r="NH662" s="9"/>
      <c r="NI662" s="9"/>
      <c r="NJ662" s="9"/>
      <c r="NK662" s="9"/>
      <c r="NL662" s="9"/>
      <c r="NM662" s="9"/>
      <c r="NN662" s="9"/>
      <c r="NO662" s="9"/>
      <c r="NP662" s="9"/>
      <c r="NQ662" s="9"/>
      <c r="NR662" s="9"/>
      <c r="NS662" s="9"/>
      <c r="NT662" s="9"/>
      <c r="NU662" s="9"/>
      <c r="NV662" s="9"/>
      <c r="NW662" s="9"/>
      <c r="NX662" s="9"/>
      <c r="NY662" s="9"/>
      <c r="NZ662" s="9"/>
      <c r="OA662" s="9"/>
      <c r="OB662" s="9"/>
      <c r="OC662" s="9"/>
      <c r="OD662" s="9"/>
      <c r="OE662" s="9"/>
      <c r="OF662" s="9"/>
      <c r="OG662" s="9"/>
      <c r="OH662" s="9"/>
      <c r="OI662" s="9"/>
      <c r="OJ662" s="9"/>
      <c r="OK662" s="9"/>
      <c r="OL662" s="9"/>
      <c r="OM662" s="9"/>
      <c r="ON662" s="9"/>
      <c r="OO662" s="9"/>
      <c r="OP662" s="9"/>
      <c r="OQ662" s="9"/>
      <c r="OR662" s="9"/>
      <c r="OS662" s="9"/>
      <c r="OT662" s="9"/>
      <c r="OU662" s="9"/>
      <c r="OV662" s="9"/>
      <c r="OW662" s="9"/>
      <c r="OX662" s="9"/>
      <c r="OY662" s="9"/>
      <c r="OZ662" s="9"/>
      <c r="PA662" s="9"/>
      <c r="PB662" s="9"/>
      <c r="PC662" s="9"/>
      <c r="PD662" s="9"/>
      <c r="PE662" s="9"/>
      <c r="PF662" s="9"/>
      <c r="PG662" s="9"/>
      <c r="PH662" s="9"/>
      <c r="PI662" s="9"/>
      <c r="PJ662" s="9"/>
      <c r="PK662" s="9"/>
      <c r="PL662" s="9"/>
      <c r="PM662" s="9"/>
      <c r="PN662" s="9"/>
      <c r="PO662" s="9"/>
      <c r="PP662" s="9"/>
      <c r="PQ662" s="9"/>
      <c r="PR662" s="9"/>
      <c r="PS662" s="9"/>
      <c r="PT662" s="9"/>
      <c r="PU662" s="9"/>
      <c r="PV662" s="9"/>
      <c r="PW662" s="9"/>
      <c r="PX662" s="9"/>
      <c r="PY662" s="9"/>
      <c r="PZ662" s="9"/>
      <c r="QA662" s="9"/>
      <c r="QB662" s="9"/>
      <c r="QC662" s="9"/>
      <c r="QD662" s="9"/>
      <c r="QE662" s="9"/>
      <c r="QF662" s="9"/>
      <c r="QG662" s="9"/>
      <c r="QH662" s="9"/>
      <c r="QI662" s="9"/>
      <c r="QJ662" s="9"/>
      <c r="QK662" s="9"/>
      <c r="QL662" s="9"/>
      <c r="QM662" s="9"/>
      <c r="QN662" s="9"/>
      <c r="QO662" s="9"/>
      <c r="QP662" s="9"/>
      <c r="QQ662" s="9"/>
      <c r="QR662" s="9"/>
      <c r="QS662" s="9"/>
      <c r="QT662" s="9"/>
      <c r="QU662" s="9"/>
      <c r="QV662" s="9"/>
      <c r="QW662" s="9"/>
      <c r="QX662" s="9"/>
      <c r="QY662" s="9"/>
      <c r="QZ662" s="9"/>
      <c r="RA662" s="9"/>
      <c r="RB662" s="9"/>
      <c r="RC662" s="9"/>
      <c r="RD662" s="9"/>
      <c r="RE662" s="9"/>
      <c r="RF662" s="9"/>
      <c r="RG662" s="9"/>
      <c r="RH662" s="9"/>
      <c r="RI662" s="9"/>
      <c r="RJ662" s="9"/>
      <c r="RK662" s="9"/>
      <c r="RL662" s="9"/>
      <c r="RM662" s="9"/>
      <c r="RN662" s="9"/>
      <c r="RO662" s="9"/>
      <c r="RP662" s="9"/>
      <c r="RQ662" s="9"/>
      <c r="RR662" s="9"/>
      <c r="RS662" s="9"/>
      <c r="RT662" s="9"/>
      <c r="RU662" s="9"/>
      <c r="RV662" s="9"/>
      <c r="RW662" s="9"/>
      <c r="RX662" s="9"/>
      <c r="RY662" s="9"/>
      <c r="RZ662" s="9"/>
      <c r="SA662" s="9"/>
      <c r="SB662" s="9"/>
      <c r="SC662" s="9"/>
      <c r="SD662" s="9"/>
      <c r="SE662" s="9"/>
      <c r="SF662" s="9"/>
      <c r="SG662" s="9"/>
      <c r="SH662" s="9"/>
      <c r="SI662" s="9"/>
      <c r="SJ662" s="9"/>
      <c r="SK662" s="9"/>
      <c r="SL662" s="9"/>
      <c r="SM662" s="9"/>
      <c r="SN662" s="9"/>
      <c r="SO662" s="9"/>
      <c r="SP662" s="9"/>
      <c r="SQ662" s="9"/>
      <c r="SR662" s="9"/>
      <c r="SS662" s="9"/>
      <c r="ST662" s="9"/>
      <c r="SU662" s="9"/>
      <c r="SV662" s="9"/>
      <c r="SW662" s="9"/>
      <c r="SX662" s="9"/>
      <c r="SY662" s="9"/>
      <c r="SZ662" s="9"/>
      <c r="TA662" s="9"/>
      <c r="TB662" s="9"/>
      <c r="TC662" s="9"/>
      <c r="TD662" s="9"/>
      <c r="TE662" s="9"/>
      <c r="TF662" s="9"/>
      <c r="TG662" s="9"/>
      <c r="TH662" s="9"/>
      <c r="TI662" s="9"/>
      <c r="TJ662" s="9"/>
      <c r="TK662" s="9"/>
      <c r="TL662" s="9"/>
      <c r="TM662" s="9"/>
      <c r="TN662" s="9"/>
      <c r="TO662" s="9"/>
      <c r="TP662" s="9"/>
      <c r="TQ662" s="9"/>
      <c r="TR662" s="9"/>
      <c r="TS662" s="9"/>
      <c r="TT662" s="9"/>
      <c r="TU662" s="9"/>
      <c r="TV662" s="9"/>
      <c r="TW662" s="9"/>
      <c r="TX662" s="9"/>
      <c r="TY662" s="9"/>
      <c r="TZ662" s="9"/>
      <c r="UA662" s="9"/>
      <c r="UB662" s="9"/>
      <c r="UC662" s="9"/>
      <c r="UD662" s="9"/>
      <c r="UE662" s="9"/>
      <c r="UF662" s="9"/>
      <c r="UG662" s="9"/>
      <c r="UH662" s="9"/>
      <c r="UI662" s="9"/>
      <c r="UJ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  <c r="IN663" s="9"/>
      <c r="IO663" s="9"/>
      <c r="IP663" s="9"/>
      <c r="IQ663" s="9"/>
      <c r="IR663" s="9"/>
      <c r="IS663" s="9"/>
      <c r="IT663" s="9"/>
      <c r="IU663" s="9"/>
      <c r="IV663" s="9"/>
      <c r="IW663" s="9"/>
      <c r="IX663" s="9"/>
      <c r="IY663" s="9"/>
      <c r="IZ663" s="9"/>
      <c r="JA663" s="9"/>
      <c r="JB663" s="9"/>
      <c r="JC663" s="9"/>
      <c r="JD663" s="9"/>
      <c r="JE663" s="9"/>
      <c r="JF663" s="9"/>
      <c r="JG663" s="9"/>
      <c r="JH663" s="9"/>
      <c r="JI663" s="9"/>
      <c r="JJ663" s="9"/>
      <c r="JK663" s="9"/>
      <c r="JL663" s="9"/>
      <c r="JM663" s="9"/>
      <c r="JN663" s="9"/>
      <c r="JO663" s="9"/>
      <c r="JP663" s="9"/>
      <c r="JQ663" s="9"/>
      <c r="JR663" s="9"/>
      <c r="JS663" s="9"/>
      <c r="JT663" s="9"/>
      <c r="JU663" s="9"/>
      <c r="JV663" s="9"/>
      <c r="JW663" s="9"/>
      <c r="JX663" s="9"/>
      <c r="JY663" s="9"/>
      <c r="JZ663" s="9"/>
      <c r="KA663" s="9"/>
      <c r="KB663" s="9"/>
      <c r="KC663" s="9"/>
      <c r="KD663" s="9"/>
      <c r="KE663" s="9"/>
      <c r="KF663" s="9"/>
      <c r="KG663" s="9"/>
      <c r="KH663" s="9"/>
      <c r="KI663" s="9"/>
      <c r="KJ663" s="9"/>
      <c r="KK663" s="9"/>
      <c r="KL663" s="9"/>
      <c r="KM663" s="9"/>
      <c r="KN663" s="9"/>
      <c r="KO663" s="9"/>
      <c r="KP663" s="9"/>
      <c r="KQ663" s="9"/>
      <c r="KR663" s="9"/>
      <c r="KS663" s="9"/>
      <c r="KT663" s="9"/>
      <c r="KU663" s="9"/>
      <c r="KV663" s="9"/>
      <c r="KW663" s="9"/>
      <c r="KX663" s="9"/>
      <c r="KY663" s="9"/>
      <c r="KZ663" s="9"/>
      <c r="LA663" s="9"/>
      <c r="LB663" s="9"/>
      <c r="LC663" s="9"/>
      <c r="LD663" s="9"/>
      <c r="LE663" s="9"/>
      <c r="LF663" s="9"/>
      <c r="LG663" s="9"/>
      <c r="LH663" s="9"/>
      <c r="LI663" s="9"/>
      <c r="LJ663" s="9"/>
      <c r="LK663" s="9"/>
      <c r="LL663" s="9"/>
      <c r="LM663" s="9"/>
      <c r="LN663" s="9"/>
      <c r="LO663" s="9"/>
      <c r="LP663" s="9"/>
      <c r="LQ663" s="9"/>
      <c r="LR663" s="9"/>
      <c r="LS663" s="9"/>
      <c r="LT663" s="9"/>
      <c r="LU663" s="9"/>
      <c r="LV663" s="9"/>
      <c r="LW663" s="9"/>
      <c r="LX663" s="9"/>
      <c r="LY663" s="9"/>
      <c r="LZ663" s="9"/>
      <c r="MA663" s="9"/>
      <c r="MB663" s="9"/>
      <c r="MC663" s="9"/>
      <c r="MD663" s="9"/>
      <c r="ME663" s="9"/>
      <c r="MF663" s="9"/>
      <c r="MG663" s="9"/>
      <c r="MH663" s="9"/>
      <c r="MI663" s="9"/>
      <c r="MJ663" s="9"/>
      <c r="MK663" s="9"/>
      <c r="ML663" s="9"/>
      <c r="MM663" s="9"/>
      <c r="MN663" s="9"/>
      <c r="MO663" s="9"/>
      <c r="MP663" s="9"/>
      <c r="MQ663" s="9"/>
      <c r="MR663" s="9"/>
      <c r="MS663" s="9"/>
      <c r="MT663" s="9"/>
      <c r="MU663" s="9"/>
      <c r="MV663" s="9"/>
      <c r="MW663" s="9"/>
      <c r="MX663" s="9"/>
      <c r="MY663" s="9"/>
      <c r="MZ663" s="9"/>
      <c r="NA663" s="9"/>
      <c r="NB663" s="9"/>
      <c r="NC663" s="9"/>
      <c r="ND663" s="9"/>
      <c r="NE663" s="9"/>
      <c r="NF663" s="9"/>
      <c r="NG663" s="9"/>
      <c r="NH663" s="9"/>
      <c r="NI663" s="9"/>
      <c r="NJ663" s="9"/>
      <c r="NK663" s="9"/>
      <c r="NL663" s="9"/>
      <c r="NM663" s="9"/>
      <c r="NN663" s="9"/>
      <c r="NO663" s="9"/>
      <c r="NP663" s="9"/>
      <c r="NQ663" s="9"/>
      <c r="NR663" s="9"/>
      <c r="NS663" s="9"/>
      <c r="NT663" s="9"/>
      <c r="NU663" s="9"/>
      <c r="NV663" s="9"/>
      <c r="NW663" s="9"/>
      <c r="NX663" s="9"/>
      <c r="NY663" s="9"/>
      <c r="NZ663" s="9"/>
      <c r="OA663" s="9"/>
      <c r="OB663" s="9"/>
      <c r="OC663" s="9"/>
      <c r="OD663" s="9"/>
      <c r="OE663" s="9"/>
      <c r="OF663" s="9"/>
      <c r="OG663" s="9"/>
      <c r="OH663" s="9"/>
      <c r="OI663" s="9"/>
      <c r="OJ663" s="9"/>
      <c r="OK663" s="9"/>
      <c r="OL663" s="9"/>
      <c r="OM663" s="9"/>
      <c r="ON663" s="9"/>
      <c r="OO663" s="9"/>
      <c r="OP663" s="9"/>
      <c r="OQ663" s="9"/>
      <c r="OR663" s="9"/>
      <c r="OS663" s="9"/>
      <c r="OT663" s="9"/>
      <c r="OU663" s="9"/>
      <c r="OV663" s="9"/>
      <c r="OW663" s="9"/>
      <c r="OX663" s="9"/>
      <c r="OY663" s="9"/>
      <c r="OZ663" s="9"/>
      <c r="PA663" s="9"/>
      <c r="PB663" s="9"/>
      <c r="PC663" s="9"/>
      <c r="PD663" s="9"/>
      <c r="PE663" s="9"/>
      <c r="PF663" s="9"/>
      <c r="PG663" s="9"/>
      <c r="PH663" s="9"/>
      <c r="PI663" s="9"/>
      <c r="PJ663" s="9"/>
      <c r="PK663" s="9"/>
      <c r="PL663" s="9"/>
      <c r="PM663" s="9"/>
      <c r="PN663" s="9"/>
      <c r="PO663" s="9"/>
      <c r="PP663" s="9"/>
      <c r="PQ663" s="9"/>
      <c r="PR663" s="9"/>
      <c r="PS663" s="9"/>
      <c r="PT663" s="9"/>
      <c r="PU663" s="9"/>
      <c r="PV663" s="9"/>
      <c r="PW663" s="9"/>
      <c r="PX663" s="9"/>
      <c r="PY663" s="9"/>
      <c r="PZ663" s="9"/>
      <c r="QA663" s="9"/>
      <c r="QB663" s="9"/>
      <c r="QC663" s="9"/>
      <c r="QD663" s="9"/>
      <c r="QE663" s="9"/>
      <c r="QF663" s="9"/>
      <c r="QG663" s="9"/>
      <c r="QH663" s="9"/>
      <c r="QI663" s="9"/>
      <c r="QJ663" s="9"/>
      <c r="QK663" s="9"/>
      <c r="QL663" s="9"/>
      <c r="QM663" s="9"/>
      <c r="QN663" s="9"/>
      <c r="QO663" s="9"/>
      <c r="QP663" s="9"/>
      <c r="QQ663" s="9"/>
      <c r="QR663" s="9"/>
      <c r="QS663" s="9"/>
      <c r="QT663" s="9"/>
      <c r="QU663" s="9"/>
      <c r="QV663" s="9"/>
      <c r="QW663" s="9"/>
      <c r="QX663" s="9"/>
      <c r="QY663" s="9"/>
      <c r="QZ663" s="9"/>
      <c r="RA663" s="9"/>
      <c r="RB663" s="9"/>
      <c r="RC663" s="9"/>
      <c r="RD663" s="9"/>
      <c r="RE663" s="9"/>
      <c r="RF663" s="9"/>
      <c r="RG663" s="9"/>
      <c r="RH663" s="9"/>
      <c r="RI663" s="9"/>
      <c r="RJ663" s="9"/>
      <c r="RK663" s="9"/>
      <c r="RL663" s="9"/>
      <c r="RM663" s="9"/>
      <c r="RN663" s="9"/>
      <c r="RO663" s="9"/>
      <c r="RP663" s="9"/>
      <c r="RQ663" s="9"/>
      <c r="RR663" s="9"/>
      <c r="RS663" s="9"/>
      <c r="RT663" s="9"/>
      <c r="RU663" s="9"/>
      <c r="RV663" s="9"/>
      <c r="RW663" s="9"/>
      <c r="RX663" s="9"/>
      <c r="RY663" s="9"/>
      <c r="RZ663" s="9"/>
      <c r="SA663" s="9"/>
      <c r="SB663" s="9"/>
      <c r="SC663" s="9"/>
      <c r="SD663" s="9"/>
      <c r="SE663" s="9"/>
      <c r="SF663" s="9"/>
      <c r="SG663" s="9"/>
      <c r="SH663" s="9"/>
      <c r="SI663" s="9"/>
      <c r="SJ663" s="9"/>
      <c r="SK663" s="9"/>
      <c r="SL663" s="9"/>
      <c r="SM663" s="9"/>
      <c r="SN663" s="9"/>
      <c r="SO663" s="9"/>
      <c r="SP663" s="9"/>
      <c r="SQ663" s="9"/>
      <c r="SR663" s="9"/>
      <c r="SS663" s="9"/>
      <c r="ST663" s="9"/>
      <c r="SU663" s="9"/>
      <c r="SV663" s="9"/>
      <c r="SW663" s="9"/>
      <c r="SX663" s="9"/>
      <c r="SY663" s="9"/>
      <c r="SZ663" s="9"/>
      <c r="TA663" s="9"/>
      <c r="TB663" s="9"/>
      <c r="TC663" s="9"/>
      <c r="TD663" s="9"/>
      <c r="TE663" s="9"/>
      <c r="TF663" s="9"/>
      <c r="TG663" s="9"/>
      <c r="TH663" s="9"/>
      <c r="TI663" s="9"/>
      <c r="TJ663" s="9"/>
      <c r="TK663" s="9"/>
      <c r="TL663" s="9"/>
      <c r="TM663" s="9"/>
      <c r="TN663" s="9"/>
      <c r="TO663" s="9"/>
      <c r="TP663" s="9"/>
      <c r="TQ663" s="9"/>
      <c r="TR663" s="9"/>
      <c r="TS663" s="9"/>
      <c r="TT663" s="9"/>
      <c r="TU663" s="9"/>
      <c r="TV663" s="9"/>
      <c r="TW663" s="9"/>
      <c r="TX663" s="9"/>
      <c r="TY663" s="9"/>
      <c r="TZ663" s="9"/>
      <c r="UA663" s="9"/>
      <c r="UB663" s="9"/>
      <c r="UC663" s="9"/>
      <c r="UD663" s="9"/>
      <c r="UE663" s="9"/>
      <c r="UF663" s="9"/>
      <c r="UG663" s="9"/>
      <c r="UH663" s="9"/>
      <c r="UI663" s="9"/>
      <c r="UJ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  <c r="IN664" s="9"/>
      <c r="IO664" s="9"/>
      <c r="IP664" s="9"/>
      <c r="IQ664" s="9"/>
      <c r="IR664" s="9"/>
      <c r="IS664" s="9"/>
      <c r="IT664" s="9"/>
      <c r="IU664" s="9"/>
      <c r="IV664" s="9"/>
      <c r="IW664" s="9"/>
      <c r="IX664" s="9"/>
      <c r="IY664" s="9"/>
      <c r="IZ664" s="9"/>
      <c r="JA664" s="9"/>
      <c r="JB664" s="9"/>
      <c r="JC664" s="9"/>
      <c r="JD664" s="9"/>
      <c r="JE664" s="9"/>
      <c r="JF664" s="9"/>
      <c r="JG664" s="9"/>
      <c r="JH664" s="9"/>
      <c r="JI664" s="9"/>
      <c r="JJ664" s="9"/>
      <c r="JK664" s="9"/>
      <c r="JL664" s="9"/>
      <c r="JM664" s="9"/>
      <c r="JN664" s="9"/>
      <c r="JO664" s="9"/>
      <c r="JP664" s="9"/>
      <c r="JQ664" s="9"/>
      <c r="JR664" s="9"/>
      <c r="JS664" s="9"/>
      <c r="JT664" s="9"/>
      <c r="JU664" s="9"/>
      <c r="JV664" s="9"/>
      <c r="JW664" s="9"/>
      <c r="JX664" s="9"/>
      <c r="JY664" s="9"/>
      <c r="JZ664" s="9"/>
      <c r="KA664" s="9"/>
      <c r="KB664" s="9"/>
      <c r="KC664" s="9"/>
      <c r="KD664" s="9"/>
      <c r="KE664" s="9"/>
      <c r="KF664" s="9"/>
      <c r="KG664" s="9"/>
      <c r="KH664" s="9"/>
      <c r="KI664" s="9"/>
      <c r="KJ664" s="9"/>
      <c r="KK664" s="9"/>
      <c r="KL664" s="9"/>
      <c r="KM664" s="9"/>
      <c r="KN664" s="9"/>
      <c r="KO664" s="9"/>
      <c r="KP664" s="9"/>
      <c r="KQ664" s="9"/>
      <c r="KR664" s="9"/>
      <c r="KS664" s="9"/>
      <c r="KT664" s="9"/>
      <c r="KU664" s="9"/>
      <c r="KV664" s="9"/>
      <c r="KW664" s="9"/>
      <c r="KX664" s="9"/>
      <c r="KY664" s="9"/>
      <c r="KZ664" s="9"/>
      <c r="LA664" s="9"/>
      <c r="LB664" s="9"/>
      <c r="LC664" s="9"/>
      <c r="LD664" s="9"/>
      <c r="LE664" s="9"/>
      <c r="LF664" s="9"/>
      <c r="LG664" s="9"/>
      <c r="LH664" s="9"/>
      <c r="LI664" s="9"/>
      <c r="LJ664" s="9"/>
      <c r="LK664" s="9"/>
      <c r="LL664" s="9"/>
      <c r="LM664" s="9"/>
      <c r="LN664" s="9"/>
      <c r="LO664" s="9"/>
      <c r="LP664" s="9"/>
      <c r="LQ664" s="9"/>
      <c r="LR664" s="9"/>
      <c r="LS664" s="9"/>
      <c r="LT664" s="9"/>
      <c r="LU664" s="9"/>
      <c r="LV664" s="9"/>
      <c r="LW664" s="9"/>
      <c r="LX664" s="9"/>
      <c r="LY664" s="9"/>
      <c r="LZ664" s="9"/>
      <c r="MA664" s="9"/>
      <c r="MB664" s="9"/>
      <c r="MC664" s="9"/>
      <c r="MD664" s="9"/>
      <c r="ME664" s="9"/>
      <c r="MF664" s="9"/>
      <c r="MG664" s="9"/>
      <c r="MH664" s="9"/>
      <c r="MI664" s="9"/>
      <c r="MJ664" s="9"/>
      <c r="MK664" s="9"/>
      <c r="ML664" s="9"/>
      <c r="MM664" s="9"/>
      <c r="MN664" s="9"/>
      <c r="MO664" s="9"/>
      <c r="MP664" s="9"/>
      <c r="MQ664" s="9"/>
      <c r="MR664" s="9"/>
      <c r="MS664" s="9"/>
      <c r="MT664" s="9"/>
      <c r="MU664" s="9"/>
      <c r="MV664" s="9"/>
      <c r="MW664" s="9"/>
      <c r="MX664" s="9"/>
      <c r="MY664" s="9"/>
      <c r="MZ664" s="9"/>
      <c r="NA664" s="9"/>
      <c r="NB664" s="9"/>
      <c r="NC664" s="9"/>
      <c r="ND664" s="9"/>
      <c r="NE664" s="9"/>
      <c r="NF664" s="9"/>
      <c r="NG664" s="9"/>
      <c r="NH664" s="9"/>
      <c r="NI664" s="9"/>
      <c r="NJ664" s="9"/>
      <c r="NK664" s="9"/>
      <c r="NL664" s="9"/>
      <c r="NM664" s="9"/>
      <c r="NN664" s="9"/>
      <c r="NO664" s="9"/>
      <c r="NP664" s="9"/>
      <c r="NQ664" s="9"/>
      <c r="NR664" s="9"/>
      <c r="NS664" s="9"/>
      <c r="NT664" s="9"/>
      <c r="NU664" s="9"/>
      <c r="NV664" s="9"/>
      <c r="NW664" s="9"/>
      <c r="NX664" s="9"/>
      <c r="NY664" s="9"/>
      <c r="NZ664" s="9"/>
      <c r="OA664" s="9"/>
      <c r="OB664" s="9"/>
      <c r="OC664" s="9"/>
      <c r="OD664" s="9"/>
      <c r="OE664" s="9"/>
      <c r="OF664" s="9"/>
      <c r="OG664" s="9"/>
      <c r="OH664" s="9"/>
      <c r="OI664" s="9"/>
      <c r="OJ664" s="9"/>
      <c r="OK664" s="9"/>
      <c r="OL664" s="9"/>
      <c r="OM664" s="9"/>
      <c r="ON664" s="9"/>
      <c r="OO664" s="9"/>
      <c r="OP664" s="9"/>
      <c r="OQ664" s="9"/>
      <c r="OR664" s="9"/>
      <c r="OS664" s="9"/>
      <c r="OT664" s="9"/>
      <c r="OU664" s="9"/>
      <c r="OV664" s="9"/>
      <c r="OW664" s="9"/>
      <c r="OX664" s="9"/>
      <c r="OY664" s="9"/>
      <c r="OZ664" s="9"/>
      <c r="PA664" s="9"/>
      <c r="PB664" s="9"/>
      <c r="PC664" s="9"/>
      <c r="PD664" s="9"/>
      <c r="PE664" s="9"/>
      <c r="PF664" s="9"/>
      <c r="PG664" s="9"/>
      <c r="PH664" s="9"/>
      <c r="PI664" s="9"/>
      <c r="PJ664" s="9"/>
      <c r="PK664" s="9"/>
      <c r="PL664" s="9"/>
      <c r="PM664" s="9"/>
      <c r="PN664" s="9"/>
      <c r="PO664" s="9"/>
      <c r="PP664" s="9"/>
      <c r="PQ664" s="9"/>
      <c r="PR664" s="9"/>
      <c r="PS664" s="9"/>
      <c r="PT664" s="9"/>
      <c r="PU664" s="9"/>
      <c r="PV664" s="9"/>
      <c r="PW664" s="9"/>
      <c r="PX664" s="9"/>
      <c r="PY664" s="9"/>
      <c r="PZ664" s="9"/>
      <c r="QA664" s="9"/>
      <c r="QB664" s="9"/>
      <c r="QC664" s="9"/>
      <c r="QD664" s="9"/>
      <c r="QE664" s="9"/>
      <c r="QF664" s="9"/>
      <c r="QG664" s="9"/>
      <c r="QH664" s="9"/>
      <c r="QI664" s="9"/>
      <c r="QJ664" s="9"/>
      <c r="QK664" s="9"/>
      <c r="QL664" s="9"/>
      <c r="QM664" s="9"/>
      <c r="QN664" s="9"/>
      <c r="QO664" s="9"/>
      <c r="QP664" s="9"/>
      <c r="QQ664" s="9"/>
      <c r="QR664" s="9"/>
      <c r="QS664" s="9"/>
      <c r="QT664" s="9"/>
      <c r="QU664" s="9"/>
      <c r="QV664" s="9"/>
      <c r="QW664" s="9"/>
      <c r="QX664" s="9"/>
      <c r="QY664" s="9"/>
      <c r="QZ664" s="9"/>
      <c r="RA664" s="9"/>
      <c r="RB664" s="9"/>
      <c r="RC664" s="9"/>
      <c r="RD664" s="9"/>
      <c r="RE664" s="9"/>
      <c r="RF664" s="9"/>
      <c r="RG664" s="9"/>
      <c r="RH664" s="9"/>
      <c r="RI664" s="9"/>
      <c r="RJ664" s="9"/>
      <c r="RK664" s="9"/>
      <c r="RL664" s="9"/>
      <c r="RM664" s="9"/>
      <c r="RN664" s="9"/>
      <c r="RO664" s="9"/>
      <c r="RP664" s="9"/>
      <c r="RQ664" s="9"/>
      <c r="RR664" s="9"/>
      <c r="RS664" s="9"/>
      <c r="RT664" s="9"/>
      <c r="RU664" s="9"/>
      <c r="RV664" s="9"/>
      <c r="RW664" s="9"/>
      <c r="RX664" s="9"/>
      <c r="RY664" s="9"/>
      <c r="RZ664" s="9"/>
      <c r="SA664" s="9"/>
      <c r="SB664" s="9"/>
      <c r="SC664" s="9"/>
      <c r="SD664" s="9"/>
      <c r="SE664" s="9"/>
      <c r="SF664" s="9"/>
      <c r="SG664" s="9"/>
      <c r="SH664" s="9"/>
      <c r="SI664" s="9"/>
      <c r="SJ664" s="9"/>
      <c r="SK664" s="9"/>
      <c r="SL664" s="9"/>
      <c r="SM664" s="9"/>
      <c r="SN664" s="9"/>
      <c r="SO664" s="9"/>
      <c r="SP664" s="9"/>
      <c r="SQ664" s="9"/>
      <c r="SR664" s="9"/>
      <c r="SS664" s="9"/>
      <c r="ST664" s="9"/>
      <c r="SU664" s="9"/>
      <c r="SV664" s="9"/>
      <c r="SW664" s="9"/>
      <c r="SX664" s="9"/>
      <c r="SY664" s="9"/>
      <c r="SZ664" s="9"/>
      <c r="TA664" s="9"/>
      <c r="TB664" s="9"/>
      <c r="TC664" s="9"/>
      <c r="TD664" s="9"/>
      <c r="TE664" s="9"/>
      <c r="TF664" s="9"/>
      <c r="TG664" s="9"/>
      <c r="TH664" s="9"/>
      <c r="TI664" s="9"/>
      <c r="TJ664" s="9"/>
      <c r="TK664" s="9"/>
      <c r="TL664" s="9"/>
      <c r="TM664" s="9"/>
      <c r="TN664" s="9"/>
      <c r="TO664" s="9"/>
      <c r="TP664" s="9"/>
      <c r="TQ664" s="9"/>
      <c r="TR664" s="9"/>
      <c r="TS664" s="9"/>
      <c r="TT664" s="9"/>
      <c r="TU664" s="9"/>
      <c r="TV664" s="9"/>
      <c r="TW664" s="9"/>
      <c r="TX664" s="9"/>
      <c r="TY664" s="9"/>
      <c r="TZ664" s="9"/>
      <c r="UA664" s="9"/>
      <c r="UB664" s="9"/>
      <c r="UC664" s="9"/>
      <c r="UD664" s="9"/>
      <c r="UE664" s="9"/>
      <c r="UF664" s="9"/>
      <c r="UG664" s="9"/>
      <c r="UH664" s="9"/>
      <c r="UI664" s="9"/>
      <c r="UJ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  <c r="IC665" s="9"/>
      <c r="ID665" s="9"/>
      <c r="IE665" s="9"/>
      <c r="IF665" s="9"/>
      <c r="IG665" s="9"/>
      <c r="IH665" s="9"/>
      <c r="II665" s="9"/>
      <c r="IJ665" s="9"/>
      <c r="IK665" s="9"/>
      <c r="IL665" s="9"/>
      <c r="IM665" s="9"/>
      <c r="IN665" s="9"/>
      <c r="IO665" s="9"/>
      <c r="IP665" s="9"/>
      <c r="IQ665" s="9"/>
      <c r="IR665" s="9"/>
      <c r="IS665" s="9"/>
      <c r="IT665" s="9"/>
      <c r="IU665" s="9"/>
      <c r="IV665" s="9"/>
      <c r="IW665" s="9"/>
      <c r="IX665" s="9"/>
      <c r="IY665" s="9"/>
      <c r="IZ665" s="9"/>
      <c r="JA665" s="9"/>
      <c r="JB665" s="9"/>
      <c r="JC665" s="9"/>
      <c r="JD665" s="9"/>
      <c r="JE665" s="9"/>
      <c r="JF665" s="9"/>
      <c r="JG665" s="9"/>
      <c r="JH665" s="9"/>
      <c r="JI665" s="9"/>
      <c r="JJ665" s="9"/>
      <c r="JK665" s="9"/>
      <c r="JL665" s="9"/>
      <c r="JM665" s="9"/>
      <c r="JN665" s="9"/>
      <c r="JO665" s="9"/>
      <c r="JP665" s="9"/>
      <c r="JQ665" s="9"/>
      <c r="JR665" s="9"/>
      <c r="JS665" s="9"/>
      <c r="JT665" s="9"/>
      <c r="JU665" s="9"/>
      <c r="JV665" s="9"/>
      <c r="JW665" s="9"/>
      <c r="JX665" s="9"/>
      <c r="JY665" s="9"/>
      <c r="JZ665" s="9"/>
      <c r="KA665" s="9"/>
      <c r="KB665" s="9"/>
      <c r="KC665" s="9"/>
      <c r="KD665" s="9"/>
      <c r="KE665" s="9"/>
      <c r="KF665" s="9"/>
      <c r="KG665" s="9"/>
      <c r="KH665" s="9"/>
      <c r="KI665" s="9"/>
      <c r="KJ665" s="9"/>
      <c r="KK665" s="9"/>
      <c r="KL665" s="9"/>
      <c r="KM665" s="9"/>
      <c r="KN665" s="9"/>
      <c r="KO665" s="9"/>
      <c r="KP665" s="9"/>
      <c r="KQ665" s="9"/>
      <c r="KR665" s="9"/>
      <c r="KS665" s="9"/>
      <c r="KT665" s="9"/>
      <c r="KU665" s="9"/>
      <c r="KV665" s="9"/>
      <c r="KW665" s="9"/>
      <c r="KX665" s="9"/>
      <c r="KY665" s="9"/>
      <c r="KZ665" s="9"/>
      <c r="LA665" s="9"/>
      <c r="LB665" s="9"/>
      <c r="LC665" s="9"/>
      <c r="LD665" s="9"/>
      <c r="LE665" s="9"/>
      <c r="LF665" s="9"/>
      <c r="LG665" s="9"/>
      <c r="LH665" s="9"/>
      <c r="LI665" s="9"/>
      <c r="LJ665" s="9"/>
      <c r="LK665" s="9"/>
      <c r="LL665" s="9"/>
      <c r="LM665" s="9"/>
      <c r="LN665" s="9"/>
      <c r="LO665" s="9"/>
      <c r="LP665" s="9"/>
      <c r="LQ665" s="9"/>
      <c r="LR665" s="9"/>
      <c r="LS665" s="9"/>
      <c r="LT665" s="9"/>
      <c r="LU665" s="9"/>
      <c r="LV665" s="9"/>
      <c r="LW665" s="9"/>
      <c r="LX665" s="9"/>
      <c r="LY665" s="9"/>
      <c r="LZ665" s="9"/>
      <c r="MA665" s="9"/>
      <c r="MB665" s="9"/>
      <c r="MC665" s="9"/>
      <c r="MD665" s="9"/>
      <c r="ME665" s="9"/>
      <c r="MF665" s="9"/>
      <c r="MG665" s="9"/>
      <c r="MH665" s="9"/>
      <c r="MI665" s="9"/>
      <c r="MJ665" s="9"/>
      <c r="MK665" s="9"/>
      <c r="ML665" s="9"/>
      <c r="MM665" s="9"/>
      <c r="MN665" s="9"/>
      <c r="MO665" s="9"/>
      <c r="MP665" s="9"/>
      <c r="MQ665" s="9"/>
      <c r="MR665" s="9"/>
      <c r="MS665" s="9"/>
      <c r="MT665" s="9"/>
      <c r="MU665" s="9"/>
      <c r="MV665" s="9"/>
      <c r="MW665" s="9"/>
      <c r="MX665" s="9"/>
      <c r="MY665" s="9"/>
      <c r="MZ665" s="9"/>
      <c r="NA665" s="9"/>
      <c r="NB665" s="9"/>
      <c r="NC665" s="9"/>
      <c r="ND665" s="9"/>
      <c r="NE665" s="9"/>
      <c r="NF665" s="9"/>
      <c r="NG665" s="9"/>
      <c r="NH665" s="9"/>
      <c r="NI665" s="9"/>
      <c r="NJ665" s="9"/>
      <c r="NK665" s="9"/>
      <c r="NL665" s="9"/>
      <c r="NM665" s="9"/>
      <c r="NN665" s="9"/>
      <c r="NO665" s="9"/>
      <c r="NP665" s="9"/>
      <c r="NQ665" s="9"/>
      <c r="NR665" s="9"/>
      <c r="NS665" s="9"/>
      <c r="NT665" s="9"/>
      <c r="NU665" s="9"/>
      <c r="NV665" s="9"/>
      <c r="NW665" s="9"/>
      <c r="NX665" s="9"/>
      <c r="NY665" s="9"/>
      <c r="NZ665" s="9"/>
      <c r="OA665" s="9"/>
      <c r="OB665" s="9"/>
      <c r="OC665" s="9"/>
      <c r="OD665" s="9"/>
      <c r="OE665" s="9"/>
      <c r="OF665" s="9"/>
      <c r="OG665" s="9"/>
      <c r="OH665" s="9"/>
      <c r="OI665" s="9"/>
      <c r="OJ665" s="9"/>
      <c r="OK665" s="9"/>
      <c r="OL665" s="9"/>
      <c r="OM665" s="9"/>
      <c r="ON665" s="9"/>
      <c r="OO665" s="9"/>
      <c r="OP665" s="9"/>
      <c r="OQ665" s="9"/>
      <c r="OR665" s="9"/>
      <c r="OS665" s="9"/>
      <c r="OT665" s="9"/>
      <c r="OU665" s="9"/>
      <c r="OV665" s="9"/>
      <c r="OW665" s="9"/>
      <c r="OX665" s="9"/>
      <c r="OY665" s="9"/>
      <c r="OZ665" s="9"/>
      <c r="PA665" s="9"/>
      <c r="PB665" s="9"/>
      <c r="PC665" s="9"/>
      <c r="PD665" s="9"/>
      <c r="PE665" s="9"/>
      <c r="PF665" s="9"/>
      <c r="PG665" s="9"/>
      <c r="PH665" s="9"/>
      <c r="PI665" s="9"/>
      <c r="PJ665" s="9"/>
      <c r="PK665" s="9"/>
      <c r="PL665" s="9"/>
      <c r="PM665" s="9"/>
      <c r="PN665" s="9"/>
      <c r="PO665" s="9"/>
      <c r="PP665" s="9"/>
      <c r="PQ665" s="9"/>
      <c r="PR665" s="9"/>
      <c r="PS665" s="9"/>
      <c r="PT665" s="9"/>
      <c r="PU665" s="9"/>
      <c r="PV665" s="9"/>
      <c r="PW665" s="9"/>
      <c r="PX665" s="9"/>
      <c r="PY665" s="9"/>
      <c r="PZ665" s="9"/>
      <c r="QA665" s="9"/>
      <c r="QB665" s="9"/>
      <c r="QC665" s="9"/>
      <c r="QD665" s="9"/>
      <c r="QE665" s="9"/>
      <c r="QF665" s="9"/>
      <c r="QG665" s="9"/>
      <c r="QH665" s="9"/>
      <c r="QI665" s="9"/>
      <c r="QJ665" s="9"/>
      <c r="QK665" s="9"/>
      <c r="QL665" s="9"/>
      <c r="QM665" s="9"/>
      <c r="QN665" s="9"/>
      <c r="QO665" s="9"/>
      <c r="QP665" s="9"/>
      <c r="QQ665" s="9"/>
      <c r="QR665" s="9"/>
      <c r="QS665" s="9"/>
      <c r="QT665" s="9"/>
      <c r="QU665" s="9"/>
      <c r="QV665" s="9"/>
      <c r="QW665" s="9"/>
      <c r="QX665" s="9"/>
      <c r="QY665" s="9"/>
      <c r="QZ665" s="9"/>
      <c r="RA665" s="9"/>
      <c r="RB665" s="9"/>
      <c r="RC665" s="9"/>
      <c r="RD665" s="9"/>
      <c r="RE665" s="9"/>
      <c r="RF665" s="9"/>
      <c r="RG665" s="9"/>
      <c r="RH665" s="9"/>
      <c r="RI665" s="9"/>
      <c r="RJ665" s="9"/>
      <c r="RK665" s="9"/>
      <c r="RL665" s="9"/>
      <c r="RM665" s="9"/>
      <c r="RN665" s="9"/>
      <c r="RO665" s="9"/>
      <c r="RP665" s="9"/>
      <c r="RQ665" s="9"/>
      <c r="RR665" s="9"/>
      <c r="RS665" s="9"/>
      <c r="RT665" s="9"/>
      <c r="RU665" s="9"/>
      <c r="RV665" s="9"/>
      <c r="RW665" s="9"/>
      <c r="RX665" s="9"/>
      <c r="RY665" s="9"/>
      <c r="RZ665" s="9"/>
      <c r="SA665" s="9"/>
      <c r="SB665" s="9"/>
      <c r="SC665" s="9"/>
      <c r="SD665" s="9"/>
      <c r="SE665" s="9"/>
      <c r="SF665" s="9"/>
      <c r="SG665" s="9"/>
      <c r="SH665" s="9"/>
      <c r="SI665" s="9"/>
      <c r="SJ665" s="9"/>
      <c r="SK665" s="9"/>
      <c r="SL665" s="9"/>
      <c r="SM665" s="9"/>
      <c r="SN665" s="9"/>
      <c r="SO665" s="9"/>
      <c r="SP665" s="9"/>
      <c r="SQ665" s="9"/>
      <c r="SR665" s="9"/>
      <c r="SS665" s="9"/>
      <c r="ST665" s="9"/>
      <c r="SU665" s="9"/>
      <c r="SV665" s="9"/>
      <c r="SW665" s="9"/>
      <c r="SX665" s="9"/>
      <c r="SY665" s="9"/>
      <c r="SZ665" s="9"/>
      <c r="TA665" s="9"/>
      <c r="TB665" s="9"/>
      <c r="TC665" s="9"/>
      <c r="TD665" s="9"/>
      <c r="TE665" s="9"/>
      <c r="TF665" s="9"/>
      <c r="TG665" s="9"/>
      <c r="TH665" s="9"/>
      <c r="TI665" s="9"/>
      <c r="TJ665" s="9"/>
      <c r="TK665" s="9"/>
      <c r="TL665" s="9"/>
      <c r="TM665" s="9"/>
      <c r="TN665" s="9"/>
      <c r="TO665" s="9"/>
      <c r="TP665" s="9"/>
      <c r="TQ665" s="9"/>
      <c r="TR665" s="9"/>
      <c r="TS665" s="9"/>
      <c r="TT665" s="9"/>
      <c r="TU665" s="9"/>
      <c r="TV665" s="9"/>
      <c r="TW665" s="9"/>
      <c r="TX665" s="9"/>
      <c r="TY665" s="9"/>
      <c r="TZ665" s="9"/>
      <c r="UA665" s="9"/>
      <c r="UB665" s="9"/>
      <c r="UC665" s="9"/>
      <c r="UD665" s="9"/>
      <c r="UE665" s="9"/>
      <c r="UF665" s="9"/>
      <c r="UG665" s="9"/>
      <c r="UH665" s="9"/>
      <c r="UI665" s="9"/>
      <c r="UJ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  <c r="IW666" s="9"/>
      <c r="IX666" s="9"/>
      <c r="IY666" s="9"/>
      <c r="IZ666" s="9"/>
      <c r="JA666" s="9"/>
      <c r="JB666" s="9"/>
      <c r="JC666" s="9"/>
      <c r="JD666" s="9"/>
      <c r="JE666" s="9"/>
      <c r="JF666" s="9"/>
      <c r="JG666" s="9"/>
      <c r="JH666" s="9"/>
      <c r="JI666" s="9"/>
      <c r="JJ666" s="9"/>
      <c r="JK666" s="9"/>
      <c r="JL666" s="9"/>
      <c r="JM666" s="9"/>
      <c r="JN666" s="9"/>
      <c r="JO666" s="9"/>
      <c r="JP666" s="9"/>
      <c r="JQ666" s="9"/>
      <c r="JR666" s="9"/>
      <c r="JS666" s="9"/>
      <c r="JT666" s="9"/>
      <c r="JU666" s="9"/>
      <c r="JV666" s="9"/>
      <c r="JW666" s="9"/>
      <c r="JX666" s="9"/>
      <c r="JY666" s="9"/>
      <c r="JZ666" s="9"/>
      <c r="KA666" s="9"/>
      <c r="KB666" s="9"/>
      <c r="KC666" s="9"/>
      <c r="KD666" s="9"/>
      <c r="KE666" s="9"/>
      <c r="KF666" s="9"/>
      <c r="KG666" s="9"/>
      <c r="KH666" s="9"/>
      <c r="KI666" s="9"/>
      <c r="KJ666" s="9"/>
      <c r="KK666" s="9"/>
      <c r="KL666" s="9"/>
      <c r="KM666" s="9"/>
      <c r="KN666" s="9"/>
      <c r="KO666" s="9"/>
      <c r="KP666" s="9"/>
      <c r="KQ666" s="9"/>
      <c r="KR666" s="9"/>
      <c r="KS666" s="9"/>
      <c r="KT666" s="9"/>
      <c r="KU666" s="9"/>
      <c r="KV666" s="9"/>
      <c r="KW666" s="9"/>
      <c r="KX666" s="9"/>
      <c r="KY666" s="9"/>
      <c r="KZ666" s="9"/>
      <c r="LA666" s="9"/>
      <c r="LB666" s="9"/>
      <c r="LC666" s="9"/>
      <c r="LD666" s="9"/>
      <c r="LE666" s="9"/>
      <c r="LF666" s="9"/>
      <c r="LG666" s="9"/>
      <c r="LH666" s="9"/>
      <c r="LI666" s="9"/>
      <c r="LJ666" s="9"/>
      <c r="LK666" s="9"/>
      <c r="LL666" s="9"/>
      <c r="LM666" s="9"/>
      <c r="LN666" s="9"/>
      <c r="LO666" s="9"/>
      <c r="LP666" s="9"/>
      <c r="LQ666" s="9"/>
      <c r="LR666" s="9"/>
      <c r="LS666" s="9"/>
      <c r="LT666" s="9"/>
      <c r="LU666" s="9"/>
      <c r="LV666" s="9"/>
      <c r="LW666" s="9"/>
      <c r="LX666" s="9"/>
      <c r="LY666" s="9"/>
      <c r="LZ666" s="9"/>
      <c r="MA666" s="9"/>
      <c r="MB666" s="9"/>
      <c r="MC666" s="9"/>
      <c r="MD666" s="9"/>
      <c r="ME666" s="9"/>
      <c r="MF666" s="9"/>
      <c r="MG666" s="9"/>
      <c r="MH666" s="9"/>
      <c r="MI666" s="9"/>
      <c r="MJ666" s="9"/>
      <c r="MK666" s="9"/>
      <c r="ML666" s="9"/>
      <c r="MM666" s="9"/>
      <c r="MN666" s="9"/>
      <c r="MO666" s="9"/>
      <c r="MP666" s="9"/>
      <c r="MQ666" s="9"/>
      <c r="MR666" s="9"/>
      <c r="MS666" s="9"/>
      <c r="MT666" s="9"/>
      <c r="MU666" s="9"/>
      <c r="MV666" s="9"/>
      <c r="MW666" s="9"/>
      <c r="MX666" s="9"/>
      <c r="MY666" s="9"/>
      <c r="MZ666" s="9"/>
      <c r="NA666" s="9"/>
      <c r="NB666" s="9"/>
      <c r="NC666" s="9"/>
      <c r="ND666" s="9"/>
      <c r="NE666" s="9"/>
      <c r="NF666" s="9"/>
      <c r="NG666" s="9"/>
      <c r="NH666" s="9"/>
      <c r="NI666" s="9"/>
      <c r="NJ666" s="9"/>
      <c r="NK666" s="9"/>
      <c r="NL666" s="9"/>
      <c r="NM666" s="9"/>
      <c r="NN666" s="9"/>
      <c r="NO666" s="9"/>
      <c r="NP666" s="9"/>
      <c r="NQ666" s="9"/>
      <c r="NR666" s="9"/>
      <c r="NS666" s="9"/>
      <c r="NT666" s="9"/>
      <c r="NU666" s="9"/>
      <c r="NV666" s="9"/>
      <c r="NW666" s="9"/>
      <c r="NX666" s="9"/>
      <c r="NY666" s="9"/>
      <c r="NZ666" s="9"/>
      <c r="OA666" s="9"/>
      <c r="OB666" s="9"/>
      <c r="OC666" s="9"/>
      <c r="OD666" s="9"/>
      <c r="OE666" s="9"/>
      <c r="OF666" s="9"/>
      <c r="OG666" s="9"/>
      <c r="OH666" s="9"/>
      <c r="OI666" s="9"/>
      <c r="OJ666" s="9"/>
      <c r="OK666" s="9"/>
      <c r="OL666" s="9"/>
      <c r="OM666" s="9"/>
      <c r="ON666" s="9"/>
      <c r="OO666" s="9"/>
      <c r="OP666" s="9"/>
      <c r="OQ666" s="9"/>
      <c r="OR666" s="9"/>
      <c r="OS666" s="9"/>
      <c r="OT666" s="9"/>
      <c r="OU666" s="9"/>
      <c r="OV666" s="9"/>
      <c r="OW666" s="9"/>
      <c r="OX666" s="9"/>
      <c r="OY666" s="9"/>
      <c r="OZ666" s="9"/>
      <c r="PA666" s="9"/>
      <c r="PB666" s="9"/>
      <c r="PC666" s="9"/>
      <c r="PD666" s="9"/>
      <c r="PE666" s="9"/>
      <c r="PF666" s="9"/>
      <c r="PG666" s="9"/>
      <c r="PH666" s="9"/>
      <c r="PI666" s="9"/>
      <c r="PJ666" s="9"/>
      <c r="PK666" s="9"/>
      <c r="PL666" s="9"/>
      <c r="PM666" s="9"/>
      <c r="PN666" s="9"/>
      <c r="PO666" s="9"/>
      <c r="PP666" s="9"/>
      <c r="PQ666" s="9"/>
      <c r="PR666" s="9"/>
      <c r="PS666" s="9"/>
      <c r="PT666" s="9"/>
      <c r="PU666" s="9"/>
      <c r="PV666" s="9"/>
      <c r="PW666" s="9"/>
      <c r="PX666" s="9"/>
      <c r="PY666" s="9"/>
      <c r="PZ666" s="9"/>
      <c r="QA666" s="9"/>
      <c r="QB666" s="9"/>
      <c r="QC666" s="9"/>
      <c r="QD666" s="9"/>
      <c r="QE666" s="9"/>
      <c r="QF666" s="9"/>
      <c r="QG666" s="9"/>
      <c r="QH666" s="9"/>
      <c r="QI666" s="9"/>
      <c r="QJ666" s="9"/>
      <c r="QK666" s="9"/>
      <c r="QL666" s="9"/>
      <c r="QM666" s="9"/>
      <c r="QN666" s="9"/>
      <c r="QO666" s="9"/>
      <c r="QP666" s="9"/>
      <c r="QQ666" s="9"/>
      <c r="QR666" s="9"/>
      <c r="QS666" s="9"/>
      <c r="QT666" s="9"/>
      <c r="QU666" s="9"/>
      <c r="QV666" s="9"/>
      <c r="QW666" s="9"/>
      <c r="QX666" s="9"/>
      <c r="QY666" s="9"/>
      <c r="QZ666" s="9"/>
      <c r="RA666" s="9"/>
      <c r="RB666" s="9"/>
      <c r="RC666" s="9"/>
      <c r="RD666" s="9"/>
      <c r="RE666" s="9"/>
      <c r="RF666" s="9"/>
      <c r="RG666" s="9"/>
      <c r="RH666" s="9"/>
      <c r="RI666" s="9"/>
      <c r="RJ666" s="9"/>
      <c r="RK666" s="9"/>
      <c r="RL666" s="9"/>
      <c r="RM666" s="9"/>
      <c r="RN666" s="9"/>
      <c r="RO666" s="9"/>
      <c r="RP666" s="9"/>
      <c r="RQ666" s="9"/>
      <c r="RR666" s="9"/>
      <c r="RS666" s="9"/>
      <c r="RT666" s="9"/>
      <c r="RU666" s="9"/>
      <c r="RV666" s="9"/>
      <c r="RW666" s="9"/>
      <c r="RX666" s="9"/>
      <c r="RY666" s="9"/>
      <c r="RZ666" s="9"/>
      <c r="SA666" s="9"/>
      <c r="SB666" s="9"/>
      <c r="SC666" s="9"/>
      <c r="SD666" s="9"/>
      <c r="SE666" s="9"/>
      <c r="SF666" s="9"/>
      <c r="SG666" s="9"/>
      <c r="SH666" s="9"/>
      <c r="SI666" s="9"/>
      <c r="SJ666" s="9"/>
      <c r="SK666" s="9"/>
      <c r="SL666" s="9"/>
      <c r="SM666" s="9"/>
      <c r="SN666" s="9"/>
      <c r="SO666" s="9"/>
      <c r="SP666" s="9"/>
      <c r="SQ666" s="9"/>
      <c r="SR666" s="9"/>
      <c r="SS666" s="9"/>
      <c r="ST666" s="9"/>
      <c r="SU666" s="9"/>
      <c r="SV666" s="9"/>
      <c r="SW666" s="9"/>
      <c r="SX666" s="9"/>
      <c r="SY666" s="9"/>
      <c r="SZ666" s="9"/>
      <c r="TA666" s="9"/>
      <c r="TB666" s="9"/>
      <c r="TC666" s="9"/>
      <c r="TD666" s="9"/>
      <c r="TE666" s="9"/>
      <c r="TF666" s="9"/>
      <c r="TG666" s="9"/>
      <c r="TH666" s="9"/>
      <c r="TI666" s="9"/>
      <c r="TJ666" s="9"/>
      <c r="TK666" s="9"/>
      <c r="TL666" s="9"/>
      <c r="TM666" s="9"/>
      <c r="TN666" s="9"/>
      <c r="TO666" s="9"/>
      <c r="TP666" s="9"/>
      <c r="TQ666" s="9"/>
      <c r="TR666" s="9"/>
      <c r="TS666" s="9"/>
      <c r="TT666" s="9"/>
      <c r="TU666" s="9"/>
      <c r="TV666" s="9"/>
      <c r="TW666" s="9"/>
      <c r="TX666" s="9"/>
      <c r="TY666" s="9"/>
      <c r="TZ666" s="9"/>
      <c r="UA666" s="9"/>
      <c r="UB666" s="9"/>
      <c r="UC666" s="9"/>
      <c r="UD666" s="9"/>
      <c r="UE666" s="9"/>
      <c r="UF666" s="9"/>
      <c r="UG666" s="9"/>
      <c r="UH666" s="9"/>
      <c r="UI666" s="9"/>
      <c r="UJ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  <c r="IC667" s="9"/>
      <c r="ID667" s="9"/>
      <c r="IE667" s="9"/>
      <c r="IF667" s="9"/>
      <c r="IG667" s="9"/>
      <c r="IH667" s="9"/>
      <c r="II667" s="9"/>
      <c r="IJ667" s="9"/>
      <c r="IK667" s="9"/>
      <c r="IL667" s="9"/>
      <c r="IM667" s="9"/>
      <c r="IN667" s="9"/>
      <c r="IO667" s="9"/>
      <c r="IP667" s="9"/>
      <c r="IQ667" s="9"/>
      <c r="IR667" s="9"/>
      <c r="IS667" s="9"/>
      <c r="IT667" s="9"/>
      <c r="IU667" s="9"/>
      <c r="IV667" s="9"/>
      <c r="IW667" s="9"/>
      <c r="IX667" s="9"/>
      <c r="IY667" s="9"/>
      <c r="IZ667" s="9"/>
      <c r="JA667" s="9"/>
      <c r="JB667" s="9"/>
      <c r="JC667" s="9"/>
      <c r="JD667" s="9"/>
      <c r="JE667" s="9"/>
      <c r="JF667" s="9"/>
      <c r="JG667" s="9"/>
      <c r="JH667" s="9"/>
      <c r="JI667" s="9"/>
      <c r="JJ667" s="9"/>
      <c r="JK667" s="9"/>
      <c r="JL667" s="9"/>
      <c r="JM667" s="9"/>
      <c r="JN667" s="9"/>
      <c r="JO667" s="9"/>
      <c r="JP667" s="9"/>
      <c r="JQ667" s="9"/>
      <c r="JR667" s="9"/>
      <c r="JS667" s="9"/>
      <c r="JT667" s="9"/>
      <c r="JU667" s="9"/>
      <c r="JV667" s="9"/>
      <c r="JW667" s="9"/>
      <c r="JX667" s="9"/>
      <c r="JY667" s="9"/>
      <c r="JZ667" s="9"/>
      <c r="KA667" s="9"/>
      <c r="KB667" s="9"/>
      <c r="KC667" s="9"/>
      <c r="KD667" s="9"/>
      <c r="KE667" s="9"/>
      <c r="KF667" s="9"/>
      <c r="KG667" s="9"/>
      <c r="KH667" s="9"/>
      <c r="KI667" s="9"/>
      <c r="KJ667" s="9"/>
      <c r="KK667" s="9"/>
      <c r="KL667" s="9"/>
      <c r="KM667" s="9"/>
      <c r="KN667" s="9"/>
      <c r="KO667" s="9"/>
      <c r="KP667" s="9"/>
      <c r="KQ667" s="9"/>
      <c r="KR667" s="9"/>
      <c r="KS667" s="9"/>
      <c r="KT667" s="9"/>
      <c r="KU667" s="9"/>
      <c r="KV667" s="9"/>
      <c r="KW667" s="9"/>
      <c r="KX667" s="9"/>
      <c r="KY667" s="9"/>
      <c r="KZ667" s="9"/>
      <c r="LA667" s="9"/>
      <c r="LB667" s="9"/>
      <c r="LC667" s="9"/>
      <c r="LD667" s="9"/>
      <c r="LE667" s="9"/>
      <c r="LF667" s="9"/>
      <c r="LG667" s="9"/>
      <c r="LH667" s="9"/>
      <c r="LI667" s="9"/>
      <c r="LJ667" s="9"/>
      <c r="LK667" s="9"/>
      <c r="LL667" s="9"/>
      <c r="LM667" s="9"/>
      <c r="LN667" s="9"/>
      <c r="LO667" s="9"/>
      <c r="LP667" s="9"/>
      <c r="LQ667" s="9"/>
      <c r="LR667" s="9"/>
      <c r="LS667" s="9"/>
      <c r="LT667" s="9"/>
      <c r="LU667" s="9"/>
      <c r="LV667" s="9"/>
      <c r="LW667" s="9"/>
      <c r="LX667" s="9"/>
      <c r="LY667" s="9"/>
      <c r="LZ667" s="9"/>
      <c r="MA667" s="9"/>
      <c r="MB667" s="9"/>
      <c r="MC667" s="9"/>
      <c r="MD667" s="9"/>
      <c r="ME667" s="9"/>
      <c r="MF667" s="9"/>
      <c r="MG667" s="9"/>
      <c r="MH667" s="9"/>
      <c r="MI667" s="9"/>
      <c r="MJ667" s="9"/>
      <c r="MK667" s="9"/>
      <c r="ML667" s="9"/>
      <c r="MM667" s="9"/>
      <c r="MN667" s="9"/>
      <c r="MO667" s="9"/>
      <c r="MP667" s="9"/>
      <c r="MQ667" s="9"/>
      <c r="MR667" s="9"/>
      <c r="MS667" s="9"/>
      <c r="MT667" s="9"/>
      <c r="MU667" s="9"/>
      <c r="MV667" s="9"/>
      <c r="MW667" s="9"/>
      <c r="MX667" s="9"/>
      <c r="MY667" s="9"/>
      <c r="MZ667" s="9"/>
      <c r="NA667" s="9"/>
      <c r="NB667" s="9"/>
      <c r="NC667" s="9"/>
      <c r="ND667" s="9"/>
      <c r="NE667" s="9"/>
      <c r="NF667" s="9"/>
      <c r="NG667" s="9"/>
      <c r="NH667" s="9"/>
      <c r="NI667" s="9"/>
      <c r="NJ667" s="9"/>
      <c r="NK667" s="9"/>
      <c r="NL667" s="9"/>
      <c r="NM667" s="9"/>
      <c r="NN667" s="9"/>
      <c r="NO667" s="9"/>
      <c r="NP667" s="9"/>
      <c r="NQ667" s="9"/>
      <c r="NR667" s="9"/>
      <c r="NS667" s="9"/>
      <c r="NT667" s="9"/>
      <c r="NU667" s="9"/>
      <c r="NV667" s="9"/>
      <c r="NW667" s="9"/>
      <c r="NX667" s="9"/>
      <c r="NY667" s="9"/>
      <c r="NZ667" s="9"/>
      <c r="OA667" s="9"/>
      <c r="OB667" s="9"/>
      <c r="OC667" s="9"/>
      <c r="OD667" s="9"/>
      <c r="OE667" s="9"/>
      <c r="OF667" s="9"/>
      <c r="OG667" s="9"/>
      <c r="OH667" s="9"/>
      <c r="OI667" s="9"/>
      <c r="OJ667" s="9"/>
      <c r="OK667" s="9"/>
      <c r="OL667" s="9"/>
      <c r="OM667" s="9"/>
      <c r="ON667" s="9"/>
      <c r="OO667" s="9"/>
      <c r="OP667" s="9"/>
      <c r="OQ667" s="9"/>
      <c r="OR667" s="9"/>
      <c r="OS667" s="9"/>
      <c r="OT667" s="9"/>
      <c r="OU667" s="9"/>
      <c r="OV667" s="9"/>
      <c r="OW667" s="9"/>
      <c r="OX667" s="9"/>
      <c r="OY667" s="9"/>
      <c r="OZ667" s="9"/>
      <c r="PA667" s="9"/>
      <c r="PB667" s="9"/>
      <c r="PC667" s="9"/>
      <c r="PD667" s="9"/>
      <c r="PE667" s="9"/>
      <c r="PF667" s="9"/>
      <c r="PG667" s="9"/>
      <c r="PH667" s="9"/>
      <c r="PI667" s="9"/>
      <c r="PJ667" s="9"/>
      <c r="PK667" s="9"/>
      <c r="PL667" s="9"/>
      <c r="PM667" s="9"/>
      <c r="PN667" s="9"/>
      <c r="PO667" s="9"/>
      <c r="PP667" s="9"/>
      <c r="PQ667" s="9"/>
      <c r="PR667" s="9"/>
      <c r="PS667" s="9"/>
      <c r="PT667" s="9"/>
      <c r="PU667" s="9"/>
      <c r="PV667" s="9"/>
      <c r="PW667" s="9"/>
      <c r="PX667" s="9"/>
      <c r="PY667" s="9"/>
      <c r="PZ667" s="9"/>
      <c r="QA667" s="9"/>
      <c r="QB667" s="9"/>
      <c r="QC667" s="9"/>
      <c r="QD667" s="9"/>
      <c r="QE667" s="9"/>
      <c r="QF667" s="9"/>
      <c r="QG667" s="9"/>
      <c r="QH667" s="9"/>
      <c r="QI667" s="9"/>
      <c r="QJ667" s="9"/>
      <c r="QK667" s="9"/>
      <c r="QL667" s="9"/>
      <c r="QM667" s="9"/>
      <c r="QN667" s="9"/>
      <c r="QO667" s="9"/>
      <c r="QP667" s="9"/>
      <c r="QQ667" s="9"/>
      <c r="QR667" s="9"/>
      <c r="QS667" s="9"/>
      <c r="QT667" s="9"/>
      <c r="QU667" s="9"/>
      <c r="QV667" s="9"/>
      <c r="QW667" s="9"/>
      <c r="QX667" s="9"/>
      <c r="QY667" s="9"/>
      <c r="QZ667" s="9"/>
      <c r="RA667" s="9"/>
      <c r="RB667" s="9"/>
      <c r="RC667" s="9"/>
      <c r="RD667" s="9"/>
      <c r="RE667" s="9"/>
      <c r="RF667" s="9"/>
      <c r="RG667" s="9"/>
      <c r="RH667" s="9"/>
      <c r="RI667" s="9"/>
      <c r="RJ667" s="9"/>
      <c r="RK667" s="9"/>
      <c r="RL667" s="9"/>
      <c r="RM667" s="9"/>
      <c r="RN667" s="9"/>
      <c r="RO667" s="9"/>
      <c r="RP667" s="9"/>
      <c r="RQ667" s="9"/>
      <c r="RR667" s="9"/>
      <c r="RS667" s="9"/>
      <c r="RT667" s="9"/>
      <c r="RU667" s="9"/>
      <c r="RV667" s="9"/>
      <c r="RW667" s="9"/>
      <c r="RX667" s="9"/>
      <c r="RY667" s="9"/>
      <c r="RZ667" s="9"/>
      <c r="SA667" s="9"/>
      <c r="SB667" s="9"/>
      <c r="SC667" s="9"/>
      <c r="SD667" s="9"/>
      <c r="SE667" s="9"/>
      <c r="SF667" s="9"/>
      <c r="SG667" s="9"/>
      <c r="SH667" s="9"/>
      <c r="SI667" s="9"/>
      <c r="SJ667" s="9"/>
      <c r="SK667" s="9"/>
      <c r="SL667" s="9"/>
      <c r="SM667" s="9"/>
      <c r="SN667" s="9"/>
      <c r="SO667" s="9"/>
      <c r="SP667" s="9"/>
      <c r="SQ667" s="9"/>
      <c r="SR667" s="9"/>
      <c r="SS667" s="9"/>
      <c r="ST667" s="9"/>
      <c r="SU667" s="9"/>
      <c r="SV667" s="9"/>
      <c r="SW667" s="9"/>
      <c r="SX667" s="9"/>
      <c r="SY667" s="9"/>
      <c r="SZ667" s="9"/>
      <c r="TA667" s="9"/>
      <c r="TB667" s="9"/>
      <c r="TC667" s="9"/>
      <c r="TD667" s="9"/>
      <c r="TE667" s="9"/>
      <c r="TF667" s="9"/>
      <c r="TG667" s="9"/>
      <c r="TH667" s="9"/>
      <c r="TI667" s="9"/>
      <c r="TJ667" s="9"/>
      <c r="TK667" s="9"/>
      <c r="TL667" s="9"/>
      <c r="TM667" s="9"/>
      <c r="TN667" s="9"/>
      <c r="TO667" s="9"/>
      <c r="TP667" s="9"/>
      <c r="TQ667" s="9"/>
      <c r="TR667" s="9"/>
      <c r="TS667" s="9"/>
      <c r="TT667" s="9"/>
      <c r="TU667" s="9"/>
      <c r="TV667" s="9"/>
      <c r="TW667" s="9"/>
      <c r="TX667" s="9"/>
      <c r="TY667" s="9"/>
      <c r="TZ667" s="9"/>
      <c r="UA667" s="9"/>
      <c r="UB667" s="9"/>
      <c r="UC667" s="9"/>
      <c r="UD667" s="9"/>
      <c r="UE667" s="9"/>
      <c r="UF667" s="9"/>
      <c r="UG667" s="9"/>
      <c r="UH667" s="9"/>
      <c r="UI667" s="9"/>
      <c r="UJ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  <c r="IN668" s="9"/>
      <c r="IO668" s="9"/>
      <c r="IP668" s="9"/>
      <c r="IQ668" s="9"/>
      <c r="IR668" s="9"/>
      <c r="IS668" s="9"/>
      <c r="IT668" s="9"/>
      <c r="IU668" s="9"/>
      <c r="IV668" s="9"/>
      <c r="IW668" s="9"/>
      <c r="IX668" s="9"/>
      <c r="IY668" s="9"/>
      <c r="IZ668" s="9"/>
      <c r="JA668" s="9"/>
      <c r="JB668" s="9"/>
      <c r="JC668" s="9"/>
      <c r="JD668" s="9"/>
      <c r="JE668" s="9"/>
      <c r="JF668" s="9"/>
      <c r="JG668" s="9"/>
      <c r="JH668" s="9"/>
      <c r="JI668" s="9"/>
      <c r="JJ668" s="9"/>
      <c r="JK668" s="9"/>
      <c r="JL668" s="9"/>
      <c r="JM668" s="9"/>
      <c r="JN668" s="9"/>
      <c r="JO668" s="9"/>
      <c r="JP668" s="9"/>
      <c r="JQ668" s="9"/>
      <c r="JR668" s="9"/>
      <c r="JS668" s="9"/>
      <c r="JT668" s="9"/>
      <c r="JU668" s="9"/>
      <c r="JV668" s="9"/>
      <c r="JW668" s="9"/>
      <c r="JX668" s="9"/>
      <c r="JY668" s="9"/>
      <c r="JZ668" s="9"/>
      <c r="KA668" s="9"/>
      <c r="KB668" s="9"/>
      <c r="KC668" s="9"/>
      <c r="KD668" s="9"/>
      <c r="KE668" s="9"/>
      <c r="KF668" s="9"/>
      <c r="KG668" s="9"/>
      <c r="KH668" s="9"/>
      <c r="KI668" s="9"/>
      <c r="KJ668" s="9"/>
      <c r="KK668" s="9"/>
      <c r="KL668" s="9"/>
      <c r="KM668" s="9"/>
      <c r="KN668" s="9"/>
      <c r="KO668" s="9"/>
      <c r="KP668" s="9"/>
      <c r="KQ668" s="9"/>
      <c r="KR668" s="9"/>
      <c r="KS668" s="9"/>
      <c r="KT668" s="9"/>
      <c r="KU668" s="9"/>
      <c r="KV668" s="9"/>
      <c r="KW668" s="9"/>
      <c r="KX668" s="9"/>
      <c r="KY668" s="9"/>
      <c r="KZ668" s="9"/>
      <c r="LA668" s="9"/>
      <c r="LB668" s="9"/>
      <c r="LC668" s="9"/>
      <c r="LD668" s="9"/>
      <c r="LE668" s="9"/>
      <c r="LF668" s="9"/>
      <c r="LG668" s="9"/>
      <c r="LH668" s="9"/>
      <c r="LI668" s="9"/>
      <c r="LJ668" s="9"/>
      <c r="LK668" s="9"/>
      <c r="LL668" s="9"/>
      <c r="LM668" s="9"/>
      <c r="LN668" s="9"/>
      <c r="LO668" s="9"/>
      <c r="LP668" s="9"/>
      <c r="LQ668" s="9"/>
      <c r="LR668" s="9"/>
      <c r="LS668" s="9"/>
      <c r="LT668" s="9"/>
      <c r="LU668" s="9"/>
      <c r="LV668" s="9"/>
      <c r="LW668" s="9"/>
      <c r="LX668" s="9"/>
      <c r="LY668" s="9"/>
      <c r="LZ668" s="9"/>
      <c r="MA668" s="9"/>
      <c r="MB668" s="9"/>
      <c r="MC668" s="9"/>
      <c r="MD668" s="9"/>
      <c r="ME668" s="9"/>
      <c r="MF668" s="9"/>
      <c r="MG668" s="9"/>
      <c r="MH668" s="9"/>
      <c r="MI668" s="9"/>
      <c r="MJ668" s="9"/>
      <c r="MK668" s="9"/>
      <c r="ML668" s="9"/>
      <c r="MM668" s="9"/>
      <c r="MN668" s="9"/>
      <c r="MO668" s="9"/>
      <c r="MP668" s="9"/>
      <c r="MQ668" s="9"/>
      <c r="MR668" s="9"/>
      <c r="MS668" s="9"/>
      <c r="MT668" s="9"/>
      <c r="MU668" s="9"/>
      <c r="MV668" s="9"/>
      <c r="MW668" s="9"/>
      <c r="MX668" s="9"/>
      <c r="MY668" s="9"/>
      <c r="MZ668" s="9"/>
      <c r="NA668" s="9"/>
      <c r="NB668" s="9"/>
      <c r="NC668" s="9"/>
      <c r="ND668" s="9"/>
      <c r="NE668" s="9"/>
      <c r="NF668" s="9"/>
      <c r="NG668" s="9"/>
      <c r="NH668" s="9"/>
      <c r="NI668" s="9"/>
      <c r="NJ668" s="9"/>
      <c r="NK668" s="9"/>
      <c r="NL668" s="9"/>
      <c r="NM668" s="9"/>
      <c r="NN668" s="9"/>
      <c r="NO668" s="9"/>
      <c r="NP668" s="9"/>
      <c r="NQ668" s="9"/>
      <c r="NR668" s="9"/>
      <c r="NS668" s="9"/>
      <c r="NT668" s="9"/>
      <c r="NU668" s="9"/>
      <c r="NV668" s="9"/>
      <c r="NW668" s="9"/>
      <c r="NX668" s="9"/>
      <c r="NY668" s="9"/>
      <c r="NZ668" s="9"/>
      <c r="OA668" s="9"/>
      <c r="OB668" s="9"/>
      <c r="OC668" s="9"/>
      <c r="OD668" s="9"/>
      <c r="OE668" s="9"/>
      <c r="OF668" s="9"/>
      <c r="OG668" s="9"/>
      <c r="OH668" s="9"/>
      <c r="OI668" s="9"/>
      <c r="OJ668" s="9"/>
      <c r="OK668" s="9"/>
      <c r="OL668" s="9"/>
      <c r="OM668" s="9"/>
      <c r="ON668" s="9"/>
      <c r="OO668" s="9"/>
      <c r="OP668" s="9"/>
      <c r="OQ668" s="9"/>
      <c r="OR668" s="9"/>
      <c r="OS668" s="9"/>
      <c r="OT668" s="9"/>
      <c r="OU668" s="9"/>
      <c r="OV668" s="9"/>
      <c r="OW668" s="9"/>
      <c r="OX668" s="9"/>
      <c r="OY668" s="9"/>
      <c r="OZ668" s="9"/>
      <c r="PA668" s="9"/>
      <c r="PB668" s="9"/>
      <c r="PC668" s="9"/>
      <c r="PD668" s="9"/>
      <c r="PE668" s="9"/>
      <c r="PF668" s="9"/>
      <c r="PG668" s="9"/>
      <c r="PH668" s="9"/>
      <c r="PI668" s="9"/>
      <c r="PJ668" s="9"/>
      <c r="PK668" s="9"/>
      <c r="PL668" s="9"/>
      <c r="PM668" s="9"/>
      <c r="PN668" s="9"/>
      <c r="PO668" s="9"/>
      <c r="PP668" s="9"/>
      <c r="PQ668" s="9"/>
      <c r="PR668" s="9"/>
      <c r="PS668" s="9"/>
      <c r="PT668" s="9"/>
      <c r="PU668" s="9"/>
      <c r="PV668" s="9"/>
      <c r="PW668" s="9"/>
      <c r="PX668" s="9"/>
      <c r="PY668" s="9"/>
      <c r="PZ668" s="9"/>
      <c r="QA668" s="9"/>
      <c r="QB668" s="9"/>
      <c r="QC668" s="9"/>
      <c r="QD668" s="9"/>
      <c r="QE668" s="9"/>
      <c r="QF668" s="9"/>
      <c r="QG668" s="9"/>
      <c r="QH668" s="9"/>
      <c r="QI668" s="9"/>
      <c r="QJ668" s="9"/>
      <c r="QK668" s="9"/>
      <c r="QL668" s="9"/>
      <c r="QM668" s="9"/>
      <c r="QN668" s="9"/>
      <c r="QO668" s="9"/>
      <c r="QP668" s="9"/>
      <c r="QQ668" s="9"/>
      <c r="QR668" s="9"/>
      <c r="QS668" s="9"/>
      <c r="QT668" s="9"/>
      <c r="QU668" s="9"/>
      <c r="QV668" s="9"/>
      <c r="QW668" s="9"/>
      <c r="QX668" s="9"/>
      <c r="QY668" s="9"/>
      <c r="QZ668" s="9"/>
      <c r="RA668" s="9"/>
      <c r="RB668" s="9"/>
      <c r="RC668" s="9"/>
      <c r="RD668" s="9"/>
      <c r="RE668" s="9"/>
      <c r="RF668" s="9"/>
      <c r="RG668" s="9"/>
      <c r="RH668" s="9"/>
      <c r="RI668" s="9"/>
      <c r="RJ668" s="9"/>
      <c r="RK668" s="9"/>
      <c r="RL668" s="9"/>
      <c r="RM668" s="9"/>
      <c r="RN668" s="9"/>
      <c r="RO668" s="9"/>
      <c r="RP668" s="9"/>
      <c r="RQ668" s="9"/>
      <c r="RR668" s="9"/>
      <c r="RS668" s="9"/>
      <c r="RT668" s="9"/>
      <c r="RU668" s="9"/>
      <c r="RV668" s="9"/>
      <c r="RW668" s="9"/>
      <c r="RX668" s="9"/>
      <c r="RY668" s="9"/>
      <c r="RZ668" s="9"/>
      <c r="SA668" s="9"/>
      <c r="SB668" s="9"/>
      <c r="SC668" s="9"/>
      <c r="SD668" s="9"/>
      <c r="SE668" s="9"/>
      <c r="SF668" s="9"/>
      <c r="SG668" s="9"/>
      <c r="SH668" s="9"/>
      <c r="SI668" s="9"/>
      <c r="SJ668" s="9"/>
      <c r="SK668" s="9"/>
      <c r="SL668" s="9"/>
      <c r="SM668" s="9"/>
      <c r="SN668" s="9"/>
      <c r="SO668" s="9"/>
      <c r="SP668" s="9"/>
      <c r="SQ668" s="9"/>
      <c r="SR668" s="9"/>
      <c r="SS668" s="9"/>
      <c r="ST668" s="9"/>
      <c r="SU668" s="9"/>
      <c r="SV668" s="9"/>
      <c r="SW668" s="9"/>
      <c r="SX668" s="9"/>
      <c r="SY668" s="9"/>
      <c r="SZ668" s="9"/>
      <c r="TA668" s="9"/>
      <c r="TB668" s="9"/>
      <c r="TC668" s="9"/>
      <c r="TD668" s="9"/>
      <c r="TE668" s="9"/>
      <c r="TF668" s="9"/>
      <c r="TG668" s="9"/>
      <c r="TH668" s="9"/>
      <c r="TI668" s="9"/>
      <c r="TJ668" s="9"/>
      <c r="TK668" s="9"/>
      <c r="TL668" s="9"/>
      <c r="TM668" s="9"/>
      <c r="TN668" s="9"/>
      <c r="TO668" s="9"/>
      <c r="TP668" s="9"/>
      <c r="TQ668" s="9"/>
      <c r="TR668" s="9"/>
      <c r="TS668" s="9"/>
      <c r="TT668" s="9"/>
      <c r="TU668" s="9"/>
      <c r="TV668" s="9"/>
      <c r="TW668" s="9"/>
      <c r="TX668" s="9"/>
      <c r="TY668" s="9"/>
      <c r="TZ668" s="9"/>
      <c r="UA668" s="9"/>
      <c r="UB668" s="9"/>
      <c r="UC668" s="9"/>
      <c r="UD668" s="9"/>
      <c r="UE668" s="9"/>
      <c r="UF668" s="9"/>
      <c r="UG668" s="9"/>
      <c r="UH668" s="9"/>
      <c r="UI668" s="9"/>
      <c r="UJ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  <c r="IC669" s="9"/>
      <c r="ID669" s="9"/>
      <c r="IE669" s="9"/>
      <c r="IF669" s="9"/>
      <c r="IG669" s="9"/>
      <c r="IH669" s="9"/>
      <c r="II669" s="9"/>
      <c r="IJ669" s="9"/>
      <c r="IK669" s="9"/>
      <c r="IL669" s="9"/>
      <c r="IM669" s="9"/>
      <c r="IN669" s="9"/>
      <c r="IO669" s="9"/>
      <c r="IP669" s="9"/>
      <c r="IQ669" s="9"/>
      <c r="IR669" s="9"/>
      <c r="IS669" s="9"/>
      <c r="IT669" s="9"/>
      <c r="IU669" s="9"/>
      <c r="IV669" s="9"/>
      <c r="IW669" s="9"/>
      <c r="IX669" s="9"/>
      <c r="IY669" s="9"/>
      <c r="IZ669" s="9"/>
      <c r="JA669" s="9"/>
      <c r="JB669" s="9"/>
      <c r="JC669" s="9"/>
      <c r="JD669" s="9"/>
      <c r="JE669" s="9"/>
      <c r="JF669" s="9"/>
      <c r="JG669" s="9"/>
      <c r="JH669" s="9"/>
      <c r="JI669" s="9"/>
      <c r="JJ669" s="9"/>
      <c r="JK669" s="9"/>
      <c r="JL669" s="9"/>
      <c r="JM669" s="9"/>
      <c r="JN669" s="9"/>
      <c r="JO669" s="9"/>
      <c r="JP669" s="9"/>
      <c r="JQ669" s="9"/>
      <c r="JR669" s="9"/>
      <c r="JS669" s="9"/>
      <c r="JT669" s="9"/>
      <c r="JU669" s="9"/>
      <c r="JV669" s="9"/>
      <c r="JW669" s="9"/>
      <c r="JX669" s="9"/>
      <c r="JY669" s="9"/>
      <c r="JZ669" s="9"/>
      <c r="KA669" s="9"/>
      <c r="KB669" s="9"/>
      <c r="KC669" s="9"/>
      <c r="KD669" s="9"/>
      <c r="KE669" s="9"/>
      <c r="KF669" s="9"/>
      <c r="KG669" s="9"/>
      <c r="KH669" s="9"/>
      <c r="KI669" s="9"/>
      <c r="KJ669" s="9"/>
      <c r="KK669" s="9"/>
      <c r="KL669" s="9"/>
      <c r="KM669" s="9"/>
      <c r="KN669" s="9"/>
      <c r="KO669" s="9"/>
      <c r="KP669" s="9"/>
      <c r="KQ669" s="9"/>
      <c r="KR669" s="9"/>
      <c r="KS669" s="9"/>
      <c r="KT669" s="9"/>
      <c r="KU669" s="9"/>
      <c r="KV669" s="9"/>
      <c r="KW669" s="9"/>
      <c r="KX669" s="9"/>
      <c r="KY669" s="9"/>
      <c r="KZ669" s="9"/>
      <c r="LA669" s="9"/>
      <c r="LB669" s="9"/>
      <c r="LC669" s="9"/>
      <c r="LD669" s="9"/>
      <c r="LE669" s="9"/>
      <c r="LF669" s="9"/>
      <c r="LG669" s="9"/>
      <c r="LH669" s="9"/>
      <c r="LI669" s="9"/>
      <c r="LJ669" s="9"/>
      <c r="LK669" s="9"/>
      <c r="LL669" s="9"/>
      <c r="LM669" s="9"/>
      <c r="LN669" s="9"/>
      <c r="LO669" s="9"/>
      <c r="LP669" s="9"/>
      <c r="LQ669" s="9"/>
      <c r="LR669" s="9"/>
      <c r="LS669" s="9"/>
      <c r="LT669" s="9"/>
      <c r="LU669" s="9"/>
      <c r="LV669" s="9"/>
      <c r="LW669" s="9"/>
      <c r="LX669" s="9"/>
      <c r="LY669" s="9"/>
      <c r="LZ669" s="9"/>
      <c r="MA669" s="9"/>
      <c r="MB669" s="9"/>
      <c r="MC669" s="9"/>
      <c r="MD669" s="9"/>
      <c r="ME669" s="9"/>
      <c r="MF669" s="9"/>
      <c r="MG669" s="9"/>
      <c r="MH669" s="9"/>
      <c r="MI669" s="9"/>
      <c r="MJ669" s="9"/>
      <c r="MK669" s="9"/>
      <c r="ML669" s="9"/>
      <c r="MM669" s="9"/>
      <c r="MN669" s="9"/>
      <c r="MO669" s="9"/>
      <c r="MP669" s="9"/>
      <c r="MQ669" s="9"/>
      <c r="MR669" s="9"/>
      <c r="MS669" s="9"/>
      <c r="MT669" s="9"/>
      <c r="MU669" s="9"/>
      <c r="MV669" s="9"/>
      <c r="MW669" s="9"/>
      <c r="MX669" s="9"/>
      <c r="MY669" s="9"/>
      <c r="MZ669" s="9"/>
      <c r="NA669" s="9"/>
      <c r="NB669" s="9"/>
      <c r="NC669" s="9"/>
      <c r="ND669" s="9"/>
      <c r="NE669" s="9"/>
      <c r="NF669" s="9"/>
      <c r="NG669" s="9"/>
      <c r="NH669" s="9"/>
      <c r="NI669" s="9"/>
      <c r="NJ669" s="9"/>
      <c r="NK669" s="9"/>
      <c r="NL669" s="9"/>
      <c r="NM669" s="9"/>
      <c r="NN669" s="9"/>
      <c r="NO669" s="9"/>
      <c r="NP669" s="9"/>
      <c r="NQ669" s="9"/>
      <c r="NR669" s="9"/>
      <c r="NS669" s="9"/>
      <c r="NT669" s="9"/>
      <c r="NU669" s="9"/>
      <c r="NV669" s="9"/>
      <c r="NW669" s="9"/>
      <c r="NX669" s="9"/>
      <c r="NY669" s="9"/>
      <c r="NZ669" s="9"/>
      <c r="OA669" s="9"/>
      <c r="OB669" s="9"/>
      <c r="OC669" s="9"/>
      <c r="OD669" s="9"/>
      <c r="OE669" s="9"/>
      <c r="OF669" s="9"/>
      <c r="OG669" s="9"/>
      <c r="OH669" s="9"/>
      <c r="OI669" s="9"/>
      <c r="OJ669" s="9"/>
      <c r="OK669" s="9"/>
      <c r="OL669" s="9"/>
      <c r="OM669" s="9"/>
      <c r="ON669" s="9"/>
      <c r="OO669" s="9"/>
      <c r="OP669" s="9"/>
      <c r="OQ669" s="9"/>
      <c r="OR669" s="9"/>
      <c r="OS669" s="9"/>
      <c r="OT669" s="9"/>
      <c r="OU669" s="9"/>
      <c r="OV669" s="9"/>
      <c r="OW669" s="9"/>
      <c r="OX669" s="9"/>
      <c r="OY669" s="9"/>
      <c r="OZ669" s="9"/>
      <c r="PA669" s="9"/>
      <c r="PB669" s="9"/>
      <c r="PC669" s="9"/>
      <c r="PD669" s="9"/>
      <c r="PE669" s="9"/>
      <c r="PF669" s="9"/>
      <c r="PG669" s="9"/>
      <c r="PH669" s="9"/>
      <c r="PI669" s="9"/>
      <c r="PJ669" s="9"/>
      <c r="PK669" s="9"/>
      <c r="PL669" s="9"/>
      <c r="PM669" s="9"/>
      <c r="PN669" s="9"/>
      <c r="PO669" s="9"/>
      <c r="PP669" s="9"/>
      <c r="PQ669" s="9"/>
      <c r="PR669" s="9"/>
      <c r="PS669" s="9"/>
      <c r="PT669" s="9"/>
      <c r="PU669" s="9"/>
      <c r="PV669" s="9"/>
      <c r="PW669" s="9"/>
      <c r="PX669" s="9"/>
      <c r="PY669" s="9"/>
      <c r="PZ669" s="9"/>
      <c r="QA669" s="9"/>
      <c r="QB669" s="9"/>
      <c r="QC669" s="9"/>
      <c r="QD669" s="9"/>
      <c r="QE669" s="9"/>
      <c r="QF669" s="9"/>
      <c r="QG669" s="9"/>
      <c r="QH669" s="9"/>
      <c r="QI669" s="9"/>
      <c r="QJ669" s="9"/>
      <c r="QK669" s="9"/>
      <c r="QL669" s="9"/>
      <c r="QM669" s="9"/>
      <c r="QN669" s="9"/>
      <c r="QO669" s="9"/>
      <c r="QP669" s="9"/>
      <c r="QQ669" s="9"/>
      <c r="QR669" s="9"/>
      <c r="QS669" s="9"/>
      <c r="QT669" s="9"/>
      <c r="QU669" s="9"/>
      <c r="QV669" s="9"/>
      <c r="QW669" s="9"/>
      <c r="QX669" s="9"/>
      <c r="QY669" s="9"/>
      <c r="QZ669" s="9"/>
      <c r="RA669" s="9"/>
      <c r="RB669" s="9"/>
      <c r="RC669" s="9"/>
      <c r="RD669" s="9"/>
      <c r="RE669" s="9"/>
      <c r="RF669" s="9"/>
      <c r="RG669" s="9"/>
      <c r="RH669" s="9"/>
      <c r="RI669" s="9"/>
      <c r="RJ669" s="9"/>
      <c r="RK669" s="9"/>
      <c r="RL669" s="9"/>
      <c r="RM669" s="9"/>
      <c r="RN669" s="9"/>
      <c r="RO669" s="9"/>
      <c r="RP669" s="9"/>
      <c r="RQ669" s="9"/>
      <c r="RR669" s="9"/>
      <c r="RS669" s="9"/>
      <c r="RT669" s="9"/>
      <c r="RU669" s="9"/>
      <c r="RV669" s="9"/>
      <c r="RW669" s="9"/>
      <c r="RX669" s="9"/>
      <c r="RY669" s="9"/>
      <c r="RZ669" s="9"/>
      <c r="SA669" s="9"/>
      <c r="SB669" s="9"/>
      <c r="SC669" s="9"/>
      <c r="SD669" s="9"/>
      <c r="SE669" s="9"/>
      <c r="SF669" s="9"/>
      <c r="SG669" s="9"/>
      <c r="SH669" s="9"/>
      <c r="SI669" s="9"/>
      <c r="SJ669" s="9"/>
      <c r="SK669" s="9"/>
      <c r="SL669" s="9"/>
      <c r="SM669" s="9"/>
      <c r="SN669" s="9"/>
      <c r="SO669" s="9"/>
      <c r="SP669" s="9"/>
      <c r="SQ669" s="9"/>
      <c r="SR669" s="9"/>
      <c r="SS669" s="9"/>
      <c r="ST669" s="9"/>
      <c r="SU669" s="9"/>
      <c r="SV669" s="9"/>
      <c r="SW669" s="9"/>
      <c r="SX669" s="9"/>
      <c r="SY669" s="9"/>
      <c r="SZ669" s="9"/>
      <c r="TA669" s="9"/>
      <c r="TB669" s="9"/>
      <c r="TC669" s="9"/>
      <c r="TD669" s="9"/>
      <c r="TE669" s="9"/>
      <c r="TF669" s="9"/>
      <c r="TG669" s="9"/>
      <c r="TH669" s="9"/>
      <c r="TI669" s="9"/>
      <c r="TJ669" s="9"/>
      <c r="TK669" s="9"/>
      <c r="TL669" s="9"/>
      <c r="TM669" s="9"/>
      <c r="TN669" s="9"/>
      <c r="TO669" s="9"/>
      <c r="TP669" s="9"/>
      <c r="TQ669" s="9"/>
      <c r="TR669" s="9"/>
      <c r="TS669" s="9"/>
      <c r="TT669" s="9"/>
      <c r="TU669" s="9"/>
      <c r="TV669" s="9"/>
      <c r="TW669" s="9"/>
      <c r="TX669" s="9"/>
      <c r="TY669" s="9"/>
      <c r="TZ669" s="9"/>
      <c r="UA669" s="9"/>
      <c r="UB669" s="9"/>
      <c r="UC669" s="9"/>
      <c r="UD669" s="9"/>
      <c r="UE669" s="9"/>
      <c r="UF669" s="9"/>
      <c r="UG669" s="9"/>
      <c r="UH669" s="9"/>
      <c r="UI669" s="9"/>
      <c r="UJ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9"/>
      <c r="JE670" s="9"/>
      <c r="JF670" s="9"/>
      <c r="JG670" s="9"/>
      <c r="JH670" s="9"/>
      <c r="JI670" s="9"/>
      <c r="JJ670" s="9"/>
      <c r="JK670" s="9"/>
      <c r="JL670" s="9"/>
      <c r="JM670" s="9"/>
      <c r="JN670" s="9"/>
      <c r="JO670" s="9"/>
      <c r="JP670" s="9"/>
      <c r="JQ670" s="9"/>
      <c r="JR670" s="9"/>
      <c r="JS670" s="9"/>
      <c r="JT670" s="9"/>
      <c r="JU670" s="9"/>
      <c r="JV670" s="9"/>
      <c r="JW670" s="9"/>
      <c r="JX670" s="9"/>
      <c r="JY670" s="9"/>
      <c r="JZ670" s="9"/>
      <c r="KA670" s="9"/>
      <c r="KB670" s="9"/>
      <c r="KC670" s="9"/>
      <c r="KD670" s="9"/>
      <c r="KE670" s="9"/>
      <c r="KF670" s="9"/>
      <c r="KG670" s="9"/>
      <c r="KH670" s="9"/>
      <c r="KI670" s="9"/>
      <c r="KJ670" s="9"/>
      <c r="KK670" s="9"/>
      <c r="KL670" s="9"/>
      <c r="KM670" s="9"/>
      <c r="KN670" s="9"/>
      <c r="KO670" s="9"/>
      <c r="KP670" s="9"/>
      <c r="KQ670" s="9"/>
      <c r="KR670" s="9"/>
      <c r="KS670" s="9"/>
      <c r="KT670" s="9"/>
      <c r="KU670" s="9"/>
      <c r="KV670" s="9"/>
      <c r="KW670" s="9"/>
      <c r="KX670" s="9"/>
      <c r="KY670" s="9"/>
      <c r="KZ670" s="9"/>
      <c r="LA670" s="9"/>
      <c r="LB670" s="9"/>
      <c r="LC670" s="9"/>
      <c r="LD670" s="9"/>
      <c r="LE670" s="9"/>
      <c r="LF670" s="9"/>
      <c r="LG670" s="9"/>
      <c r="LH670" s="9"/>
      <c r="LI670" s="9"/>
      <c r="LJ670" s="9"/>
      <c r="LK670" s="9"/>
      <c r="LL670" s="9"/>
      <c r="LM670" s="9"/>
      <c r="LN670" s="9"/>
      <c r="LO670" s="9"/>
      <c r="LP670" s="9"/>
      <c r="LQ670" s="9"/>
      <c r="LR670" s="9"/>
      <c r="LS670" s="9"/>
      <c r="LT670" s="9"/>
      <c r="LU670" s="9"/>
      <c r="LV670" s="9"/>
      <c r="LW670" s="9"/>
      <c r="LX670" s="9"/>
      <c r="LY670" s="9"/>
      <c r="LZ670" s="9"/>
      <c r="MA670" s="9"/>
      <c r="MB670" s="9"/>
      <c r="MC670" s="9"/>
      <c r="MD670" s="9"/>
      <c r="ME670" s="9"/>
      <c r="MF670" s="9"/>
      <c r="MG670" s="9"/>
      <c r="MH670" s="9"/>
      <c r="MI670" s="9"/>
      <c r="MJ670" s="9"/>
      <c r="MK670" s="9"/>
      <c r="ML670" s="9"/>
      <c r="MM670" s="9"/>
      <c r="MN670" s="9"/>
      <c r="MO670" s="9"/>
      <c r="MP670" s="9"/>
      <c r="MQ670" s="9"/>
      <c r="MR670" s="9"/>
      <c r="MS670" s="9"/>
      <c r="MT670" s="9"/>
      <c r="MU670" s="9"/>
      <c r="MV670" s="9"/>
      <c r="MW670" s="9"/>
      <c r="MX670" s="9"/>
      <c r="MY670" s="9"/>
      <c r="MZ670" s="9"/>
      <c r="NA670" s="9"/>
      <c r="NB670" s="9"/>
      <c r="NC670" s="9"/>
      <c r="ND670" s="9"/>
      <c r="NE670" s="9"/>
      <c r="NF670" s="9"/>
      <c r="NG670" s="9"/>
      <c r="NH670" s="9"/>
      <c r="NI670" s="9"/>
      <c r="NJ670" s="9"/>
      <c r="NK670" s="9"/>
      <c r="NL670" s="9"/>
      <c r="NM670" s="9"/>
      <c r="NN670" s="9"/>
      <c r="NO670" s="9"/>
      <c r="NP670" s="9"/>
      <c r="NQ670" s="9"/>
      <c r="NR670" s="9"/>
      <c r="NS670" s="9"/>
      <c r="NT670" s="9"/>
      <c r="NU670" s="9"/>
      <c r="NV670" s="9"/>
      <c r="NW670" s="9"/>
      <c r="NX670" s="9"/>
      <c r="NY670" s="9"/>
      <c r="NZ670" s="9"/>
      <c r="OA670" s="9"/>
      <c r="OB670" s="9"/>
      <c r="OC670" s="9"/>
      <c r="OD670" s="9"/>
      <c r="OE670" s="9"/>
      <c r="OF670" s="9"/>
      <c r="OG670" s="9"/>
      <c r="OH670" s="9"/>
      <c r="OI670" s="9"/>
      <c r="OJ670" s="9"/>
      <c r="OK670" s="9"/>
      <c r="OL670" s="9"/>
      <c r="OM670" s="9"/>
      <c r="ON670" s="9"/>
      <c r="OO670" s="9"/>
      <c r="OP670" s="9"/>
      <c r="OQ670" s="9"/>
      <c r="OR670" s="9"/>
      <c r="OS670" s="9"/>
      <c r="OT670" s="9"/>
      <c r="OU670" s="9"/>
      <c r="OV670" s="9"/>
      <c r="OW670" s="9"/>
      <c r="OX670" s="9"/>
      <c r="OY670" s="9"/>
      <c r="OZ670" s="9"/>
      <c r="PA670" s="9"/>
      <c r="PB670" s="9"/>
      <c r="PC670" s="9"/>
      <c r="PD670" s="9"/>
      <c r="PE670" s="9"/>
      <c r="PF670" s="9"/>
      <c r="PG670" s="9"/>
      <c r="PH670" s="9"/>
      <c r="PI670" s="9"/>
      <c r="PJ670" s="9"/>
      <c r="PK670" s="9"/>
      <c r="PL670" s="9"/>
      <c r="PM670" s="9"/>
      <c r="PN670" s="9"/>
      <c r="PO670" s="9"/>
      <c r="PP670" s="9"/>
      <c r="PQ670" s="9"/>
      <c r="PR670" s="9"/>
      <c r="PS670" s="9"/>
      <c r="PT670" s="9"/>
      <c r="PU670" s="9"/>
      <c r="PV670" s="9"/>
      <c r="PW670" s="9"/>
      <c r="PX670" s="9"/>
      <c r="PY670" s="9"/>
      <c r="PZ670" s="9"/>
      <c r="QA670" s="9"/>
      <c r="QB670" s="9"/>
      <c r="QC670" s="9"/>
      <c r="QD670" s="9"/>
      <c r="QE670" s="9"/>
      <c r="QF670" s="9"/>
      <c r="QG670" s="9"/>
      <c r="QH670" s="9"/>
      <c r="QI670" s="9"/>
      <c r="QJ670" s="9"/>
      <c r="QK670" s="9"/>
      <c r="QL670" s="9"/>
      <c r="QM670" s="9"/>
      <c r="QN670" s="9"/>
      <c r="QO670" s="9"/>
      <c r="QP670" s="9"/>
      <c r="QQ670" s="9"/>
      <c r="QR670" s="9"/>
      <c r="QS670" s="9"/>
      <c r="QT670" s="9"/>
      <c r="QU670" s="9"/>
      <c r="QV670" s="9"/>
      <c r="QW670" s="9"/>
      <c r="QX670" s="9"/>
      <c r="QY670" s="9"/>
      <c r="QZ670" s="9"/>
      <c r="RA670" s="9"/>
      <c r="RB670" s="9"/>
      <c r="RC670" s="9"/>
      <c r="RD670" s="9"/>
      <c r="RE670" s="9"/>
      <c r="RF670" s="9"/>
      <c r="RG670" s="9"/>
      <c r="RH670" s="9"/>
      <c r="RI670" s="9"/>
      <c r="RJ670" s="9"/>
      <c r="RK670" s="9"/>
      <c r="RL670" s="9"/>
      <c r="RM670" s="9"/>
      <c r="RN670" s="9"/>
      <c r="RO670" s="9"/>
      <c r="RP670" s="9"/>
      <c r="RQ670" s="9"/>
      <c r="RR670" s="9"/>
      <c r="RS670" s="9"/>
      <c r="RT670" s="9"/>
      <c r="RU670" s="9"/>
      <c r="RV670" s="9"/>
      <c r="RW670" s="9"/>
      <c r="RX670" s="9"/>
      <c r="RY670" s="9"/>
      <c r="RZ670" s="9"/>
      <c r="SA670" s="9"/>
      <c r="SB670" s="9"/>
      <c r="SC670" s="9"/>
      <c r="SD670" s="9"/>
      <c r="SE670" s="9"/>
      <c r="SF670" s="9"/>
      <c r="SG670" s="9"/>
      <c r="SH670" s="9"/>
      <c r="SI670" s="9"/>
      <c r="SJ670" s="9"/>
      <c r="SK670" s="9"/>
      <c r="SL670" s="9"/>
      <c r="SM670" s="9"/>
      <c r="SN670" s="9"/>
      <c r="SO670" s="9"/>
      <c r="SP670" s="9"/>
      <c r="SQ670" s="9"/>
      <c r="SR670" s="9"/>
      <c r="SS670" s="9"/>
      <c r="ST670" s="9"/>
      <c r="SU670" s="9"/>
      <c r="SV670" s="9"/>
      <c r="SW670" s="9"/>
      <c r="SX670" s="9"/>
      <c r="SY670" s="9"/>
      <c r="SZ670" s="9"/>
      <c r="TA670" s="9"/>
      <c r="TB670" s="9"/>
      <c r="TC670" s="9"/>
      <c r="TD670" s="9"/>
      <c r="TE670" s="9"/>
      <c r="TF670" s="9"/>
      <c r="TG670" s="9"/>
      <c r="TH670" s="9"/>
      <c r="TI670" s="9"/>
      <c r="TJ670" s="9"/>
      <c r="TK670" s="9"/>
      <c r="TL670" s="9"/>
      <c r="TM670" s="9"/>
      <c r="TN670" s="9"/>
      <c r="TO670" s="9"/>
      <c r="TP670" s="9"/>
      <c r="TQ670" s="9"/>
      <c r="TR670" s="9"/>
      <c r="TS670" s="9"/>
      <c r="TT670" s="9"/>
      <c r="TU670" s="9"/>
      <c r="TV670" s="9"/>
      <c r="TW670" s="9"/>
      <c r="TX670" s="9"/>
      <c r="TY670" s="9"/>
      <c r="TZ670" s="9"/>
      <c r="UA670" s="9"/>
      <c r="UB670" s="9"/>
      <c r="UC670" s="9"/>
      <c r="UD670" s="9"/>
      <c r="UE670" s="9"/>
      <c r="UF670" s="9"/>
      <c r="UG670" s="9"/>
      <c r="UH670" s="9"/>
      <c r="UI670" s="9"/>
      <c r="UJ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  <c r="HZ671" s="9"/>
      <c r="IA671" s="9"/>
      <c r="IB671" s="9"/>
      <c r="IC671" s="9"/>
      <c r="ID671" s="9"/>
      <c r="IE671" s="9"/>
      <c r="IF671" s="9"/>
      <c r="IG671" s="9"/>
      <c r="IH671" s="9"/>
      <c r="II671" s="9"/>
      <c r="IJ671" s="9"/>
      <c r="IK671" s="9"/>
      <c r="IL671" s="9"/>
      <c r="IM671" s="9"/>
      <c r="IN671" s="9"/>
      <c r="IO671" s="9"/>
      <c r="IP671" s="9"/>
      <c r="IQ671" s="9"/>
      <c r="IR671" s="9"/>
      <c r="IS671" s="9"/>
      <c r="IT671" s="9"/>
      <c r="IU671" s="9"/>
      <c r="IV671" s="9"/>
      <c r="IW671" s="9"/>
      <c r="IX671" s="9"/>
      <c r="IY671" s="9"/>
      <c r="IZ671" s="9"/>
      <c r="JA671" s="9"/>
      <c r="JB671" s="9"/>
      <c r="JC671" s="9"/>
      <c r="JD671" s="9"/>
      <c r="JE671" s="9"/>
      <c r="JF671" s="9"/>
      <c r="JG671" s="9"/>
      <c r="JH671" s="9"/>
      <c r="JI671" s="9"/>
      <c r="JJ671" s="9"/>
      <c r="JK671" s="9"/>
      <c r="JL671" s="9"/>
      <c r="JM671" s="9"/>
      <c r="JN671" s="9"/>
      <c r="JO671" s="9"/>
      <c r="JP671" s="9"/>
      <c r="JQ671" s="9"/>
      <c r="JR671" s="9"/>
      <c r="JS671" s="9"/>
      <c r="JT671" s="9"/>
      <c r="JU671" s="9"/>
      <c r="JV671" s="9"/>
      <c r="JW671" s="9"/>
      <c r="JX671" s="9"/>
      <c r="JY671" s="9"/>
      <c r="JZ671" s="9"/>
      <c r="KA671" s="9"/>
      <c r="KB671" s="9"/>
      <c r="KC671" s="9"/>
      <c r="KD671" s="9"/>
      <c r="KE671" s="9"/>
      <c r="KF671" s="9"/>
      <c r="KG671" s="9"/>
      <c r="KH671" s="9"/>
      <c r="KI671" s="9"/>
      <c r="KJ671" s="9"/>
      <c r="KK671" s="9"/>
      <c r="KL671" s="9"/>
      <c r="KM671" s="9"/>
      <c r="KN671" s="9"/>
      <c r="KO671" s="9"/>
      <c r="KP671" s="9"/>
      <c r="KQ671" s="9"/>
      <c r="KR671" s="9"/>
      <c r="KS671" s="9"/>
      <c r="KT671" s="9"/>
      <c r="KU671" s="9"/>
      <c r="KV671" s="9"/>
      <c r="KW671" s="9"/>
      <c r="KX671" s="9"/>
      <c r="KY671" s="9"/>
      <c r="KZ671" s="9"/>
      <c r="LA671" s="9"/>
      <c r="LB671" s="9"/>
      <c r="LC671" s="9"/>
      <c r="LD671" s="9"/>
      <c r="LE671" s="9"/>
      <c r="LF671" s="9"/>
      <c r="LG671" s="9"/>
      <c r="LH671" s="9"/>
      <c r="LI671" s="9"/>
      <c r="LJ671" s="9"/>
      <c r="LK671" s="9"/>
      <c r="LL671" s="9"/>
      <c r="LM671" s="9"/>
      <c r="LN671" s="9"/>
      <c r="LO671" s="9"/>
      <c r="LP671" s="9"/>
      <c r="LQ671" s="9"/>
      <c r="LR671" s="9"/>
      <c r="LS671" s="9"/>
      <c r="LT671" s="9"/>
      <c r="LU671" s="9"/>
      <c r="LV671" s="9"/>
      <c r="LW671" s="9"/>
      <c r="LX671" s="9"/>
      <c r="LY671" s="9"/>
      <c r="LZ671" s="9"/>
      <c r="MA671" s="9"/>
      <c r="MB671" s="9"/>
      <c r="MC671" s="9"/>
      <c r="MD671" s="9"/>
      <c r="ME671" s="9"/>
      <c r="MF671" s="9"/>
      <c r="MG671" s="9"/>
      <c r="MH671" s="9"/>
      <c r="MI671" s="9"/>
      <c r="MJ671" s="9"/>
      <c r="MK671" s="9"/>
      <c r="ML671" s="9"/>
      <c r="MM671" s="9"/>
      <c r="MN671" s="9"/>
      <c r="MO671" s="9"/>
      <c r="MP671" s="9"/>
      <c r="MQ671" s="9"/>
      <c r="MR671" s="9"/>
      <c r="MS671" s="9"/>
      <c r="MT671" s="9"/>
      <c r="MU671" s="9"/>
      <c r="MV671" s="9"/>
      <c r="MW671" s="9"/>
      <c r="MX671" s="9"/>
      <c r="MY671" s="9"/>
      <c r="MZ671" s="9"/>
      <c r="NA671" s="9"/>
      <c r="NB671" s="9"/>
      <c r="NC671" s="9"/>
      <c r="ND671" s="9"/>
      <c r="NE671" s="9"/>
      <c r="NF671" s="9"/>
      <c r="NG671" s="9"/>
      <c r="NH671" s="9"/>
      <c r="NI671" s="9"/>
      <c r="NJ671" s="9"/>
      <c r="NK671" s="9"/>
      <c r="NL671" s="9"/>
      <c r="NM671" s="9"/>
      <c r="NN671" s="9"/>
      <c r="NO671" s="9"/>
      <c r="NP671" s="9"/>
      <c r="NQ671" s="9"/>
      <c r="NR671" s="9"/>
      <c r="NS671" s="9"/>
      <c r="NT671" s="9"/>
      <c r="NU671" s="9"/>
      <c r="NV671" s="9"/>
      <c r="NW671" s="9"/>
      <c r="NX671" s="9"/>
      <c r="NY671" s="9"/>
      <c r="NZ671" s="9"/>
      <c r="OA671" s="9"/>
      <c r="OB671" s="9"/>
      <c r="OC671" s="9"/>
      <c r="OD671" s="9"/>
      <c r="OE671" s="9"/>
      <c r="OF671" s="9"/>
      <c r="OG671" s="9"/>
      <c r="OH671" s="9"/>
      <c r="OI671" s="9"/>
      <c r="OJ671" s="9"/>
      <c r="OK671" s="9"/>
      <c r="OL671" s="9"/>
      <c r="OM671" s="9"/>
      <c r="ON671" s="9"/>
      <c r="OO671" s="9"/>
      <c r="OP671" s="9"/>
      <c r="OQ671" s="9"/>
      <c r="OR671" s="9"/>
      <c r="OS671" s="9"/>
      <c r="OT671" s="9"/>
      <c r="OU671" s="9"/>
      <c r="OV671" s="9"/>
      <c r="OW671" s="9"/>
      <c r="OX671" s="9"/>
      <c r="OY671" s="9"/>
      <c r="OZ671" s="9"/>
      <c r="PA671" s="9"/>
      <c r="PB671" s="9"/>
      <c r="PC671" s="9"/>
      <c r="PD671" s="9"/>
      <c r="PE671" s="9"/>
      <c r="PF671" s="9"/>
      <c r="PG671" s="9"/>
      <c r="PH671" s="9"/>
      <c r="PI671" s="9"/>
      <c r="PJ671" s="9"/>
      <c r="PK671" s="9"/>
      <c r="PL671" s="9"/>
      <c r="PM671" s="9"/>
      <c r="PN671" s="9"/>
      <c r="PO671" s="9"/>
      <c r="PP671" s="9"/>
      <c r="PQ671" s="9"/>
      <c r="PR671" s="9"/>
      <c r="PS671" s="9"/>
      <c r="PT671" s="9"/>
      <c r="PU671" s="9"/>
      <c r="PV671" s="9"/>
      <c r="PW671" s="9"/>
      <c r="PX671" s="9"/>
      <c r="PY671" s="9"/>
      <c r="PZ671" s="9"/>
      <c r="QA671" s="9"/>
      <c r="QB671" s="9"/>
      <c r="QC671" s="9"/>
      <c r="QD671" s="9"/>
      <c r="QE671" s="9"/>
      <c r="QF671" s="9"/>
      <c r="QG671" s="9"/>
      <c r="QH671" s="9"/>
      <c r="QI671" s="9"/>
      <c r="QJ671" s="9"/>
      <c r="QK671" s="9"/>
      <c r="QL671" s="9"/>
      <c r="QM671" s="9"/>
      <c r="QN671" s="9"/>
      <c r="QO671" s="9"/>
      <c r="QP671" s="9"/>
      <c r="QQ671" s="9"/>
      <c r="QR671" s="9"/>
      <c r="QS671" s="9"/>
      <c r="QT671" s="9"/>
      <c r="QU671" s="9"/>
      <c r="QV671" s="9"/>
      <c r="QW671" s="9"/>
      <c r="QX671" s="9"/>
      <c r="QY671" s="9"/>
      <c r="QZ671" s="9"/>
      <c r="RA671" s="9"/>
      <c r="RB671" s="9"/>
      <c r="RC671" s="9"/>
      <c r="RD671" s="9"/>
      <c r="RE671" s="9"/>
      <c r="RF671" s="9"/>
      <c r="RG671" s="9"/>
      <c r="RH671" s="9"/>
      <c r="RI671" s="9"/>
      <c r="RJ671" s="9"/>
      <c r="RK671" s="9"/>
      <c r="RL671" s="9"/>
      <c r="RM671" s="9"/>
      <c r="RN671" s="9"/>
      <c r="RO671" s="9"/>
      <c r="RP671" s="9"/>
      <c r="RQ671" s="9"/>
      <c r="RR671" s="9"/>
      <c r="RS671" s="9"/>
      <c r="RT671" s="9"/>
      <c r="RU671" s="9"/>
      <c r="RV671" s="9"/>
      <c r="RW671" s="9"/>
      <c r="RX671" s="9"/>
      <c r="RY671" s="9"/>
      <c r="RZ671" s="9"/>
      <c r="SA671" s="9"/>
      <c r="SB671" s="9"/>
      <c r="SC671" s="9"/>
      <c r="SD671" s="9"/>
      <c r="SE671" s="9"/>
      <c r="SF671" s="9"/>
      <c r="SG671" s="9"/>
      <c r="SH671" s="9"/>
      <c r="SI671" s="9"/>
      <c r="SJ671" s="9"/>
      <c r="SK671" s="9"/>
      <c r="SL671" s="9"/>
      <c r="SM671" s="9"/>
      <c r="SN671" s="9"/>
      <c r="SO671" s="9"/>
      <c r="SP671" s="9"/>
      <c r="SQ671" s="9"/>
      <c r="SR671" s="9"/>
      <c r="SS671" s="9"/>
      <c r="ST671" s="9"/>
      <c r="SU671" s="9"/>
      <c r="SV671" s="9"/>
      <c r="SW671" s="9"/>
      <c r="SX671" s="9"/>
      <c r="SY671" s="9"/>
      <c r="SZ671" s="9"/>
      <c r="TA671" s="9"/>
      <c r="TB671" s="9"/>
      <c r="TC671" s="9"/>
      <c r="TD671" s="9"/>
      <c r="TE671" s="9"/>
      <c r="TF671" s="9"/>
      <c r="TG671" s="9"/>
      <c r="TH671" s="9"/>
      <c r="TI671" s="9"/>
      <c r="TJ671" s="9"/>
      <c r="TK671" s="9"/>
      <c r="TL671" s="9"/>
      <c r="TM671" s="9"/>
      <c r="TN671" s="9"/>
      <c r="TO671" s="9"/>
      <c r="TP671" s="9"/>
      <c r="TQ671" s="9"/>
      <c r="TR671" s="9"/>
      <c r="TS671" s="9"/>
      <c r="TT671" s="9"/>
      <c r="TU671" s="9"/>
      <c r="TV671" s="9"/>
      <c r="TW671" s="9"/>
      <c r="TX671" s="9"/>
      <c r="TY671" s="9"/>
      <c r="TZ671" s="9"/>
      <c r="UA671" s="9"/>
      <c r="UB671" s="9"/>
      <c r="UC671" s="9"/>
      <c r="UD671" s="9"/>
      <c r="UE671" s="9"/>
      <c r="UF671" s="9"/>
      <c r="UG671" s="9"/>
      <c r="UH671" s="9"/>
      <c r="UI671" s="9"/>
      <c r="UJ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  <c r="IN672" s="9"/>
      <c r="IO672" s="9"/>
      <c r="IP672" s="9"/>
      <c r="IQ672" s="9"/>
      <c r="IR672" s="9"/>
      <c r="IS672" s="9"/>
      <c r="IT672" s="9"/>
      <c r="IU672" s="9"/>
      <c r="IV672" s="9"/>
      <c r="IW672" s="9"/>
      <c r="IX672" s="9"/>
      <c r="IY672" s="9"/>
      <c r="IZ672" s="9"/>
      <c r="JA672" s="9"/>
      <c r="JB672" s="9"/>
      <c r="JC672" s="9"/>
      <c r="JD672" s="9"/>
      <c r="JE672" s="9"/>
      <c r="JF672" s="9"/>
      <c r="JG672" s="9"/>
      <c r="JH672" s="9"/>
      <c r="JI672" s="9"/>
      <c r="JJ672" s="9"/>
      <c r="JK672" s="9"/>
      <c r="JL672" s="9"/>
      <c r="JM672" s="9"/>
      <c r="JN672" s="9"/>
      <c r="JO672" s="9"/>
      <c r="JP672" s="9"/>
      <c r="JQ672" s="9"/>
      <c r="JR672" s="9"/>
      <c r="JS672" s="9"/>
      <c r="JT672" s="9"/>
      <c r="JU672" s="9"/>
      <c r="JV672" s="9"/>
      <c r="JW672" s="9"/>
      <c r="JX672" s="9"/>
      <c r="JY672" s="9"/>
      <c r="JZ672" s="9"/>
      <c r="KA672" s="9"/>
      <c r="KB672" s="9"/>
      <c r="KC672" s="9"/>
      <c r="KD672" s="9"/>
      <c r="KE672" s="9"/>
      <c r="KF672" s="9"/>
      <c r="KG672" s="9"/>
      <c r="KH672" s="9"/>
      <c r="KI672" s="9"/>
      <c r="KJ672" s="9"/>
      <c r="KK672" s="9"/>
      <c r="KL672" s="9"/>
      <c r="KM672" s="9"/>
      <c r="KN672" s="9"/>
      <c r="KO672" s="9"/>
      <c r="KP672" s="9"/>
      <c r="KQ672" s="9"/>
      <c r="KR672" s="9"/>
      <c r="KS672" s="9"/>
      <c r="KT672" s="9"/>
      <c r="KU672" s="9"/>
      <c r="KV672" s="9"/>
      <c r="KW672" s="9"/>
      <c r="KX672" s="9"/>
      <c r="KY672" s="9"/>
      <c r="KZ672" s="9"/>
      <c r="LA672" s="9"/>
      <c r="LB672" s="9"/>
      <c r="LC672" s="9"/>
      <c r="LD672" s="9"/>
      <c r="LE672" s="9"/>
      <c r="LF672" s="9"/>
      <c r="LG672" s="9"/>
      <c r="LH672" s="9"/>
      <c r="LI672" s="9"/>
      <c r="LJ672" s="9"/>
      <c r="LK672" s="9"/>
      <c r="LL672" s="9"/>
      <c r="LM672" s="9"/>
      <c r="LN672" s="9"/>
      <c r="LO672" s="9"/>
      <c r="LP672" s="9"/>
      <c r="LQ672" s="9"/>
      <c r="LR672" s="9"/>
      <c r="LS672" s="9"/>
      <c r="LT672" s="9"/>
      <c r="LU672" s="9"/>
      <c r="LV672" s="9"/>
      <c r="LW672" s="9"/>
      <c r="LX672" s="9"/>
      <c r="LY672" s="9"/>
      <c r="LZ672" s="9"/>
      <c r="MA672" s="9"/>
      <c r="MB672" s="9"/>
      <c r="MC672" s="9"/>
      <c r="MD672" s="9"/>
      <c r="ME672" s="9"/>
      <c r="MF672" s="9"/>
      <c r="MG672" s="9"/>
      <c r="MH672" s="9"/>
      <c r="MI672" s="9"/>
      <c r="MJ672" s="9"/>
      <c r="MK672" s="9"/>
      <c r="ML672" s="9"/>
      <c r="MM672" s="9"/>
      <c r="MN672" s="9"/>
      <c r="MO672" s="9"/>
      <c r="MP672" s="9"/>
      <c r="MQ672" s="9"/>
      <c r="MR672" s="9"/>
      <c r="MS672" s="9"/>
      <c r="MT672" s="9"/>
      <c r="MU672" s="9"/>
      <c r="MV672" s="9"/>
      <c r="MW672" s="9"/>
      <c r="MX672" s="9"/>
      <c r="MY672" s="9"/>
      <c r="MZ672" s="9"/>
      <c r="NA672" s="9"/>
      <c r="NB672" s="9"/>
      <c r="NC672" s="9"/>
      <c r="ND672" s="9"/>
      <c r="NE672" s="9"/>
      <c r="NF672" s="9"/>
      <c r="NG672" s="9"/>
      <c r="NH672" s="9"/>
      <c r="NI672" s="9"/>
      <c r="NJ672" s="9"/>
      <c r="NK672" s="9"/>
      <c r="NL672" s="9"/>
      <c r="NM672" s="9"/>
      <c r="NN672" s="9"/>
      <c r="NO672" s="9"/>
      <c r="NP672" s="9"/>
      <c r="NQ672" s="9"/>
      <c r="NR672" s="9"/>
      <c r="NS672" s="9"/>
      <c r="NT672" s="9"/>
      <c r="NU672" s="9"/>
      <c r="NV672" s="9"/>
      <c r="NW672" s="9"/>
      <c r="NX672" s="9"/>
      <c r="NY672" s="9"/>
      <c r="NZ672" s="9"/>
      <c r="OA672" s="9"/>
      <c r="OB672" s="9"/>
      <c r="OC672" s="9"/>
      <c r="OD672" s="9"/>
      <c r="OE672" s="9"/>
      <c r="OF672" s="9"/>
      <c r="OG672" s="9"/>
      <c r="OH672" s="9"/>
      <c r="OI672" s="9"/>
      <c r="OJ672" s="9"/>
      <c r="OK672" s="9"/>
      <c r="OL672" s="9"/>
      <c r="OM672" s="9"/>
      <c r="ON672" s="9"/>
      <c r="OO672" s="9"/>
      <c r="OP672" s="9"/>
      <c r="OQ672" s="9"/>
      <c r="OR672" s="9"/>
      <c r="OS672" s="9"/>
      <c r="OT672" s="9"/>
      <c r="OU672" s="9"/>
      <c r="OV672" s="9"/>
      <c r="OW672" s="9"/>
      <c r="OX672" s="9"/>
      <c r="OY672" s="9"/>
      <c r="OZ672" s="9"/>
      <c r="PA672" s="9"/>
      <c r="PB672" s="9"/>
      <c r="PC672" s="9"/>
      <c r="PD672" s="9"/>
      <c r="PE672" s="9"/>
      <c r="PF672" s="9"/>
      <c r="PG672" s="9"/>
      <c r="PH672" s="9"/>
      <c r="PI672" s="9"/>
      <c r="PJ672" s="9"/>
      <c r="PK672" s="9"/>
      <c r="PL672" s="9"/>
      <c r="PM672" s="9"/>
      <c r="PN672" s="9"/>
      <c r="PO672" s="9"/>
      <c r="PP672" s="9"/>
      <c r="PQ672" s="9"/>
      <c r="PR672" s="9"/>
      <c r="PS672" s="9"/>
      <c r="PT672" s="9"/>
      <c r="PU672" s="9"/>
      <c r="PV672" s="9"/>
      <c r="PW672" s="9"/>
      <c r="PX672" s="9"/>
      <c r="PY672" s="9"/>
      <c r="PZ672" s="9"/>
      <c r="QA672" s="9"/>
      <c r="QB672" s="9"/>
      <c r="QC672" s="9"/>
      <c r="QD672" s="9"/>
      <c r="QE672" s="9"/>
      <c r="QF672" s="9"/>
      <c r="QG672" s="9"/>
      <c r="QH672" s="9"/>
      <c r="QI672" s="9"/>
      <c r="QJ672" s="9"/>
      <c r="QK672" s="9"/>
      <c r="QL672" s="9"/>
      <c r="QM672" s="9"/>
      <c r="QN672" s="9"/>
      <c r="QO672" s="9"/>
      <c r="QP672" s="9"/>
      <c r="QQ672" s="9"/>
      <c r="QR672" s="9"/>
      <c r="QS672" s="9"/>
      <c r="QT672" s="9"/>
      <c r="QU672" s="9"/>
      <c r="QV672" s="9"/>
      <c r="QW672" s="9"/>
      <c r="QX672" s="9"/>
      <c r="QY672" s="9"/>
      <c r="QZ672" s="9"/>
      <c r="RA672" s="9"/>
      <c r="RB672" s="9"/>
      <c r="RC672" s="9"/>
      <c r="RD672" s="9"/>
      <c r="RE672" s="9"/>
      <c r="RF672" s="9"/>
      <c r="RG672" s="9"/>
      <c r="RH672" s="9"/>
      <c r="RI672" s="9"/>
      <c r="RJ672" s="9"/>
      <c r="RK672" s="9"/>
      <c r="RL672" s="9"/>
      <c r="RM672" s="9"/>
      <c r="RN672" s="9"/>
      <c r="RO672" s="9"/>
      <c r="RP672" s="9"/>
      <c r="RQ672" s="9"/>
      <c r="RR672" s="9"/>
      <c r="RS672" s="9"/>
      <c r="RT672" s="9"/>
      <c r="RU672" s="9"/>
      <c r="RV672" s="9"/>
      <c r="RW672" s="9"/>
      <c r="RX672" s="9"/>
      <c r="RY672" s="9"/>
      <c r="RZ672" s="9"/>
      <c r="SA672" s="9"/>
      <c r="SB672" s="9"/>
      <c r="SC672" s="9"/>
      <c r="SD672" s="9"/>
      <c r="SE672" s="9"/>
      <c r="SF672" s="9"/>
      <c r="SG672" s="9"/>
      <c r="SH672" s="9"/>
      <c r="SI672" s="9"/>
      <c r="SJ672" s="9"/>
      <c r="SK672" s="9"/>
      <c r="SL672" s="9"/>
      <c r="SM672" s="9"/>
      <c r="SN672" s="9"/>
      <c r="SO672" s="9"/>
      <c r="SP672" s="9"/>
      <c r="SQ672" s="9"/>
      <c r="SR672" s="9"/>
      <c r="SS672" s="9"/>
      <c r="ST672" s="9"/>
      <c r="SU672" s="9"/>
      <c r="SV672" s="9"/>
      <c r="SW672" s="9"/>
      <c r="SX672" s="9"/>
      <c r="SY672" s="9"/>
      <c r="SZ672" s="9"/>
      <c r="TA672" s="9"/>
      <c r="TB672" s="9"/>
      <c r="TC672" s="9"/>
      <c r="TD672" s="9"/>
      <c r="TE672" s="9"/>
      <c r="TF672" s="9"/>
      <c r="TG672" s="9"/>
      <c r="TH672" s="9"/>
      <c r="TI672" s="9"/>
      <c r="TJ672" s="9"/>
      <c r="TK672" s="9"/>
      <c r="TL672" s="9"/>
      <c r="TM672" s="9"/>
      <c r="TN672" s="9"/>
      <c r="TO672" s="9"/>
      <c r="TP672" s="9"/>
      <c r="TQ672" s="9"/>
      <c r="TR672" s="9"/>
      <c r="TS672" s="9"/>
      <c r="TT672" s="9"/>
      <c r="TU672" s="9"/>
      <c r="TV672" s="9"/>
      <c r="TW672" s="9"/>
      <c r="TX672" s="9"/>
      <c r="TY672" s="9"/>
      <c r="TZ672" s="9"/>
      <c r="UA672" s="9"/>
      <c r="UB672" s="9"/>
      <c r="UC672" s="9"/>
      <c r="UD672" s="9"/>
      <c r="UE672" s="9"/>
      <c r="UF672" s="9"/>
      <c r="UG672" s="9"/>
      <c r="UH672" s="9"/>
      <c r="UI672" s="9"/>
      <c r="UJ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  <c r="IC673" s="9"/>
      <c r="ID673" s="9"/>
      <c r="IE673" s="9"/>
      <c r="IF673" s="9"/>
      <c r="IG673" s="9"/>
      <c r="IH673" s="9"/>
      <c r="II673" s="9"/>
      <c r="IJ673" s="9"/>
      <c r="IK673" s="9"/>
      <c r="IL673" s="9"/>
      <c r="IM673" s="9"/>
      <c r="IN673" s="9"/>
      <c r="IO673" s="9"/>
      <c r="IP673" s="9"/>
      <c r="IQ673" s="9"/>
      <c r="IR673" s="9"/>
      <c r="IS673" s="9"/>
      <c r="IT673" s="9"/>
      <c r="IU673" s="9"/>
      <c r="IV673" s="9"/>
      <c r="IW673" s="9"/>
      <c r="IX673" s="9"/>
      <c r="IY673" s="9"/>
      <c r="IZ673" s="9"/>
      <c r="JA673" s="9"/>
      <c r="JB673" s="9"/>
      <c r="JC673" s="9"/>
      <c r="JD673" s="9"/>
      <c r="JE673" s="9"/>
      <c r="JF673" s="9"/>
      <c r="JG673" s="9"/>
      <c r="JH673" s="9"/>
      <c r="JI673" s="9"/>
      <c r="JJ673" s="9"/>
      <c r="JK673" s="9"/>
      <c r="JL673" s="9"/>
      <c r="JM673" s="9"/>
      <c r="JN673" s="9"/>
      <c r="JO673" s="9"/>
      <c r="JP673" s="9"/>
      <c r="JQ673" s="9"/>
      <c r="JR673" s="9"/>
      <c r="JS673" s="9"/>
      <c r="JT673" s="9"/>
      <c r="JU673" s="9"/>
      <c r="JV673" s="9"/>
      <c r="JW673" s="9"/>
      <c r="JX673" s="9"/>
      <c r="JY673" s="9"/>
      <c r="JZ673" s="9"/>
      <c r="KA673" s="9"/>
      <c r="KB673" s="9"/>
      <c r="KC673" s="9"/>
      <c r="KD673" s="9"/>
      <c r="KE673" s="9"/>
      <c r="KF673" s="9"/>
      <c r="KG673" s="9"/>
      <c r="KH673" s="9"/>
      <c r="KI673" s="9"/>
      <c r="KJ673" s="9"/>
      <c r="KK673" s="9"/>
      <c r="KL673" s="9"/>
      <c r="KM673" s="9"/>
      <c r="KN673" s="9"/>
      <c r="KO673" s="9"/>
      <c r="KP673" s="9"/>
      <c r="KQ673" s="9"/>
      <c r="KR673" s="9"/>
      <c r="KS673" s="9"/>
      <c r="KT673" s="9"/>
      <c r="KU673" s="9"/>
      <c r="KV673" s="9"/>
      <c r="KW673" s="9"/>
      <c r="KX673" s="9"/>
      <c r="KY673" s="9"/>
      <c r="KZ673" s="9"/>
      <c r="LA673" s="9"/>
      <c r="LB673" s="9"/>
      <c r="LC673" s="9"/>
      <c r="LD673" s="9"/>
      <c r="LE673" s="9"/>
      <c r="LF673" s="9"/>
      <c r="LG673" s="9"/>
      <c r="LH673" s="9"/>
      <c r="LI673" s="9"/>
      <c r="LJ673" s="9"/>
      <c r="LK673" s="9"/>
      <c r="LL673" s="9"/>
      <c r="LM673" s="9"/>
      <c r="LN673" s="9"/>
      <c r="LO673" s="9"/>
      <c r="LP673" s="9"/>
      <c r="LQ673" s="9"/>
      <c r="LR673" s="9"/>
      <c r="LS673" s="9"/>
      <c r="LT673" s="9"/>
      <c r="LU673" s="9"/>
      <c r="LV673" s="9"/>
      <c r="LW673" s="9"/>
      <c r="LX673" s="9"/>
      <c r="LY673" s="9"/>
      <c r="LZ673" s="9"/>
      <c r="MA673" s="9"/>
      <c r="MB673" s="9"/>
      <c r="MC673" s="9"/>
      <c r="MD673" s="9"/>
      <c r="ME673" s="9"/>
      <c r="MF673" s="9"/>
      <c r="MG673" s="9"/>
      <c r="MH673" s="9"/>
      <c r="MI673" s="9"/>
      <c r="MJ673" s="9"/>
      <c r="MK673" s="9"/>
      <c r="ML673" s="9"/>
      <c r="MM673" s="9"/>
      <c r="MN673" s="9"/>
      <c r="MO673" s="9"/>
      <c r="MP673" s="9"/>
      <c r="MQ673" s="9"/>
      <c r="MR673" s="9"/>
      <c r="MS673" s="9"/>
      <c r="MT673" s="9"/>
      <c r="MU673" s="9"/>
      <c r="MV673" s="9"/>
      <c r="MW673" s="9"/>
      <c r="MX673" s="9"/>
      <c r="MY673" s="9"/>
      <c r="MZ673" s="9"/>
      <c r="NA673" s="9"/>
      <c r="NB673" s="9"/>
      <c r="NC673" s="9"/>
      <c r="ND673" s="9"/>
      <c r="NE673" s="9"/>
      <c r="NF673" s="9"/>
      <c r="NG673" s="9"/>
      <c r="NH673" s="9"/>
      <c r="NI673" s="9"/>
      <c r="NJ673" s="9"/>
      <c r="NK673" s="9"/>
      <c r="NL673" s="9"/>
      <c r="NM673" s="9"/>
      <c r="NN673" s="9"/>
      <c r="NO673" s="9"/>
      <c r="NP673" s="9"/>
      <c r="NQ673" s="9"/>
      <c r="NR673" s="9"/>
      <c r="NS673" s="9"/>
      <c r="NT673" s="9"/>
      <c r="NU673" s="9"/>
      <c r="NV673" s="9"/>
      <c r="NW673" s="9"/>
      <c r="NX673" s="9"/>
      <c r="NY673" s="9"/>
      <c r="NZ673" s="9"/>
      <c r="OA673" s="9"/>
      <c r="OB673" s="9"/>
      <c r="OC673" s="9"/>
      <c r="OD673" s="9"/>
      <c r="OE673" s="9"/>
      <c r="OF673" s="9"/>
      <c r="OG673" s="9"/>
      <c r="OH673" s="9"/>
      <c r="OI673" s="9"/>
      <c r="OJ673" s="9"/>
      <c r="OK673" s="9"/>
      <c r="OL673" s="9"/>
      <c r="OM673" s="9"/>
      <c r="ON673" s="9"/>
      <c r="OO673" s="9"/>
      <c r="OP673" s="9"/>
      <c r="OQ673" s="9"/>
      <c r="OR673" s="9"/>
      <c r="OS673" s="9"/>
      <c r="OT673" s="9"/>
      <c r="OU673" s="9"/>
      <c r="OV673" s="9"/>
      <c r="OW673" s="9"/>
      <c r="OX673" s="9"/>
      <c r="OY673" s="9"/>
      <c r="OZ673" s="9"/>
      <c r="PA673" s="9"/>
      <c r="PB673" s="9"/>
      <c r="PC673" s="9"/>
      <c r="PD673" s="9"/>
      <c r="PE673" s="9"/>
      <c r="PF673" s="9"/>
      <c r="PG673" s="9"/>
      <c r="PH673" s="9"/>
      <c r="PI673" s="9"/>
      <c r="PJ673" s="9"/>
      <c r="PK673" s="9"/>
      <c r="PL673" s="9"/>
      <c r="PM673" s="9"/>
      <c r="PN673" s="9"/>
      <c r="PO673" s="9"/>
      <c r="PP673" s="9"/>
      <c r="PQ673" s="9"/>
      <c r="PR673" s="9"/>
      <c r="PS673" s="9"/>
      <c r="PT673" s="9"/>
      <c r="PU673" s="9"/>
      <c r="PV673" s="9"/>
      <c r="PW673" s="9"/>
      <c r="PX673" s="9"/>
      <c r="PY673" s="9"/>
      <c r="PZ673" s="9"/>
      <c r="QA673" s="9"/>
      <c r="QB673" s="9"/>
      <c r="QC673" s="9"/>
      <c r="QD673" s="9"/>
      <c r="QE673" s="9"/>
      <c r="QF673" s="9"/>
      <c r="QG673" s="9"/>
      <c r="QH673" s="9"/>
      <c r="QI673" s="9"/>
      <c r="QJ673" s="9"/>
      <c r="QK673" s="9"/>
      <c r="QL673" s="9"/>
      <c r="QM673" s="9"/>
      <c r="QN673" s="9"/>
      <c r="QO673" s="9"/>
      <c r="QP673" s="9"/>
      <c r="QQ673" s="9"/>
      <c r="QR673" s="9"/>
      <c r="QS673" s="9"/>
      <c r="QT673" s="9"/>
      <c r="QU673" s="9"/>
      <c r="QV673" s="9"/>
      <c r="QW673" s="9"/>
      <c r="QX673" s="9"/>
      <c r="QY673" s="9"/>
      <c r="QZ673" s="9"/>
      <c r="RA673" s="9"/>
      <c r="RB673" s="9"/>
      <c r="RC673" s="9"/>
      <c r="RD673" s="9"/>
      <c r="RE673" s="9"/>
      <c r="RF673" s="9"/>
      <c r="RG673" s="9"/>
      <c r="RH673" s="9"/>
      <c r="RI673" s="9"/>
      <c r="RJ673" s="9"/>
      <c r="RK673" s="9"/>
      <c r="RL673" s="9"/>
      <c r="RM673" s="9"/>
      <c r="RN673" s="9"/>
      <c r="RO673" s="9"/>
      <c r="RP673" s="9"/>
      <c r="RQ673" s="9"/>
      <c r="RR673" s="9"/>
      <c r="RS673" s="9"/>
      <c r="RT673" s="9"/>
      <c r="RU673" s="9"/>
      <c r="RV673" s="9"/>
      <c r="RW673" s="9"/>
      <c r="RX673" s="9"/>
      <c r="RY673" s="9"/>
      <c r="RZ673" s="9"/>
      <c r="SA673" s="9"/>
      <c r="SB673" s="9"/>
      <c r="SC673" s="9"/>
      <c r="SD673" s="9"/>
      <c r="SE673" s="9"/>
      <c r="SF673" s="9"/>
      <c r="SG673" s="9"/>
      <c r="SH673" s="9"/>
      <c r="SI673" s="9"/>
      <c r="SJ673" s="9"/>
      <c r="SK673" s="9"/>
      <c r="SL673" s="9"/>
      <c r="SM673" s="9"/>
      <c r="SN673" s="9"/>
      <c r="SO673" s="9"/>
      <c r="SP673" s="9"/>
      <c r="SQ673" s="9"/>
      <c r="SR673" s="9"/>
      <c r="SS673" s="9"/>
      <c r="ST673" s="9"/>
      <c r="SU673" s="9"/>
      <c r="SV673" s="9"/>
      <c r="SW673" s="9"/>
      <c r="SX673" s="9"/>
      <c r="SY673" s="9"/>
      <c r="SZ673" s="9"/>
      <c r="TA673" s="9"/>
      <c r="TB673" s="9"/>
      <c r="TC673" s="9"/>
      <c r="TD673" s="9"/>
      <c r="TE673" s="9"/>
      <c r="TF673" s="9"/>
      <c r="TG673" s="9"/>
      <c r="TH673" s="9"/>
      <c r="TI673" s="9"/>
      <c r="TJ673" s="9"/>
      <c r="TK673" s="9"/>
      <c r="TL673" s="9"/>
      <c r="TM673" s="9"/>
      <c r="TN673" s="9"/>
      <c r="TO673" s="9"/>
      <c r="TP673" s="9"/>
      <c r="TQ673" s="9"/>
      <c r="TR673" s="9"/>
      <c r="TS673" s="9"/>
      <c r="TT673" s="9"/>
      <c r="TU673" s="9"/>
      <c r="TV673" s="9"/>
      <c r="TW673" s="9"/>
      <c r="TX673" s="9"/>
      <c r="TY673" s="9"/>
      <c r="TZ673" s="9"/>
      <c r="UA673" s="9"/>
      <c r="UB673" s="9"/>
      <c r="UC673" s="9"/>
      <c r="UD673" s="9"/>
      <c r="UE673" s="9"/>
      <c r="UF673" s="9"/>
      <c r="UG673" s="9"/>
      <c r="UH673" s="9"/>
      <c r="UI673" s="9"/>
      <c r="UJ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  <c r="IN674" s="9"/>
      <c r="IO674" s="9"/>
      <c r="IP674" s="9"/>
      <c r="IQ674" s="9"/>
      <c r="IR674" s="9"/>
      <c r="IS674" s="9"/>
      <c r="IT674" s="9"/>
      <c r="IU674" s="9"/>
      <c r="IV674" s="9"/>
      <c r="IW674" s="9"/>
      <c r="IX674" s="9"/>
      <c r="IY674" s="9"/>
      <c r="IZ674" s="9"/>
      <c r="JA674" s="9"/>
      <c r="JB674" s="9"/>
      <c r="JC674" s="9"/>
      <c r="JD674" s="9"/>
      <c r="JE674" s="9"/>
      <c r="JF674" s="9"/>
      <c r="JG674" s="9"/>
      <c r="JH674" s="9"/>
      <c r="JI674" s="9"/>
      <c r="JJ674" s="9"/>
      <c r="JK674" s="9"/>
      <c r="JL674" s="9"/>
      <c r="JM674" s="9"/>
      <c r="JN674" s="9"/>
      <c r="JO674" s="9"/>
      <c r="JP674" s="9"/>
      <c r="JQ674" s="9"/>
      <c r="JR674" s="9"/>
      <c r="JS674" s="9"/>
      <c r="JT674" s="9"/>
      <c r="JU674" s="9"/>
      <c r="JV674" s="9"/>
      <c r="JW674" s="9"/>
      <c r="JX674" s="9"/>
      <c r="JY674" s="9"/>
      <c r="JZ674" s="9"/>
      <c r="KA674" s="9"/>
      <c r="KB674" s="9"/>
      <c r="KC674" s="9"/>
      <c r="KD674" s="9"/>
      <c r="KE674" s="9"/>
      <c r="KF674" s="9"/>
      <c r="KG674" s="9"/>
      <c r="KH674" s="9"/>
      <c r="KI674" s="9"/>
      <c r="KJ674" s="9"/>
      <c r="KK674" s="9"/>
      <c r="KL674" s="9"/>
      <c r="KM674" s="9"/>
      <c r="KN674" s="9"/>
      <c r="KO674" s="9"/>
      <c r="KP674" s="9"/>
      <c r="KQ674" s="9"/>
      <c r="KR674" s="9"/>
      <c r="KS674" s="9"/>
      <c r="KT674" s="9"/>
      <c r="KU674" s="9"/>
      <c r="KV674" s="9"/>
      <c r="KW674" s="9"/>
      <c r="KX674" s="9"/>
      <c r="KY674" s="9"/>
      <c r="KZ674" s="9"/>
      <c r="LA674" s="9"/>
      <c r="LB674" s="9"/>
      <c r="LC674" s="9"/>
      <c r="LD674" s="9"/>
      <c r="LE674" s="9"/>
      <c r="LF674" s="9"/>
      <c r="LG674" s="9"/>
      <c r="LH674" s="9"/>
      <c r="LI674" s="9"/>
      <c r="LJ674" s="9"/>
      <c r="LK674" s="9"/>
      <c r="LL674" s="9"/>
      <c r="LM674" s="9"/>
      <c r="LN674" s="9"/>
      <c r="LO674" s="9"/>
      <c r="LP674" s="9"/>
      <c r="LQ674" s="9"/>
      <c r="LR674" s="9"/>
      <c r="LS674" s="9"/>
      <c r="LT674" s="9"/>
      <c r="LU674" s="9"/>
      <c r="LV674" s="9"/>
      <c r="LW674" s="9"/>
      <c r="LX674" s="9"/>
      <c r="LY674" s="9"/>
      <c r="LZ674" s="9"/>
      <c r="MA674" s="9"/>
      <c r="MB674" s="9"/>
      <c r="MC674" s="9"/>
      <c r="MD674" s="9"/>
      <c r="ME674" s="9"/>
      <c r="MF674" s="9"/>
      <c r="MG674" s="9"/>
      <c r="MH674" s="9"/>
      <c r="MI674" s="9"/>
      <c r="MJ674" s="9"/>
      <c r="MK674" s="9"/>
      <c r="ML674" s="9"/>
      <c r="MM674" s="9"/>
      <c r="MN674" s="9"/>
      <c r="MO674" s="9"/>
      <c r="MP674" s="9"/>
      <c r="MQ674" s="9"/>
      <c r="MR674" s="9"/>
      <c r="MS674" s="9"/>
      <c r="MT674" s="9"/>
      <c r="MU674" s="9"/>
      <c r="MV674" s="9"/>
      <c r="MW674" s="9"/>
      <c r="MX674" s="9"/>
      <c r="MY674" s="9"/>
      <c r="MZ674" s="9"/>
      <c r="NA674" s="9"/>
      <c r="NB674" s="9"/>
      <c r="NC674" s="9"/>
      <c r="ND674" s="9"/>
      <c r="NE674" s="9"/>
      <c r="NF674" s="9"/>
      <c r="NG674" s="9"/>
      <c r="NH674" s="9"/>
      <c r="NI674" s="9"/>
      <c r="NJ674" s="9"/>
      <c r="NK674" s="9"/>
      <c r="NL674" s="9"/>
      <c r="NM674" s="9"/>
      <c r="NN674" s="9"/>
      <c r="NO674" s="9"/>
      <c r="NP674" s="9"/>
      <c r="NQ674" s="9"/>
      <c r="NR674" s="9"/>
      <c r="NS674" s="9"/>
      <c r="NT674" s="9"/>
      <c r="NU674" s="9"/>
      <c r="NV674" s="9"/>
      <c r="NW674" s="9"/>
      <c r="NX674" s="9"/>
      <c r="NY674" s="9"/>
      <c r="NZ674" s="9"/>
      <c r="OA674" s="9"/>
      <c r="OB674" s="9"/>
      <c r="OC674" s="9"/>
      <c r="OD674" s="9"/>
      <c r="OE674" s="9"/>
      <c r="OF674" s="9"/>
      <c r="OG674" s="9"/>
      <c r="OH674" s="9"/>
      <c r="OI674" s="9"/>
      <c r="OJ674" s="9"/>
      <c r="OK674" s="9"/>
      <c r="OL674" s="9"/>
      <c r="OM674" s="9"/>
      <c r="ON674" s="9"/>
      <c r="OO674" s="9"/>
      <c r="OP674" s="9"/>
      <c r="OQ674" s="9"/>
      <c r="OR674" s="9"/>
      <c r="OS674" s="9"/>
      <c r="OT674" s="9"/>
      <c r="OU674" s="9"/>
      <c r="OV674" s="9"/>
      <c r="OW674" s="9"/>
      <c r="OX674" s="9"/>
      <c r="OY674" s="9"/>
      <c r="OZ674" s="9"/>
      <c r="PA674" s="9"/>
      <c r="PB674" s="9"/>
      <c r="PC674" s="9"/>
      <c r="PD674" s="9"/>
      <c r="PE674" s="9"/>
      <c r="PF674" s="9"/>
      <c r="PG674" s="9"/>
      <c r="PH674" s="9"/>
      <c r="PI674" s="9"/>
      <c r="PJ674" s="9"/>
      <c r="PK674" s="9"/>
      <c r="PL674" s="9"/>
      <c r="PM674" s="9"/>
      <c r="PN674" s="9"/>
      <c r="PO674" s="9"/>
      <c r="PP674" s="9"/>
      <c r="PQ674" s="9"/>
      <c r="PR674" s="9"/>
      <c r="PS674" s="9"/>
      <c r="PT674" s="9"/>
      <c r="PU674" s="9"/>
      <c r="PV674" s="9"/>
      <c r="PW674" s="9"/>
      <c r="PX674" s="9"/>
      <c r="PY674" s="9"/>
      <c r="PZ674" s="9"/>
      <c r="QA674" s="9"/>
      <c r="QB674" s="9"/>
      <c r="QC674" s="9"/>
      <c r="QD674" s="9"/>
      <c r="QE674" s="9"/>
      <c r="QF674" s="9"/>
      <c r="QG674" s="9"/>
      <c r="QH674" s="9"/>
      <c r="QI674" s="9"/>
      <c r="QJ674" s="9"/>
      <c r="QK674" s="9"/>
      <c r="QL674" s="9"/>
      <c r="QM674" s="9"/>
      <c r="QN674" s="9"/>
      <c r="QO674" s="9"/>
      <c r="QP674" s="9"/>
      <c r="QQ674" s="9"/>
      <c r="QR674" s="9"/>
      <c r="QS674" s="9"/>
      <c r="QT674" s="9"/>
      <c r="QU674" s="9"/>
      <c r="QV674" s="9"/>
      <c r="QW674" s="9"/>
      <c r="QX674" s="9"/>
      <c r="QY674" s="9"/>
      <c r="QZ674" s="9"/>
      <c r="RA674" s="9"/>
      <c r="RB674" s="9"/>
      <c r="RC674" s="9"/>
      <c r="RD674" s="9"/>
      <c r="RE674" s="9"/>
      <c r="RF674" s="9"/>
      <c r="RG674" s="9"/>
      <c r="RH674" s="9"/>
      <c r="RI674" s="9"/>
      <c r="RJ674" s="9"/>
      <c r="RK674" s="9"/>
      <c r="RL674" s="9"/>
      <c r="RM674" s="9"/>
      <c r="RN674" s="9"/>
      <c r="RO674" s="9"/>
      <c r="RP674" s="9"/>
      <c r="RQ674" s="9"/>
      <c r="RR674" s="9"/>
      <c r="RS674" s="9"/>
      <c r="RT674" s="9"/>
      <c r="RU674" s="9"/>
      <c r="RV674" s="9"/>
      <c r="RW674" s="9"/>
      <c r="RX674" s="9"/>
      <c r="RY674" s="9"/>
      <c r="RZ674" s="9"/>
      <c r="SA674" s="9"/>
      <c r="SB674" s="9"/>
      <c r="SC674" s="9"/>
      <c r="SD674" s="9"/>
      <c r="SE674" s="9"/>
      <c r="SF674" s="9"/>
      <c r="SG674" s="9"/>
      <c r="SH674" s="9"/>
      <c r="SI674" s="9"/>
      <c r="SJ674" s="9"/>
      <c r="SK674" s="9"/>
      <c r="SL674" s="9"/>
      <c r="SM674" s="9"/>
      <c r="SN674" s="9"/>
      <c r="SO674" s="9"/>
      <c r="SP674" s="9"/>
      <c r="SQ674" s="9"/>
      <c r="SR674" s="9"/>
      <c r="SS674" s="9"/>
      <c r="ST674" s="9"/>
      <c r="SU674" s="9"/>
      <c r="SV674" s="9"/>
      <c r="SW674" s="9"/>
      <c r="SX674" s="9"/>
      <c r="SY674" s="9"/>
      <c r="SZ674" s="9"/>
      <c r="TA674" s="9"/>
      <c r="TB674" s="9"/>
      <c r="TC674" s="9"/>
      <c r="TD674" s="9"/>
      <c r="TE674" s="9"/>
      <c r="TF674" s="9"/>
      <c r="TG674" s="9"/>
      <c r="TH674" s="9"/>
      <c r="TI674" s="9"/>
      <c r="TJ674" s="9"/>
      <c r="TK674" s="9"/>
      <c r="TL674" s="9"/>
      <c r="TM674" s="9"/>
      <c r="TN674" s="9"/>
      <c r="TO674" s="9"/>
      <c r="TP674" s="9"/>
      <c r="TQ674" s="9"/>
      <c r="TR674" s="9"/>
      <c r="TS674" s="9"/>
      <c r="TT674" s="9"/>
      <c r="TU674" s="9"/>
      <c r="TV674" s="9"/>
      <c r="TW674" s="9"/>
      <c r="TX674" s="9"/>
      <c r="TY674" s="9"/>
      <c r="TZ674" s="9"/>
      <c r="UA674" s="9"/>
      <c r="UB674" s="9"/>
      <c r="UC674" s="9"/>
      <c r="UD674" s="9"/>
      <c r="UE674" s="9"/>
      <c r="UF674" s="9"/>
      <c r="UG674" s="9"/>
      <c r="UH674" s="9"/>
      <c r="UI674" s="9"/>
      <c r="UJ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  <c r="IC675" s="9"/>
      <c r="ID675" s="9"/>
      <c r="IE675" s="9"/>
      <c r="IF675" s="9"/>
      <c r="IG675" s="9"/>
      <c r="IH675" s="9"/>
      <c r="II675" s="9"/>
      <c r="IJ675" s="9"/>
      <c r="IK675" s="9"/>
      <c r="IL675" s="9"/>
      <c r="IM675" s="9"/>
      <c r="IN675" s="9"/>
      <c r="IO675" s="9"/>
      <c r="IP675" s="9"/>
      <c r="IQ675" s="9"/>
      <c r="IR675" s="9"/>
      <c r="IS675" s="9"/>
      <c r="IT675" s="9"/>
      <c r="IU675" s="9"/>
      <c r="IV675" s="9"/>
      <c r="IW675" s="9"/>
      <c r="IX675" s="9"/>
      <c r="IY675" s="9"/>
      <c r="IZ675" s="9"/>
      <c r="JA675" s="9"/>
      <c r="JB675" s="9"/>
      <c r="JC675" s="9"/>
      <c r="JD675" s="9"/>
      <c r="JE675" s="9"/>
      <c r="JF675" s="9"/>
      <c r="JG675" s="9"/>
      <c r="JH675" s="9"/>
      <c r="JI675" s="9"/>
      <c r="JJ675" s="9"/>
      <c r="JK675" s="9"/>
      <c r="JL675" s="9"/>
      <c r="JM675" s="9"/>
      <c r="JN675" s="9"/>
      <c r="JO675" s="9"/>
      <c r="JP675" s="9"/>
      <c r="JQ675" s="9"/>
      <c r="JR675" s="9"/>
      <c r="JS675" s="9"/>
      <c r="JT675" s="9"/>
      <c r="JU675" s="9"/>
      <c r="JV675" s="9"/>
      <c r="JW675" s="9"/>
      <c r="JX675" s="9"/>
      <c r="JY675" s="9"/>
      <c r="JZ675" s="9"/>
      <c r="KA675" s="9"/>
      <c r="KB675" s="9"/>
      <c r="KC675" s="9"/>
      <c r="KD675" s="9"/>
      <c r="KE675" s="9"/>
      <c r="KF675" s="9"/>
      <c r="KG675" s="9"/>
      <c r="KH675" s="9"/>
      <c r="KI675" s="9"/>
      <c r="KJ675" s="9"/>
      <c r="KK675" s="9"/>
      <c r="KL675" s="9"/>
      <c r="KM675" s="9"/>
      <c r="KN675" s="9"/>
      <c r="KO675" s="9"/>
      <c r="KP675" s="9"/>
      <c r="KQ675" s="9"/>
      <c r="KR675" s="9"/>
      <c r="KS675" s="9"/>
      <c r="KT675" s="9"/>
      <c r="KU675" s="9"/>
      <c r="KV675" s="9"/>
      <c r="KW675" s="9"/>
      <c r="KX675" s="9"/>
      <c r="KY675" s="9"/>
      <c r="KZ675" s="9"/>
      <c r="LA675" s="9"/>
      <c r="LB675" s="9"/>
      <c r="LC675" s="9"/>
      <c r="LD675" s="9"/>
      <c r="LE675" s="9"/>
      <c r="LF675" s="9"/>
      <c r="LG675" s="9"/>
      <c r="LH675" s="9"/>
      <c r="LI675" s="9"/>
      <c r="LJ675" s="9"/>
      <c r="LK675" s="9"/>
      <c r="LL675" s="9"/>
      <c r="LM675" s="9"/>
      <c r="LN675" s="9"/>
      <c r="LO675" s="9"/>
      <c r="LP675" s="9"/>
      <c r="LQ675" s="9"/>
      <c r="LR675" s="9"/>
      <c r="LS675" s="9"/>
      <c r="LT675" s="9"/>
      <c r="LU675" s="9"/>
      <c r="LV675" s="9"/>
      <c r="LW675" s="9"/>
      <c r="LX675" s="9"/>
      <c r="LY675" s="9"/>
      <c r="LZ675" s="9"/>
      <c r="MA675" s="9"/>
      <c r="MB675" s="9"/>
      <c r="MC675" s="9"/>
      <c r="MD675" s="9"/>
      <c r="ME675" s="9"/>
      <c r="MF675" s="9"/>
      <c r="MG675" s="9"/>
      <c r="MH675" s="9"/>
      <c r="MI675" s="9"/>
      <c r="MJ675" s="9"/>
      <c r="MK675" s="9"/>
      <c r="ML675" s="9"/>
      <c r="MM675" s="9"/>
      <c r="MN675" s="9"/>
      <c r="MO675" s="9"/>
      <c r="MP675" s="9"/>
      <c r="MQ675" s="9"/>
      <c r="MR675" s="9"/>
      <c r="MS675" s="9"/>
      <c r="MT675" s="9"/>
      <c r="MU675" s="9"/>
      <c r="MV675" s="9"/>
      <c r="MW675" s="9"/>
      <c r="MX675" s="9"/>
      <c r="MY675" s="9"/>
      <c r="MZ675" s="9"/>
      <c r="NA675" s="9"/>
      <c r="NB675" s="9"/>
      <c r="NC675" s="9"/>
      <c r="ND675" s="9"/>
      <c r="NE675" s="9"/>
      <c r="NF675" s="9"/>
      <c r="NG675" s="9"/>
      <c r="NH675" s="9"/>
      <c r="NI675" s="9"/>
      <c r="NJ675" s="9"/>
      <c r="NK675" s="9"/>
      <c r="NL675" s="9"/>
      <c r="NM675" s="9"/>
      <c r="NN675" s="9"/>
      <c r="NO675" s="9"/>
      <c r="NP675" s="9"/>
      <c r="NQ675" s="9"/>
      <c r="NR675" s="9"/>
      <c r="NS675" s="9"/>
      <c r="NT675" s="9"/>
      <c r="NU675" s="9"/>
      <c r="NV675" s="9"/>
      <c r="NW675" s="9"/>
      <c r="NX675" s="9"/>
      <c r="NY675" s="9"/>
      <c r="NZ675" s="9"/>
      <c r="OA675" s="9"/>
      <c r="OB675" s="9"/>
      <c r="OC675" s="9"/>
      <c r="OD675" s="9"/>
      <c r="OE675" s="9"/>
      <c r="OF675" s="9"/>
      <c r="OG675" s="9"/>
      <c r="OH675" s="9"/>
      <c r="OI675" s="9"/>
      <c r="OJ675" s="9"/>
      <c r="OK675" s="9"/>
      <c r="OL675" s="9"/>
      <c r="OM675" s="9"/>
      <c r="ON675" s="9"/>
      <c r="OO675" s="9"/>
      <c r="OP675" s="9"/>
      <c r="OQ675" s="9"/>
      <c r="OR675" s="9"/>
      <c r="OS675" s="9"/>
      <c r="OT675" s="9"/>
      <c r="OU675" s="9"/>
      <c r="OV675" s="9"/>
      <c r="OW675" s="9"/>
      <c r="OX675" s="9"/>
      <c r="OY675" s="9"/>
      <c r="OZ675" s="9"/>
      <c r="PA675" s="9"/>
      <c r="PB675" s="9"/>
      <c r="PC675" s="9"/>
      <c r="PD675" s="9"/>
      <c r="PE675" s="9"/>
      <c r="PF675" s="9"/>
      <c r="PG675" s="9"/>
      <c r="PH675" s="9"/>
      <c r="PI675" s="9"/>
      <c r="PJ675" s="9"/>
      <c r="PK675" s="9"/>
      <c r="PL675" s="9"/>
      <c r="PM675" s="9"/>
      <c r="PN675" s="9"/>
      <c r="PO675" s="9"/>
      <c r="PP675" s="9"/>
      <c r="PQ675" s="9"/>
      <c r="PR675" s="9"/>
      <c r="PS675" s="9"/>
      <c r="PT675" s="9"/>
      <c r="PU675" s="9"/>
      <c r="PV675" s="9"/>
      <c r="PW675" s="9"/>
      <c r="PX675" s="9"/>
      <c r="PY675" s="9"/>
      <c r="PZ675" s="9"/>
      <c r="QA675" s="9"/>
      <c r="QB675" s="9"/>
      <c r="QC675" s="9"/>
      <c r="QD675" s="9"/>
      <c r="QE675" s="9"/>
      <c r="QF675" s="9"/>
      <c r="QG675" s="9"/>
      <c r="QH675" s="9"/>
      <c r="QI675" s="9"/>
      <c r="QJ675" s="9"/>
      <c r="QK675" s="9"/>
      <c r="QL675" s="9"/>
      <c r="QM675" s="9"/>
      <c r="QN675" s="9"/>
      <c r="QO675" s="9"/>
      <c r="QP675" s="9"/>
      <c r="QQ675" s="9"/>
      <c r="QR675" s="9"/>
      <c r="QS675" s="9"/>
      <c r="QT675" s="9"/>
      <c r="QU675" s="9"/>
      <c r="QV675" s="9"/>
      <c r="QW675" s="9"/>
      <c r="QX675" s="9"/>
      <c r="QY675" s="9"/>
      <c r="QZ675" s="9"/>
      <c r="RA675" s="9"/>
      <c r="RB675" s="9"/>
      <c r="RC675" s="9"/>
      <c r="RD675" s="9"/>
      <c r="RE675" s="9"/>
      <c r="RF675" s="9"/>
      <c r="RG675" s="9"/>
      <c r="RH675" s="9"/>
      <c r="RI675" s="9"/>
      <c r="RJ675" s="9"/>
      <c r="RK675" s="9"/>
      <c r="RL675" s="9"/>
      <c r="RM675" s="9"/>
      <c r="RN675" s="9"/>
      <c r="RO675" s="9"/>
      <c r="RP675" s="9"/>
      <c r="RQ675" s="9"/>
      <c r="RR675" s="9"/>
      <c r="RS675" s="9"/>
      <c r="RT675" s="9"/>
      <c r="RU675" s="9"/>
      <c r="RV675" s="9"/>
      <c r="RW675" s="9"/>
      <c r="RX675" s="9"/>
      <c r="RY675" s="9"/>
      <c r="RZ675" s="9"/>
      <c r="SA675" s="9"/>
      <c r="SB675" s="9"/>
      <c r="SC675" s="9"/>
      <c r="SD675" s="9"/>
      <c r="SE675" s="9"/>
      <c r="SF675" s="9"/>
      <c r="SG675" s="9"/>
      <c r="SH675" s="9"/>
      <c r="SI675" s="9"/>
      <c r="SJ675" s="9"/>
      <c r="SK675" s="9"/>
      <c r="SL675" s="9"/>
      <c r="SM675" s="9"/>
      <c r="SN675" s="9"/>
      <c r="SO675" s="9"/>
      <c r="SP675" s="9"/>
      <c r="SQ675" s="9"/>
      <c r="SR675" s="9"/>
      <c r="SS675" s="9"/>
      <c r="ST675" s="9"/>
      <c r="SU675" s="9"/>
      <c r="SV675" s="9"/>
      <c r="SW675" s="9"/>
      <c r="SX675" s="9"/>
      <c r="SY675" s="9"/>
      <c r="SZ675" s="9"/>
      <c r="TA675" s="9"/>
      <c r="TB675" s="9"/>
      <c r="TC675" s="9"/>
      <c r="TD675" s="9"/>
      <c r="TE675" s="9"/>
      <c r="TF675" s="9"/>
      <c r="TG675" s="9"/>
      <c r="TH675" s="9"/>
      <c r="TI675" s="9"/>
      <c r="TJ675" s="9"/>
      <c r="TK675" s="9"/>
      <c r="TL675" s="9"/>
      <c r="TM675" s="9"/>
      <c r="TN675" s="9"/>
      <c r="TO675" s="9"/>
      <c r="TP675" s="9"/>
      <c r="TQ675" s="9"/>
      <c r="TR675" s="9"/>
      <c r="TS675" s="9"/>
      <c r="TT675" s="9"/>
      <c r="TU675" s="9"/>
      <c r="TV675" s="9"/>
      <c r="TW675" s="9"/>
      <c r="TX675" s="9"/>
      <c r="TY675" s="9"/>
      <c r="TZ675" s="9"/>
      <c r="UA675" s="9"/>
      <c r="UB675" s="9"/>
      <c r="UC675" s="9"/>
      <c r="UD675" s="9"/>
      <c r="UE675" s="9"/>
      <c r="UF675" s="9"/>
      <c r="UG675" s="9"/>
      <c r="UH675" s="9"/>
      <c r="UI675" s="9"/>
      <c r="UJ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  <c r="IN676" s="9"/>
      <c r="IO676" s="9"/>
      <c r="IP676" s="9"/>
      <c r="IQ676" s="9"/>
      <c r="IR676" s="9"/>
      <c r="IS676" s="9"/>
      <c r="IT676" s="9"/>
      <c r="IU676" s="9"/>
      <c r="IV676" s="9"/>
      <c r="IW676" s="9"/>
      <c r="IX676" s="9"/>
      <c r="IY676" s="9"/>
      <c r="IZ676" s="9"/>
      <c r="JA676" s="9"/>
      <c r="JB676" s="9"/>
      <c r="JC676" s="9"/>
      <c r="JD676" s="9"/>
      <c r="JE676" s="9"/>
      <c r="JF676" s="9"/>
      <c r="JG676" s="9"/>
      <c r="JH676" s="9"/>
      <c r="JI676" s="9"/>
      <c r="JJ676" s="9"/>
      <c r="JK676" s="9"/>
      <c r="JL676" s="9"/>
      <c r="JM676" s="9"/>
      <c r="JN676" s="9"/>
      <c r="JO676" s="9"/>
      <c r="JP676" s="9"/>
      <c r="JQ676" s="9"/>
      <c r="JR676" s="9"/>
      <c r="JS676" s="9"/>
      <c r="JT676" s="9"/>
      <c r="JU676" s="9"/>
      <c r="JV676" s="9"/>
      <c r="JW676" s="9"/>
      <c r="JX676" s="9"/>
      <c r="JY676" s="9"/>
      <c r="JZ676" s="9"/>
      <c r="KA676" s="9"/>
      <c r="KB676" s="9"/>
      <c r="KC676" s="9"/>
      <c r="KD676" s="9"/>
      <c r="KE676" s="9"/>
      <c r="KF676" s="9"/>
      <c r="KG676" s="9"/>
      <c r="KH676" s="9"/>
      <c r="KI676" s="9"/>
      <c r="KJ676" s="9"/>
      <c r="KK676" s="9"/>
      <c r="KL676" s="9"/>
      <c r="KM676" s="9"/>
      <c r="KN676" s="9"/>
      <c r="KO676" s="9"/>
      <c r="KP676" s="9"/>
      <c r="KQ676" s="9"/>
      <c r="KR676" s="9"/>
      <c r="KS676" s="9"/>
      <c r="KT676" s="9"/>
      <c r="KU676" s="9"/>
      <c r="KV676" s="9"/>
      <c r="KW676" s="9"/>
      <c r="KX676" s="9"/>
      <c r="KY676" s="9"/>
      <c r="KZ676" s="9"/>
      <c r="LA676" s="9"/>
      <c r="LB676" s="9"/>
      <c r="LC676" s="9"/>
      <c r="LD676" s="9"/>
      <c r="LE676" s="9"/>
      <c r="LF676" s="9"/>
      <c r="LG676" s="9"/>
      <c r="LH676" s="9"/>
      <c r="LI676" s="9"/>
      <c r="LJ676" s="9"/>
      <c r="LK676" s="9"/>
      <c r="LL676" s="9"/>
      <c r="LM676" s="9"/>
      <c r="LN676" s="9"/>
      <c r="LO676" s="9"/>
      <c r="LP676" s="9"/>
      <c r="LQ676" s="9"/>
      <c r="LR676" s="9"/>
      <c r="LS676" s="9"/>
      <c r="LT676" s="9"/>
      <c r="LU676" s="9"/>
      <c r="LV676" s="9"/>
      <c r="LW676" s="9"/>
      <c r="LX676" s="9"/>
      <c r="LY676" s="9"/>
      <c r="LZ676" s="9"/>
      <c r="MA676" s="9"/>
      <c r="MB676" s="9"/>
      <c r="MC676" s="9"/>
      <c r="MD676" s="9"/>
      <c r="ME676" s="9"/>
      <c r="MF676" s="9"/>
      <c r="MG676" s="9"/>
      <c r="MH676" s="9"/>
      <c r="MI676" s="9"/>
      <c r="MJ676" s="9"/>
      <c r="MK676" s="9"/>
      <c r="ML676" s="9"/>
      <c r="MM676" s="9"/>
      <c r="MN676" s="9"/>
      <c r="MO676" s="9"/>
      <c r="MP676" s="9"/>
      <c r="MQ676" s="9"/>
      <c r="MR676" s="9"/>
      <c r="MS676" s="9"/>
      <c r="MT676" s="9"/>
      <c r="MU676" s="9"/>
      <c r="MV676" s="9"/>
      <c r="MW676" s="9"/>
      <c r="MX676" s="9"/>
      <c r="MY676" s="9"/>
      <c r="MZ676" s="9"/>
      <c r="NA676" s="9"/>
      <c r="NB676" s="9"/>
      <c r="NC676" s="9"/>
      <c r="ND676" s="9"/>
      <c r="NE676" s="9"/>
      <c r="NF676" s="9"/>
      <c r="NG676" s="9"/>
      <c r="NH676" s="9"/>
      <c r="NI676" s="9"/>
      <c r="NJ676" s="9"/>
      <c r="NK676" s="9"/>
      <c r="NL676" s="9"/>
      <c r="NM676" s="9"/>
      <c r="NN676" s="9"/>
      <c r="NO676" s="9"/>
      <c r="NP676" s="9"/>
      <c r="NQ676" s="9"/>
      <c r="NR676" s="9"/>
      <c r="NS676" s="9"/>
      <c r="NT676" s="9"/>
      <c r="NU676" s="9"/>
      <c r="NV676" s="9"/>
      <c r="NW676" s="9"/>
      <c r="NX676" s="9"/>
      <c r="NY676" s="9"/>
      <c r="NZ676" s="9"/>
      <c r="OA676" s="9"/>
      <c r="OB676" s="9"/>
      <c r="OC676" s="9"/>
      <c r="OD676" s="9"/>
      <c r="OE676" s="9"/>
      <c r="OF676" s="9"/>
      <c r="OG676" s="9"/>
      <c r="OH676" s="9"/>
      <c r="OI676" s="9"/>
      <c r="OJ676" s="9"/>
      <c r="OK676" s="9"/>
      <c r="OL676" s="9"/>
      <c r="OM676" s="9"/>
      <c r="ON676" s="9"/>
      <c r="OO676" s="9"/>
      <c r="OP676" s="9"/>
      <c r="OQ676" s="9"/>
      <c r="OR676" s="9"/>
      <c r="OS676" s="9"/>
      <c r="OT676" s="9"/>
      <c r="OU676" s="9"/>
      <c r="OV676" s="9"/>
      <c r="OW676" s="9"/>
      <c r="OX676" s="9"/>
      <c r="OY676" s="9"/>
      <c r="OZ676" s="9"/>
      <c r="PA676" s="9"/>
      <c r="PB676" s="9"/>
      <c r="PC676" s="9"/>
      <c r="PD676" s="9"/>
      <c r="PE676" s="9"/>
      <c r="PF676" s="9"/>
      <c r="PG676" s="9"/>
      <c r="PH676" s="9"/>
      <c r="PI676" s="9"/>
      <c r="PJ676" s="9"/>
      <c r="PK676" s="9"/>
      <c r="PL676" s="9"/>
      <c r="PM676" s="9"/>
      <c r="PN676" s="9"/>
      <c r="PO676" s="9"/>
      <c r="PP676" s="9"/>
      <c r="PQ676" s="9"/>
      <c r="PR676" s="9"/>
      <c r="PS676" s="9"/>
      <c r="PT676" s="9"/>
      <c r="PU676" s="9"/>
      <c r="PV676" s="9"/>
      <c r="PW676" s="9"/>
      <c r="PX676" s="9"/>
      <c r="PY676" s="9"/>
      <c r="PZ676" s="9"/>
      <c r="QA676" s="9"/>
      <c r="QB676" s="9"/>
      <c r="QC676" s="9"/>
      <c r="QD676" s="9"/>
      <c r="QE676" s="9"/>
      <c r="QF676" s="9"/>
      <c r="QG676" s="9"/>
      <c r="QH676" s="9"/>
      <c r="QI676" s="9"/>
      <c r="QJ676" s="9"/>
      <c r="QK676" s="9"/>
      <c r="QL676" s="9"/>
      <c r="QM676" s="9"/>
      <c r="QN676" s="9"/>
      <c r="QO676" s="9"/>
      <c r="QP676" s="9"/>
      <c r="QQ676" s="9"/>
      <c r="QR676" s="9"/>
      <c r="QS676" s="9"/>
      <c r="QT676" s="9"/>
      <c r="QU676" s="9"/>
      <c r="QV676" s="9"/>
      <c r="QW676" s="9"/>
      <c r="QX676" s="9"/>
      <c r="QY676" s="9"/>
      <c r="QZ676" s="9"/>
      <c r="RA676" s="9"/>
      <c r="RB676" s="9"/>
      <c r="RC676" s="9"/>
      <c r="RD676" s="9"/>
      <c r="RE676" s="9"/>
      <c r="RF676" s="9"/>
      <c r="RG676" s="9"/>
      <c r="RH676" s="9"/>
      <c r="RI676" s="9"/>
      <c r="RJ676" s="9"/>
      <c r="RK676" s="9"/>
      <c r="RL676" s="9"/>
      <c r="RM676" s="9"/>
      <c r="RN676" s="9"/>
      <c r="RO676" s="9"/>
      <c r="RP676" s="9"/>
      <c r="RQ676" s="9"/>
      <c r="RR676" s="9"/>
      <c r="RS676" s="9"/>
      <c r="RT676" s="9"/>
      <c r="RU676" s="9"/>
      <c r="RV676" s="9"/>
      <c r="RW676" s="9"/>
      <c r="RX676" s="9"/>
      <c r="RY676" s="9"/>
      <c r="RZ676" s="9"/>
      <c r="SA676" s="9"/>
      <c r="SB676" s="9"/>
      <c r="SC676" s="9"/>
      <c r="SD676" s="9"/>
      <c r="SE676" s="9"/>
      <c r="SF676" s="9"/>
      <c r="SG676" s="9"/>
      <c r="SH676" s="9"/>
      <c r="SI676" s="9"/>
      <c r="SJ676" s="9"/>
      <c r="SK676" s="9"/>
      <c r="SL676" s="9"/>
      <c r="SM676" s="9"/>
      <c r="SN676" s="9"/>
      <c r="SO676" s="9"/>
      <c r="SP676" s="9"/>
      <c r="SQ676" s="9"/>
      <c r="SR676" s="9"/>
      <c r="SS676" s="9"/>
      <c r="ST676" s="9"/>
      <c r="SU676" s="9"/>
      <c r="SV676" s="9"/>
      <c r="SW676" s="9"/>
      <c r="SX676" s="9"/>
      <c r="SY676" s="9"/>
      <c r="SZ676" s="9"/>
      <c r="TA676" s="9"/>
      <c r="TB676" s="9"/>
      <c r="TC676" s="9"/>
      <c r="TD676" s="9"/>
      <c r="TE676" s="9"/>
      <c r="TF676" s="9"/>
      <c r="TG676" s="9"/>
      <c r="TH676" s="9"/>
      <c r="TI676" s="9"/>
      <c r="TJ676" s="9"/>
      <c r="TK676" s="9"/>
      <c r="TL676" s="9"/>
      <c r="TM676" s="9"/>
      <c r="TN676" s="9"/>
      <c r="TO676" s="9"/>
      <c r="TP676" s="9"/>
      <c r="TQ676" s="9"/>
      <c r="TR676" s="9"/>
      <c r="TS676" s="9"/>
      <c r="TT676" s="9"/>
      <c r="TU676" s="9"/>
      <c r="TV676" s="9"/>
      <c r="TW676" s="9"/>
      <c r="TX676" s="9"/>
      <c r="TY676" s="9"/>
      <c r="TZ676" s="9"/>
      <c r="UA676" s="9"/>
      <c r="UB676" s="9"/>
      <c r="UC676" s="9"/>
      <c r="UD676" s="9"/>
      <c r="UE676" s="9"/>
      <c r="UF676" s="9"/>
      <c r="UG676" s="9"/>
      <c r="UH676" s="9"/>
      <c r="UI676" s="9"/>
      <c r="UJ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  <c r="IC677" s="9"/>
      <c r="ID677" s="9"/>
      <c r="IE677" s="9"/>
      <c r="IF677" s="9"/>
      <c r="IG677" s="9"/>
      <c r="IH677" s="9"/>
      <c r="II677" s="9"/>
      <c r="IJ677" s="9"/>
      <c r="IK677" s="9"/>
      <c r="IL677" s="9"/>
      <c r="IM677" s="9"/>
      <c r="IN677" s="9"/>
      <c r="IO677" s="9"/>
      <c r="IP677" s="9"/>
      <c r="IQ677" s="9"/>
      <c r="IR677" s="9"/>
      <c r="IS677" s="9"/>
      <c r="IT677" s="9"/>
      <c r="IU677" s="9"/>
      <c r="IV677" s="9"/>
      <c r="IW677" s="9"/>
      <c r="IX677" s="9"/>
      <c r="IY677" s="9"/>
      <c r="IZ677" s="9"/>
      <c r="JA677" s="9"/>
      <c r="JB677" s="9"/>
      <c r="JC677" s="9"/>
      <c r="JD677" s="9"/>
      <c r="JE677" s="9"/>
      <c r="JF677" s="9"/>
      <c r="JG677" s="9"/>
      <c r="JH677" s="9"/>
      <c r="JI677" s="9"/>
      <c r="JJ677" s="9"/>
      <c r="JK677" s="9"/>
      <c r="JL677" s="9"/>
      <c r="JM677" s="9"/>
      <c r="JN677" s="9"/>
      <c r="JO677" s="9"/>
      <c r="JP677" s="9"/>
      <c r="JQ677" s="9"/>
      <c r="JR677" s="9"/>
      <c r="JS677" s="9"/>
      <c r="JT677" s="9"/>
      <c r="JU677" s="9"/>
      <c r="JV677" s="9"/>
      <c r="JW677" s="9"/>
      <c r="JX677" s="9"/>
      <c r="JY677" s="9"/>
      <c r="JZ677" s="9"/>
      <c r="KA677" s="9"/>
      <c r="KB677" s="9"/>
      <c r="KC677" s="9"/>
      <c r="KD677" s="9"/>
      <c r="KE677" s="9"/>
      <c r="KF677" s="9"/>
      <c r="KG677" s="9"/>
      <c r="KH677" s="9"/>
      <c r="KI677" s="9"/>
      <c r="KJ677" s="9"/>
      <c r="KK677" s="9"/>
      <c r="KL677" s="9"/>
      <c r="KM677" s="9"/>
      <c r="KN677" s="9"/>
      <c r="KO677" s="9"/>
      <c r="KP677" s="9"/>
      <c r="KQ677" s="9"/>
      <c r="KR677" s="9"/>
      <c r="KS677" s="9"/>
      <c r="KT677" s="9"/>
      <c r="KU677" s="9"/>
      <c r="KV677" s="9"/>
      <c r="KW677" s="9"/>
      <c r="KX677" s="9"/>
      <c r="KY677" s="9"/>
      <c r="KZ677" s="9"/>
      <c r="LA677" s="9"/>
      <c r="LB677" s="9"/>
      <c r="LC677" s="9"/>
      <c r="LD677" s="9"/>
      <c r="LE677" s="9"/>
      <c r="LF677" s="9"/>
      <c r="LG677" s="9"/>
      <c r="LH677" s="9"/>
      <c r="LI677" s="9"/>
      <c r="LJ677" s="9"/>
      <c r="LK677" s="9"/>
      <c r="LL677" s="9"/>
      <c r="LM677" s="9"/>
      <c r="LN677" s="9"/>
      <c r="LO677" s="9"/>
      <c r="LP677" s="9"/>
      <c r="LQ677" s="9"/>
      <c r="LR677" s="9"/>
      <c r="LS677" s="9"/>
      <c r="LT677" s="9"/>
      <c r="LU677" s="9"/>
      <c r="LV677" s="9"/>
      <c r="LW677" s="9"/>
      <c r="LX677" s="9"/>
      <c r="LY677" s="9"/>
      <c r="LZ677" s="9"/>
      <c r="MA677" s="9"/>
      <c r="MB677" s="9"/>
      <c r="MC677" s="9"/>
      <c r="MD677" s="9"/>
      <c r="ME677" s="9"/>
      <c r="MF677" s="9"/>
      <c r="MG677" s="9"/>
      <c r="MH677" s="9"/>
      <c r="MI677" s="9"/>
      <c r="MJ677" s="9"/>
      <c r="MK677" s="9"/>
      <c r="ML677" s="9"/>
      <c r="MM677" s="9"/>
      <c r="MN677" s="9"/>
      <c r="MO677" s="9"/>
      <c r="MP677" s="9"/>
      <c r="MQ677" s="9"/>
      <c r="MR677" s="9"/>
      <c r="MS677" s="9"/>
      <c r="MT677" s="9"/>
      <c r="MU677" s="9"/>
      <c r="MV677" s="9"/>
      <c r="MW677" s="9"/>
      <c r="MX677" s="9"/>
      <c r="MY677" s="9"/>
      <c r="MZ677" s="9"/>
      <c r="NA677" s="9"/>
      <c r="NB677" s="9"/>
      <c r="NC677" s="9"/>
      <c r="ND677" s="9"/>
      <c r="NE677" s="9"/>
      <c r="NF677" s="9"/>
      <c r="NG677" s="9"/>
      <c r="NH677" s="9"/>
      <c r="NI677" s="9"/>
      <c r="NJ677" s="9"/>
      <c r="NK677" s="9"/>
      <c r="NL677" s="9"/>
      <c r="NM677" s="9"/>
      <c r="NN677" s="9"/>
      <c r="NO677" s="9"/>
      <c r="NP677" s="9"/>
      <c r="NQ677" s="9"/>
      <c r="NR677" s="9"/>
      <c r="NS677" s="9"/>
      <c r="NT677" s="9"/>
      <c r="NU677" s="9"/>
      <c r="NV677" s="9"/>
      <c r="NW677" s="9"/>
      <c r="NX677" s="9"/>
      <c r="NY677" s="9"/>
      <c r="NZ677" s="9"/>
      <c r="OA677" s="9"/>
      <c r="OB677" s="9"/>
      <c r="OC677" s="9"/>
      <c r="OD677" s="9"/>
      <c r="OE677" s="9"/>
      <c r="OF677" s="9"/>
      <c r="OG677" s="9"/>
      <c r="OH677" s="9"/>
      <c r="OI677" s="9"/>
      <c r="OJ677" s="9"/>
      <c r="OK677" s="9"/>
      <c r="OL677" s="9"/>
      <c r="OM677" s="9"/>
      <c r="ON677" s="9"/>
      <c r="OO677" s="9"/>
      <c r="OP677" s="9"/>
      <c r="OQ677" s="9"/>
      <c r="OR677" s="9"/>
      <c r="OS677" s="9"/>
      <c r="OT677" s="9"/>
      <c r="OU677" s="9"/>
      <c r="OV677" s="9"/>
      <c r="OW677" s="9"/>
      <c r="OX677" s="9"/>
      <c r="OY677" s="9"/>
      <c r="OZ677" s="9"/>
      <c r="PA677" s="9"/>
      <c r="PB677" s="9"/>
      <c r="PC677" s="9"/>
      <c r="PD677" s="9"/>
      <c r="PE677" s="9"/>
      <c r="PF677" s="9"/>
      <c r="PG677" s="9"/>
      <c r="PH677" s="9"/>
      <c r="PI677" s="9"/>
      <c r="PJ677" s="9"/>
      <c r="PK677" s="9"/>
      <c r="PL677" s="9"/>
      <c r="PM677" s="9"/>
      <c r="PN677" s="9"/>
      <c r="PO677" s="9"/>
      <c r="PP677" s="9"/>
      <c r="PQ677" s="9"/>
      <c r="PR677" s="9"/>
      <c r="PS677" s="9"/>
      <c r="PT677" s="9"/>
      <c r="PU677" s="9"/>
      <c r="PV677" s="9"/>
      <c r="PW677" s="9"/>
      <c r="PX677" s="9"/>
      <c r="PY677" s="9"/>
      <c r="PZ677" s="9"/>
      <c r="QA677" s="9"/>
      <c r="QB677" s="9"/>
      <c r="QC677" s="9"/>
      <c r="QD677" s="9"/>
      <c r="QE677" s="9"/>
      <c r="QF677" s="9"/>
      <c r="QG677" s="9"/>
      <c r="QH677" s="9"/>
      <c r="QI677" s="9"/>
      <c r="QJ677" s="9"/>
      <c r="QK677" s="9"/>
      <c r="QL677" s="9"/>
      <c r="QM677" s="9"/>
      <c r="QN677" s="9"/>
      <c r="QO677" s="9"/>
      <c r="QP677" s="9"/>
      <c r="QQ677" s="9"/>
      <c r="QR677" s="9"/>
      <c r="QS677" s="9"/>
      <c r="QT677" s="9"/>
      <c r="QU677" s="9"/>
      <c r="QV677" s="9"/>
      <c r="QW677" s="9"/>
      <c r="QX677" s="9"/>
      <c r="QY677" s="9"/>
      <c r="QZ677" s="9"/>
      <c r="RA677" s="9"/>
      <c r="RB677" s="9"/>
      <c r="RC677" s="9"/>
      <c r="RD677" s="9"/>
      <c r="RE677" s="9"/>
      <c r="RF677" s="9"/>
      <c r="RG677" s="9"/>
      <c r="RH677" s="9"/>
      <c r="RI677" s="9"/>
      <c r="RJ677" s="9"/>
      <c r="RK677" s="9"/>
      <c r="RL677" s="9"/>
      <c r="RM677" s="9"/>
      <c r="RN677" s="9"/>
      <c r="RO677" s="9"/>
      <c r="RP677" s="9"/>
      <c r="RQ677" s="9"/>
      <c r="RR677" s="9"/>
      <c r="RS677" s="9"/>
      <c r="RT677" s="9"/>
      <c r="RU677" s="9"/>
      <c r="RV677" s="9"/>
      <c r="RW677" s="9"/>
      <c r="RX677" s="9"/>
      <c r="RY677" s="9"/>
      <c r="RZ677" s="9"/>
      <c r="SA677" s="9"/>
      <c r="SB677" s="9"/>
      <c r="SC677" s="9"/>
      <c r="SD677" s="9"/>
      <c r="SE677" s="9"/>
      <c r="SF677" s="9"/>
      <c r="SG677" s="9"/>
      <c r="SH677" s="9"/>
      <c r="SI677" s="9"/>
      <c r="SJ677" s="9"/>
      <c r="SK677" s="9"/>
      <c r="SL677" s="9"/>
      <c r="SM677" s="9"/>
      <c r="SN677" s="9"/>
      <c r="SO677" s="9"/>
      <c r="SP677" s="9"/>
      <c r="SQ677" s="9"/>
      <c r="SR677" s="9"/>
      <c r="SS677" s="9"/>
      <c r="ST677" s="9"/>
      <c r="SU677" s="9"/>
      <c r="SV677" s="9"/>
      <c r="SW677" s="9"/>
      <c r="SX677" s="9"/>
      <c r="SY677" s="9"/>
      <c r="SZ677" s="9"/>
      <c r="TA677" s="9"/>
      <c r="TB677" s="9"/>
      <c r="TC677" s="9"/>
      <c r="TD677" s="9"/>
      <c r="TE677" s="9"/>
      <c r="TF677" s="9"/>
      <c r="TG677" s="9"/>
      <c r="TH677" s="9"/>
      <c r="TI677" s="9"/>
      <c r="TJ677" s="9"/>
      <c r="TK677" s="9"/>
      <c r="TL677" s="9"/>
      <c r="TM677" s="9"/>
      <c r="TN677" s="9"/>
      <c r="TO677" s="9"/>
      <c r="TP677" s="9"/>
      <c r="TQ677" s="9"/>
      <c r="TR677" s="9"/>
      <c r="TS677" s="9"/>
      <c r="TT677" s="9"/>
      <c r="TU677" s="9"/>
      <c r="TV677" s="9"/>
      <c r="TW677" s="9"/>
      <c r="TX677" s="9"/>
      <c r="TY677" s="9"/>
      <c r="TZ677" s="9"/>
      <c r="UA677" s="9"/>
      <c r="UB677" s="9"/>
      <c r="UC677" s="9"/>
      <c r="UD677" s="9"/>
      <c r="UE677" s="9"/>
      <c r="UF677" s="9"/>
      <c r="UG677" s="9"/>
      <c r="UH677" s="9"/>
      <c r="UI677" s="9"/>
      <c r="UJ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  <c r="IN678" s="9"/>
      <c r="IO678" s="9"/>
      <c r="IP678" s="9"/>
      <c r="IQ678" s="9"/>
      <c r="IR678" s="9"/>
      <c r="IS678" s="9"/>
      <c r="IT678" s="9"/>
      <c r="IU678" s="9"/>
      <c r="IV678" s="9"/>
      <c r="IW678" s="9"/>
      <c r="IX678" s="9"/>
      <c r="IY678" s="9"/>
      <c r="IZ678" s="9"/>
      <c r="JA678" s="9"/>
      <c r="JB678" s="9"/>
      <c r="JC678" s="9"/>
      <c r="JD678" s="9"/>
      <c r="JE678" s="9"/>
      <c r="JF678" s="9"/>
      <c r="JG678" s="9"/>
      <c r="JH678" s="9"/>
      <c r="JI678" s="9"/>
      <c r="JJ678" s="9"/>
      <c r="JK678" s="9"/>
      <c r="JL678" s="9"/>
      <c r="JM678" s="9"/>
      <c r="JN678" s="9"/>
      <c r="JO678" s="9"/>
      <c r="JP678" s="9"/>
      <c r="JQ678" s="9"/>
      <c r="JR678" s="9"/>
      <c r="JS678" s="9"/>
      <c r="JT678" s="9"/>
      <c r="JU678" s="9"/>
      <c r="JV678" s="9"/>
      <c r="JW678" s="9"/>
      <c r="JX678" s="9"/>
      <c r="JY678" s="9"/>
      <c r="JZ678" s="9"/>
      <c r="KA678" s="9"/>
      <c r="KB678" s="9"/>
      <c r="KC678" s="9"/>
      <c r="KD678" s="9"/>
      <c r="KE678" s="9"/>
      <c r="KF678" s="9"/>
      <c r="KG678" s="9"/>
      <c r="KH678" s="9"/>
      <c r="KI678" s="9"/>
      <c r="KJ678" s="9"/>
      <c r="KK678" s="9"/>
      <c r="KL678" s="9"/>
      <c r="KM678" s="9"/>
      <c r="KN678" s="9"/>
      <c r="KO678" s="9"/>
      <c r="KP678" s="9"/>
      <c r="KQ678" s="9"/>
      <c r="KR678" s="9"/>
      <c r="KS678" s="9"/>
      <c r="KT678" s="9"/>
      <c r="KU678" s="9"/>
      <c r="KV678" s="9"/>
      <c r="KW678" s="9"/>
      <c r="KX678" s="9"/>
      <c r="KY678" s="9"/>
      <c r="KZ678" s="9"/>
      <c r="LA678" s="9"/>
      <c r="LB678" s="9"/>
      <c r="LC678" s="9"/>
      <c r="LD678" s="9"/>
      <c r="LE678" s="9"/>
      <c r="LF678" s="9"/>
      <c r="LG678" s="9"/>
      <c r="LH678" s="9"/>
      <c r="LI678" s="9"/>
      <c r="LJ678" s="9"/>
      <c r="LK678" s="9"/>
      <c r="LL678" s="9"/>
      <c r="LM678" s="9"/>
      <c r="LN678" s="9"/>
      <c r="LO678" s="9"/>
      <c r="LP678" s="9"/>
      <c r="LQ678" s="9"/>
      <c r="LR678" s="9"/>
      <c r="LS678" s="9"/>
      <c r="LT678" s="9"/>
      <c r="LU678" s="9"/>
      <c r="LV678" s="9"/>
      <c r="LW678" s="9"/>
      <c r="LX678" s="9"/>
      <c r="LY678" s="9"/>
      <c r="LZ678" s="9"/>
      <c r="MA678" s="9"/>
      <c r="MB678" s="9"/>
      <c r="MC678" s="9"/>
      <c r="MD678" s="9"/>
      <c r="ME678" s="9"/>
      <c r="MF678" s="9"/>
      <c r="MG678" s="9"/>
      <c r="MH678" s="9"/>
      <c r="MI678" s="9"/>
      <c r="MJ678" s="9"/>
      <c r="MK678" s="9"/>
      <c r="ML678" s="9"/>
      <c r="MM678" s="9"/>
      <c r="MN678" s="9"/>
      <c r="MO678" s="9"/>
      <c r="MP678" s="9"/>
      <c r="MQ678" s="9"/>
      <c r="MR678" s="9"/>
      <c r="MS678" s="9"/>
      <c r="MT678" s="9"/>
      <c r="MU678" s="9"/>
      <c r="MV678" s="9"/>
      <c r="MW678" s="9"/>
      <c r="MX678" s="9"/>
      <c r="MY678" s="9"/>
      <c r="MZ678" s="9"/>
      <c r="NA678" s="9"/>
      <c r="NB678" s="9"/>
      <c r="NC678" s="9"/>
      <c r="ND678" s="9"/>
      <c r="NE678" s="9"/>
      <c r="NF678" s="9"/>
      <c r="NG678" s="9"/>
      <c r="NH678" s="9"/>
      <c r="NI678" s="9"/>
      <c r="NJ678" s="9"/>
      <c r="NK678" s="9"/>
      <c r="NL678" s="9"/>
      <c r="NM678" s="9"/>
      <c r="NN678" s="9"/>
      <c r="NO678" s="9"/>
      <c r="NP678" s="9"/>
      <c r="NQ678" s="9"/>
      <c r="NR678" s="9"/>
      <c r="NS678" s="9"/>
      <c r="NT678" s="9"/>
      <c r="NU678" s="9"/>
      <c r="NV678" s="9"/>
      <c r="NW678" s="9"/>
      <c r="NX678" s="9"/>
      <c r="NY678" s="9"/>
      <c r="NZ678" s="9"/>
      <c r="OA678" s="9"/>
      <c r="OB678" s="9"/>
      <c r="OC678" s="9"/>
      <c r="OD678" s="9"/>
      <c r="OE678" s="9"/>
      <c r="OF678" s="9"/>
      <c r="OG678" s="9"/>
      <c r="OH678" s="9"/>
      <c r="OI678" s="9"/>
      <c r="OJ678" s="9"/>
      <c r="OK678" s="9"/>
      <c r="OL678" s="9"/>
      <c r="OM678" s="9"/>
      <c r="ON678" s="9"/>
      <c r="OO678" s="9"/>
      <c r="OP678" s="9"/>
      <c r="OQ678" s="9"/>
      <c r="OR678" s="9"/>
      <c r="OS678" s="9"/>
      <c r="OT678" s="9"/>
      <c r="OU678" s="9"/>
      <c r="OV678" s="9"/>
      <c r="OW678" s="9"/>
      <c r="OX678" s="9"/>
      <c r="OY678" s="9"/>
      <c r="OZ678" s="9"/>
      <c r="PA678" s="9"/>
      <c r="PB678" s="9"/>
      <c r="PC678" s="9"/>
      <c r="PD678" s="9"/>
      <c r="PE678" s="9"/>
      <c r="PF678" s="9"/>
      <c r="PG678" s="9"/>
      <c r="PH678" s="9"/>
      <c r="PI678" s="9"/>
      <c r="PJ678" s="9"/>
      <c r="PK678" s="9"/>
      <c r="PL678" s="9"/>
      <c r="PM678" s="9"/>
      <c r="PN678" s="9"/>
      <c r="PO678" s="9"/>
      <c r="PP678" s="9"/>
      <c r="PQ678" s="9"/>
      <c r="PR678" s="9"/>
      <c r="PS678" s="9"/>
      <c r="PT678" s="9"/>
      <c r="PU678" s="9"/>
      <c r="PV678" s="9"/>
      <c r="PW678" s="9"/>
      <c r="PX678" s="9"/>
      <c r="PY678" s="9"/>
      <c r="PZ678" s="9"/>
      <c r="QA678" s="9"/>
      <c r="QB678" s="9"/>
      <c r="QC678" s="9"/>
      <c r="QD678" s="9"/>
      <c r="QE678" s="9"/>
      <c r="QF678" s="9"/>
      <c r="QG678" s="9"/>
      <c r="QH678" s="9"/>
      <c r="QI678" s="9"/>
      <c r="QJ678" s="9"/>
      <c r="QK678" s="9"/>
      <c r="QL678" s="9"/>
      <c r="QM678" s="9"/>
      <c r="QN678" s="9"/>
      <c r="QO678" s="9"/>
      <c r="QP678" s="9"/>
      <c r="QQ678" s="9"/>
      <c r="QR678" s="9"/>
      <c r="QS678" s="9"/>
      <c r="QT678" s="9"/>
      <c r="QU678" s="9"/>
      <c r="QV678" s="9"/>
      <c r="QW678" s="9"/>
      <c r="QX678" s="9"/>
      <c r="QY678" s="9"/>
      <c r="QZ678" s="9"/>
      <c r="RA678" s="9"/>
      <c r="RB678" s="9"/>
      <c r="RC678" s="9"/>
      <c r="RD678" s="9"/>
      <c r="RE678" s="9"/>
      <c r="RF678" s="9"/>
      <c r="RG678" s="9"/>
      <c r="RH678" s="9"/>
      <c r="RI678" s="9"/>
      <c r="RJ678" s="9"/>
      <c r="RK678" s="9"/>
      <c r="RL678" s="9"/>
      <c r="RM678" s="9"/>
      <c r="RN678" s="9"/>
      <c r="RO678" s="9"/>
      <c r="RP678" s="9"/>
      <c r="RQ678" s="9"/>
      <c r="RR678" s="9"/>
      <c r="RS678" s="9"/>
      <c r="RT678" s="9"/>
      <c r="RU678" s="9"/>
      <c r="RV678" s="9"/>
      <c r="RW678" s="9"/>
      <c r="RX678" s="9"/>
      <c r="RY678" s="9"/>
      <c r="RZ678" s="9"/>
      <c r="SA678" s="9"/>
      <c r="SB678" s="9"/>
      <c r="SC678" s="9"/>
      <c r="SD678" s="9"/>
      <c r="SE678" s="9"/>
      <c r="SF678" s="9"/>
      <c r="SG678" s="9"/>
      <c r="SH678" s="9"/>
      <c r="SI678" s="9"/>
      <c r="SJ678" s="9"/>
      <c r="SK678" s="9"/>
      <c r="SL678" s="9"/>
      <c r="SM678" s="9"/>
      <c r="SN678" s="9"/>
      <c r="SO678" s="9"/>
      <c r="SP678" s="9"/>
      <c r="SQ678" s="9"/>
      <c r="SR678" s="9"/>
      <c r="SS678" s="9"/>
      <c r="ST678" s="9"/>
      <c r="SU678" s="9"/>
      <c r="SV678" s="9"/>
      <c r="SW678" s="9"/>
      <c r="SX678" s="9"/>
      <c r="SY678" s="9"/>
      <c r="SZ678" s="9"/>
      <c r="TA678" s="9"/>
      <c r="TB678" s="9"/>
      <c r="TC678" s="9"/>
      <c r="TD678" s="9"/>
      <c r="TE678" s="9"/>
      <c r="TF678" s="9"/>
      <c r="TG678" s="9"/>
      <c r="TH678" s="9"/>
      <c r="TI678" s="9"/>
      <c r="TJ678" s="9"/>
      <c r="TK678" s="9"/>
      <c r="TL678" s="9"/>
      <c r="TM678" s="9"/>
      <c r="TN678" s="9"/>
      <c r="TO678" s="9"/>
      <c r="TP678" s="9"/>
      <c r="TQ678" s="9"/>
      <c r="TR678" s="9"/>
      <c r="TS678" s="9"/>
      <c r="TT678" s="9"/>
      <c r="TU678" s="9"/>
      <c r="TV678" s="9"/>
      <c r="TW678" s="9"/>
      <c r="TX678" s="9"/>
      <c r="TY678" s="9"/>
      <c r="TZ678" s="9"/>
      <c r="UA678" s="9"/>
      <c r="UB678" s="9"/>
      <c r="UC678" s="9"/>
      <c r="UD678" s="9"/>
      <c r="UE678" s="9"/>
      <c r="UF678" s="9"/>
      <c r="UG678" s="9"/>
      <c r="UH678" s="9"/>
      <c r="UI678" s="9"/>
      <c r="UJ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  <c r="IC679" s="9"/>
      <c r="ID679" s="9"/>
      <c r="IE679" s="9"/>
      <c r="IF679" s="9"/>
      <c r="IG679" s="9"/>
      <c r="IH679" s="9"/>
      <c r="II679" s="9"/>
      <c r="IJ679" s="9"/>
      <c r="IK679" s="9"/>
      <c r="IL679" s="9"/>
      <c r="IM679" s="9"/>
      <c r="IN679" s="9"/>
      <c r="IO679" s="9"/>
      <c r="IP679" s="9"/>
      <c r="IQ679" s="9"/>
      <c r="IR679" s="9"/>
      <c r="IS679" s="9"/>
      <c r="IT679" s="9"/>
      <c r="IU679" s="9"/>
      <c r="IV679" s="9"/>
      <c r="IW679" s="9"/>
      <c r="IX679" s="9"/>
      <c r="IY679" s="9"/>
      <c r="IZ679" s="9"/>
      <c r="JA679" s="9"/>
      <c r="JB679" s="9"/>
      <c r="JC679" s="9"/>
      <c r="JD679" s="9"/>
      <c r="JE679" s="9"/>
      <c r="JF679" s="9"/>
      <c r="JG679" s="9"/>
      <c r="JH679" s="9"/>
      <c r="JI679" s="9"/>
      <c r="JJ679" s="9"/>
      <c r="JK679" s="9"/>
      <c r="JL679" s="9"/>
      <c r="JM679" s="9"/>
      <c r="JN679" s="9"/>
      <c r="JO679" s="9"/>
      <c r="JP679" s="9"/>
      <c r="JQ679" s="9"/>
      <c r="JR679" s="9"/>
      <c r="JS679" s="9"/>
      <c r="JT679" s="9"/>
      <c r="JU679" s="9"/>
      <c r="JV679" s="9"/>
      <c r="JW679" s="9"/>
      <c r="JX679" s="9"/>
      <c r="JY679" s="9"/>
      <c r="JZ679" s="9"/>
      <c r="KA679" s="9"/>
      <c r="KB679" s="9"/>
      <c r="KC679" s="9"/>
      <c r="KD679" s="9"/>
      <c r="KE679" s="9"/>
      <c r="KF679" s="9"/>
      <c r="KG679" s="9"/>
      <c r="KH679" s="9"/>
      <c r="KI679" s="9"/>
      <c r="KJ679" s="9"/>
      <c r="KK679" s="9"/>
      <c r="KL679" s="9"/>
      <c r="KM679" s="9"/>
      <c r="KN679" s="9"/>
      <c r="KO679" s="9"/>
      <c r="KP679" s="9"/>
      <c r="KQ679" s="9"/>
      <c r="KR679" s="9"/>
      <c r="KS679" s="9"/>
      <c r="KT679" s="9"/>
      <c r="KU679" s="9"/>
      <c r="KV679" s="9"/>
      <c r="KW679" s="9"/>
      <c r="KX679" s="9"/>
      <c r="KY679" s="9"/>
      <c r="KZ679" s="9"/>
      <c r="LA679" s="9"/>
      <c r="LB679" s="9"/>
      <c r="LC679" s="9"/>
      <c r="LD679" s="9"/>
      <c r="LE679" s="9"/>
      <c r="LF679" s="9"/>
      <c r="LG679" s="9"/>
      <c r="LH679" s="9"/>
      <c r="LI679" s="9"/>
      <c r="LJ679" s="9"/>
      <c r="LK679" s="9"/>
      <c r="LL679" s="9"/>
      <c r="LM679" s="9"/>
      <c r="LN679" s="9"/>
      <c r="LO679" s="9"/>
      <c r="LP679" s="9"/>
      <c r="LQ679" s="9"/>
      <c r="LR679" s="9"/>
      <c r="LS679" s="9"/>
      <c r="LT679" s="9"/>
      <c r="LU679" s="9"/>
      <c r="LV679" s="9"/>
      <c r="LW679" s="9"/>
      <c r="LX679" s="9"/>
      <c r="LY679" s="9"/>
      <c r="LZ679" s="9"/>
      <c r="MA679" s="9"/>
      <c r="MB679" s="9"/>
      <c r="MC679" s="9"/>
      <c r="MD679" s="9"/>
      <c r="ME679" s="9"/>
      <c r="MF679" s="9"/>
      <c r="MG679" s="9"/>
      <c r="MH679" s="9"/>
      <c r="MI679" s="9"/>
      <c r="MJ679" s="9"/>
      <c r="MK679" s="9"/>
      <c r="ML679" s="9"/>
      <c r="MM679" s="9"/>
      <c r="MN679" s="9"/>
      <c r="MO679" s="9"/>
      <c r="MP679" s="9"/>
      <c r="MQ679" s="9"/>
      <c r="MR679" s="9"/>
      <c r="MS679" s="9"/>
      <c r="MT679" s="9"/>
      <c r="MU679" s="9"/>
      <c r="MV679" s="9"/>
      <c r="MW679" s="9"/>
      <c r="MX679" s="9"/>
      <c r="MY679" s="9"/>
      <c r="MZ679" s="9"/>
      <c r="NA679" s="9"/>
      <c r="NB679" s="9"/>
      <c r="NC679" s="9"/>
      <c r="ND679" s="9"/>
      <c r="NE679" s="9"/>
      <c r="NF679" s="9"/>
      <c r="NG679" s="9"/>
      <c r="NH679" s="9"/>
      <c r="NI679" s="9"/>
      <c r="NJ679" s="9"/>
      <c r="NK679" s="9"/>
      <c r="NL679" s="9"/>
      <c r="NM679" s="9"/>
      <c r="NN679" s="9"/>
      <c r="NO679" s="9"/>
      <c r="NP679" s="9"/>
      <c r="NQ679" s="9"/>
      <c r="NR679" s="9"/>
      <c r="NS679" s="9"/>
      <c r="NT679" s="9"/>
      <c r="NU679" s="9"/>
      <c r="NV679" s="9"/>
      <c r="NW679" s="9"/>
      <c r="NX679" s="9"/>
      <c r="NY679" s="9"/>
      <c r="NZ679" s="9"/>
      <c r="OA679" s="9"/>
      <c r="OB679" s="9"/>
      <c r="OC679" s="9"/>
      <c r="OD679" s="9"/>
      <c r="OE679" s="9"/>
      <c r="OF679" s="9"/>
      <c r="OG679" s="9"/>
      <c r="OH679" s="9"/>
      <c r="OI679" s="9"/>
      <c r="OJ679" s="9"/>
      <c r="OK679" s="9"/>
      <c r="OL679" s="9"/>
      <c r="OM679" s="9"/>
      <c r="ON679" s="9"/>
      <c r="OO679" s="9"/>
      <c r="OP679" s="9"/>
      <c r="OQ679" s="9"/>
      <c r="OR679" s="9"/>
      <c r="OS679" s="9"/>
      <c r="OT679" s="9"/>
      <c r="OU679" s="9"/>
      <c r="OV679" s="9"/>
      <c r="OW679" s="9"/>
      <c r="OX679" s="9"/>
      <c r="OY679" s="9"/>
      <c r="OZ679" s="9"/>
      <c r="PA679" s="9"/>
      <c r="PB679" s="9"/>
      <c r="PC679" s="9"/>
      <c r="PD679" s="9"/>
      <c r="PE679" s="9"/>
      <c r="PF679" s="9"/>
      <c r="PG679" s="9"/>
      <c r="PH679" s="9"/>
      <c r="PI679" s="9"/>
      <c r="PJ679" s="9"/>
      <c r="PK679" s="9"/>
      <c r="PL679" s="9"/>
      <c r="PM679" s="9"/>
      <c r="PN679" s="9"/>
      <c r="PO679" s="9"/>
      <c r="PP679" s="9"/>
      <c r="PQ679" s="9"/>
      <c r="PR679" s="9"/>
      <c r="PS679" s="9"/>
      <c r="PT679" s="9"/>
      <c r="PU679" s="9"/>
      <c r="PV679" s="9"/>
      <c r="PW679" s="9"/>
      <c r="PX679" s="9"/>
      <c r="PY679" s="9"/>
      <c r="PZ679" s="9"/>
      <c r="QA679" s="9"/>
      <c r="QB679" s="9"/>
      <c r="QC679" s="9"/>
      <c r="QD679" s="9"/>
      <c r="QE679" s="9"/>
      <c r="QF679" s="9"/>
      <c r="QG679" s="9"/>
      <c r="QH679" s="9"/>
      <c r="QI679" s="9"/>
      <c r="QJ679" s="9"/>
      <c r="QK679" s="9"/>
      <c r="QL679" s="9"/>
      <c r="QM679" s="9"/>
      <c r="QN679" s="9"/>
      <c r="QO679" s="9"/>
      <c r="QP679" s="9"/>
      <c r="QQ679" s="9"/>
      <c r="QR679" s="9"/>
      <c r="QS679" s="9"/>
      <c r="QT679" s="9"/>
      <c r="QU679" s="9"/>
      <c r="QV679" s="9"/>
      <c r="QW679" s="9"/>
      <c r="QX679" s="9"/>
      <c r="QY679" s="9"/>
      <c r="QZ679" s="9"/>
      <c r="RA679" s="9"/>
      <c r="RB679" s="9"/>
      <c r="RC679" s="9"/>
      <c r="RD679" s="9"/>
      <c r="RE679" s="9"/>
      <c r="RF679" s="9"/>
      <c r="RG679" s="9"/>
      <c r="RH679" s="9"/>
      <c r="RI679" s="9"/>
      <c r="RJ679" s="9"/>
      <c r="RK679" s="9"/>
      <c r="RL679" s="9"/>
      <c r="RM679" s="9"/>
      <c r="RN679" s="9"/>
      <c r="RO679" s="9"/>
      <c r="RP679" s="9"/>
      <c r="RQ679" s="9"/>
      <c r="RR679" s="9"/>
      <c r="RS679" s="9"/>
      <c r="RT679" s="9"/>
      <c r="RU679" s="9"/>
      <c r="RV679" s="9"/>
      <c r="RW679" s="9"/>
      <c r="RX679" s="9"/>
      <c r="RY679" s="9"/>
      <c r="RZ679" s="9"/>
      <c r="SA679" s="9"/>
      <c r="SB679" s="9"/>
      <c r="SC679" s="9"/>
      <c r="SD679" s="9"/>
      <c r="SE679" s="9"/>
      <c r="SF679" s="9"/>
      <c r="SG679" s="9"/>
      <c r="SH679" s="9"/>
      <c r="SI679" s="9"/>
      <c r="SJ679" s="9"/>
      <c r="SK679" s="9"/>
      <c r="SL679" s="9"/>
      <c r="SM679" s="9"/>
      <c r="SN679" s="9"/>
      <c r="SO679" s="9"/>
      <c r="SP679" s="9"/>
      <c r="SQ679" s="9"/>
      <c r="SR679" s="9"/>
      <c r="SS679" s="9"/>
      <c r="ST679" s="9"/>
      <c r="SU679" s="9"/>
      <c r="SV679" s="9"/>
      <c r="SW679" s="9"/>
      <c r="SX679" s="9"/>
      <c r="SY679" s="9"/>
      <c r="SZ679" s="9"/>
      <c r="TA679" s="9"/>
      <c r="TB679" s="9"/>
      <c r="TC679" s="9"/>
      <c r="TD679" s="9"/>
      <c r="TE679" s="9"/>
      <c r="TF679" s="9"/>
      <c r="TG679" s="9"/>
      <c r="TH679" s="9"/>
      <c r="TI679" s="9"/>
      <c r="TJ679" s="9"/>
      <c r="TK679" s="9"/>
      <c r="TL679" s="9"/>
      <c r="TM679" s="9"/>
      <c r="TN679" s="9"/>
      <c r="TO679" s="9"/>
      <c r="TP679" s="9"/>
      <c r="TQ679" s="9"/>
      <c r="TR679" s="9"/>
      <c r="TS679" s="9"/>
      <c r="TT679" s="9"/>
      <c r="TU679" s="9"/>
      <c r="TV679" s="9"/>
      <c r="TW679" s="9"/>
      <c r="TX679" s="9"/>
      <c r="TY679" s="9"/>
      <c r="TZ679" s="9"/>
      <c r="UA679" s="9"/>
      <c r="UB679" s="9"/>
      <c r="UC679" s="9"/>
      <c r="UD679" s="9"/>
      <c r="UE679" s="9"/>
      <c r="UF679" s="9"/>
      <c r="UG679" s="9"/>
      <c r="UH679" s="9"/>
      <c r="UI679" s="9"/>
      <c r="UJ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  <c r="IN680" s="9"/>
      <c r="IO680" s="9"/>
      <c r="IP680" s="9"/>
      <c r="IQ680" s="9"/>
      <c r="IR680" s="9"/>
      <c r="IS680" s="9"/>
      <c r="IT680" s="9"/>
      <c r="IU680" s="9"/>
      <c r="IV680" s="9"/>
      <c r="IW680" s="9"/>
      <c r="IX680" s="9"/>
      <c r="IY680" s="9"/>
      <c r="IZ680" s="9"/>
      <c r="JA680" s="9"/>
      <c r="JB680" s="9"/>
      <c r="JC680" s="9"/>
      <c r="JD680" s="9"/>
      <c r="JE680" s="9"/>
      <c r="JF680" s="9"/>
      <c r="JG680" s="9"/>
      <c r="JH680" s="9"/>
      <c r="JI680" s="9"/>
      <c r="JJ680" s="9"/>
      <c r="JK680" s="9"/>
      <c r="JL680" s="9"/>
      <c r="JM680" s="9"/>
      <c r="JN680" s="9"/>
      <c r="JO680" s="9"/>
      <c r="JP680" s="9"/>
      <c r="JQ680" s="9"/>
      <c r="JR680" s="9"/>
      <c r="JS680" s="9"/>
      <c r="JT680" s="9"/>
      <c r="JU680" s="9"/>
      <c r="JV680" s="9"/>
      <c r="JW680" s="9"/>
      <c r="JX680" s="9"/>
      <c r="JY680" s="9"/>
      <c r="JZ680" s="9"/>
      <c r="KA680" s="9"/>
      <c r="KB680" s="9"/>
      <c r="KC680" s="9"/>
      <c r="KD680" s="9"/>
      <c r="KE680" s="9"/>
      <c r="KF680" s="9"/>
      <c r="KG680" s="9"/>
      <c r="KH680" s="9"/>
      <c r="KI680" s="9"/>
      <c r="KJ680" s="9"/>
      <c r="KK680" s="9"/>
      <c r="KL680" s="9"/>
      <c r="KM680" s="9"/>
      <c r="KN680" s="9"/>
      <c r="KO680" s="9"/>
      <c r="KP680" s="9"/>
      <c r="KQ680" s="9"/>
      <c r="KR680" s="9"/>
      <c r="KS680" s="9"/>
      <c r="KT680" s="9"/>
      <c r="KU680" s="9"/>
      <c r="KV680" s="9"/>
      <c r="KW680" s="9"/>
      <c r="KX680" s="9"/>
      <c r="KY680" s="9"/>
      <c r="KZ680" s="9"/>
      <c r="LA680" s="9"/>
      <c r="LB680" s="9"/>
      <c r="LC680" s="9"/>
      <c r="LD680" s="9"/>
      <c r="LE680" s="9"/>
      <c r="LF680" s="9"/>
      <c r="LG680" s="9"/>
      <c r="LH680" s="9"/>
      <c r="LI680" s="9"/>
      <c r="LJ680" s="9"/>
      <c r="LK680" s="9"/>
      <c r="LL680" s="9"/>
      <c r="LM680" s="9"/>
      <c r="LN680" s="9"/>
      <c r="LO680" s="9"/>
      <c r="LP680" s="9"/>
      <c r="LQ680" s="9"/>
      <c r="LR680" s="9"/>
      <c r="LS680" s="9"/>
      <c r="LT680" s="9"/>
      <c r="LU680" s="9"/>
      <c r="LV680" s="9"/>
      <c r="LW680" s="9"/>
      <c r="LX680" s="9"/>
      <c r="LY680" s="9"/>
      <c r="LZ680" s="9"/>
      <c r="MA680" s="9"/>
      <c r="MB680" s="9"/>
      <c r="MC680" s="9"/>
      <c r="MD680" s="9"/>
      <c r="ME680" s="9"/>
      <c r="MF680" s="9"/>
      <c r="MG680" s="9"/>
      <c r="MH680" s="9"/>
      <c r="MI680" s="9"/>
      <c r="MJ680" s="9"/>
      <c r="MK680" s="9"/>
      <c r="ML680" s="9"/>
      <c r="MM680" s="9"/>
      <c r="MN680" s="9"/>
      <c r="MO680" s="9"/>
      <c r="MP680" s="9"/>
      <c r="MQ680" s="9"/>
      <c r="MR680" s="9"/>
      <c r="MS680" s="9"/>
      <c r="MT680" s="9"/>
      <c r="MU680" s="9"/>
      <c r="MV680" s="9"/>
      <c r="MW680" s="9"/>
      <c r="MX680" s="9"/>
      <c r="MY680" s="9"/>
      <c r="MZ680" s="9"/>
      <c r="NA680" s="9"/>
      <c r="NB680" s="9"/>
      <c r="NC680" s="9"/>
      <c r="ND680" s="9"/>
      <c r="NE680" s="9"/>
      <c r="NF680" s="9"/>
      <c r="NG680" s="9"/>
      <c r="NH680" s="9"/>
      <c r="NI680" s="9"/>
      <c r="NJ680" s="9"/>
      <c r="NK680" s="9"/>
      <c r="NL680" s="9"/>
      <c r="NM680" s="9"/>
      <c r="NN680" s="9"/>
      <c r="NO680" s="9"/>
      <c r="NP680" s="9"/>
      <c r="NQ680" s="9"/>
      <c r="NR680" s="9"/>
      <c r="NS680" s="9"/>
      <c r="NT680" s="9"/>
      <c r="NU680" s="9"/>
      <c r="NV680" s="9"/>
      <c r="NW680" s="9"/>
      <c r="NX680" s="9"/>
      <c r="NY680" s="9"/>
      <c r="NZ680" s="9"/>
      <c r="OA680" s="9"/>
      <c r="OB680" s="9"/>
      <c r="OC680" s="9"/>
      <c r="OD680" s="9"/>
      <c r="OE680" s="9"/>
      <c r="OF680" s="9"/>
      <c r="OG680" s="9"/>
      <c r="OH680" s="9"/>
      <c r="OI680" s="9"/>
      <c r="OJ680" s="9"/>
      <c r="OK680" s="9"/>
      <c r="OL680" s="9"/>
      <c r="OM680" s="9"/>
      <c r="ON680" s="9"/>
      <c r="OO680" s="9"/>
      <c r="OP680" s="9"/>
      <c r="OQ680" s="9"/>
      <c r="OR680" s="9"/>
      <c r="OS680" s="9"/>
      <c r="OT680" s="9"/>
      <c r="OU680" s="9"/>
      <c r="OV680" s="9"/>
      <c r="OW680" s="9"/>
      <c r="OX680" s="9"/>
      <c r="OY680" s="9"/>
      <c r="OZ680" s="9"/>
      <c r="PA680" s="9"/>
      <c r="PB680" s="9"/>
      <c r="PC680" s="9"/>
      <c r="PD680" s="9"/>
      <c r="PE680" s="9"/>
      <c r="PF680" s="9"/>
      <c r="PG680" s="9"/>
      <c r="PH680" s="9"/>
      <c r="PI680" s="9"/>
      <c r="PJ680" s="9"/>
      <c r="PK680" s="9"/>
      <c r="PL680" s="9"/>
      <c r="PM680" s="9"/>
      <c r="PN680" s="9"/>
      <c r="PO680" s="9"/>
      <c r="PP680" s="9"/>
      <c r="PQ680" s="9"/>
      <c r="PR680" s="9"/>
      <c r="PS680" s="9"/>
      <c r="PT680" s="9"/>
      <c r="PU680" s="9"/>
      <c r="PV680" s="9"/>
      <c r="PW680" s="9"/>
      <c r="PX680" s="9"/>
      <c r="PY680" s="9"/>
      <c r="PZ680" s="9"/>
      <c r="QA680" s="9"/>
      <c r="QB680" s="9"/>
      <c r="QC680" s="9"/>
      <c r="QD680" s="9"/>
      <c r="QE680" s="9"/>
      <c r="QF680" s="9"/>
      <c r="QG680" s="9"/>
      <c r="QH680" s="9"/>
      <c r="QI680" s="9"/>
      <c r="QJ680" s="9"/>
      <c r="QK680" s="9"/>
      <c r="QL680" s="9"/>
      <c r="QM680" s="9"/>
      <c r="QN680" s="9"/>
      <c r="QO680" s="9"/>
      <c r="QP680" s="9"/>
      <c r="QQ680" s="9"/>
      <c r="QR680" s="9"/>
      <c r="QS680" s="9"/>
      <c r="QT680" s="9"/>
      <c r="QU680" s="9"/>
      <c r="QV680" s="9"/>
      <c r="QW680" s="9"/>
      <c r="QX680" s="9"/>
      <c r="QY680" s="9"/>
      <c r="QZ680" s="9"/>
      <c r="RA680" s="9"/>
      <c r="RB680" s="9"/>
      <c r="RC680" s="9"/>
      <c r="RD680" s="9"/>
      <c r="RE680" s="9"/>
      <c r="RF680" s="9"/>
      <c r="RG680" s="9"/>
      <c r="RH680" s="9"/>
      <c r="RI680" s="9"/>
      <c r="RJ680" s="9"/>
      <c r="RK680" s="9"/>
      <c r="RL680" s="9"/>
      <c r="RM680" s="9"/>
      <c r="RN680" s="9"/>
      <c r="RO680" s="9"/>
      <c r="RP680" s="9"/>
      <c r="RQ680" s="9"/>
      <c r="RR680" s="9"/>
      <c r="RS680" s="9"/>
      <c r="RT680" s="9"/>
      <c r="RU680" s="9"/>
      <c r="RV680" s="9"/>
      <c r="RW680" s="9"/>
      <c r="RX680" s="9"/>
      <c r="RY680" s="9"/>
      <c r="RZ680" s="9"/>
      <c r="SA680" s="9"/>
      <c r="SB680" s="9"/>
      <c r="SC680" s="9"/>
      <c r="SD680" s="9"/>
      <c r="SE680" s="9"/>
      <c r="SF680" s="9"/>
      <c r="SG680" s="9"/>
      <c r="SH680" s="9"/>
      <c r="SI680" s="9"/>
      <c r="SJ680" s="9"/>
      <c r="SK680" s="9"/>
      <c r="SL680" s="9"/>
      <c r="SM680" s="9"/>
      <c r="SN680" s="9"/>
      <c r="SO680" s="9"/>
      <c r="SP680" s="9"/>
      <c r="SQ680" s="9"/>
      <c r="SR680" s="9"/>
      <c r="SS680" s="9"/>
      <c r="ST680" s="9"/>
      <c r="SU680" s="9"/>
      <c r="SV680" s="9"/>
      <c r="SW680" s="9"/>
      <c r="SX680" s="9"/>
      <c r="SY680" s="9"/>
      <c r="SZ680" s="9"/>
      <c r="TA680" s="9"/>
      <c r="TB680" s="9"/>
      <c r="TC680" s="9"/>
      <c r="TD680" s="9"/>
      <c r="TE680" s="9"/>
      <c r="TF680" s="9"/>
      <c r="TG680" s="9"/>
      <c r="TH680" s="9"/>
      <c r="TI680" s="9"/>
      <c r="TJ680" s="9"/>
      <c r="TK680" s="9"/>
      <c r="TL680" s="9"/>
      <c r="TM680" s="9"/>
      <c r="TN680" s="9"/>
      <c r="TO680" s="9"/>
      <c r="TP680" s="9"/>
      <c r="TQ680" s="9"/>
      <c r="TR680" s="9"/>
      <c r="TS680" s="9"/>
      <c r="TT680" s="9"/>
      <c r="TU680" s="9"/>
      <c r="TV680" s="9"/>
      <c r="TW680" s="9"/>
      <c r="TX680" s="9"/>
      <c r="TY680" s="9"/>
      <c r="TZ680" s="9"/>
      <c r="UA680" s="9"/>
      <c r="UB680" s="9"/>
      <c r="UC680" s="9"/>
      <c r="UD680" s="9"/>
      <c r="UE680" s="9"/>
      <c r="UF680" s="9"/>
      <c r="UG680" s="9"/>
      <c r="UH680" s="9"/>
      <c r="UI680" s="9"/>
      <c r="UJ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  <c r="IC681" s="9"/>
      <c r="ID681" s="9"/>
      <c r="IE681" s="9"/>
      <c r="IF681" s="9"/>
      <c r="IG681" s="9"/>
      <c r="IH681" s="9"/>
      <c r="II681" s="9"/>
      <c r="IJ681" s="9"/>
      <c r="IK681" s="9"/>
      <c r="IL681" s="9"/>
      <c r="IM681" s="9"/>
      <c r="IN681" s="9"/>
      <c r="IO681" s="9"/>
      <c r="IP681" s="9"/>
      <c r="IQ681" s="9"/>
      <c r="IR681" s="9"/>
      <c r="IS681" s="9"/>
      <c r="IT681" s="9"/>
      <c r="IU681" s="9"/>
      <c r="IV681" s="9"/>
      <c r="IW681" s="9"/>
      <c r="IX681" s="9"/>
      <c r="IY681" s="9"/>
      <c r="IZ681" s="9"/>
      <c r="JA681" s="9"/>
      <c r="JB681" s="9"/>
      <c r="JC681" s="9"/>
      <c r="JD681" s="9"/>
      <c r="JE681" s="9"/>
      <c r="JF681" s="9"/>
      <c r="JG681" s="9"/>
      <c r="JH681" s="9"/>
      <c r="JI681" s="9"/>
      <c r="JJ681" s="9"/>
      <c r="JK681" s="9"/>
      <c r="JL681" s="9"/>
      <c r="JM681" s="9"/>
      <c r="JN681" s="9"/>
      <c r="JO681" s="9"/>
      <c r="JP681" s="9"/>
      <c r="JQ681" s="9"/>
      <c r="JR681" s="9"/>
      <c r="JS681" s="9"/>
      <c r="JT681" s="9"/>
      <c r="JU681" s="9"/>
      <c r="JV681" s="9"/>
      <c r="JW681" s="9"/>
      <c r="JX681" s="9"/>
      <c r="JY681" s="9"/>
      <c r="JZ681" s="9"/>
      <c r="KA681" s="9"/>
      <c r="KB681" s="9"/>
      <c r="KC681" s="9"/>
      <c r="KD681" s="9"/>
      <c r="KE681" s="9"/>
      <c r="KF681" s="9"/>
      <c r="KG681" s="9"/>
      <c r="KH681" s="9"/>
      <c r="KI681" s="9"/>
      <c r="KJ681" s="9"/>
      <c r="KK681" s="9"/>
      <c r="KL681" s="9"/>
      <c r="KM681" s="9"/>
      <c r="KN681" s="9"/>
      <c r="KO681" s="9"/>
      <c r="KP681" s="9"/>
      <c r="KQ681" s="9"/>
      <c r="KR681" s="9"/>
      <c r="KS681" s="9"/>
      <c r="KT681" s="9"/>
      <c r="KU681" s="9"/>
      <c r="KV681" s="9"/>
      <c r="KW681" s="9"/>
      <c r="KX681" s="9"/>
      <c r="KY681" s="9"/>
      <c r="KZ681" s="9"/>
      <c r="LA681" s="9"/>
      <c r="LB681" s="9"/>
      <c r="LC681" s="9"/>
      <c r="LD681" s="9"/>
      <c r="LE681" s="9"/>
      <c r="LF681" s="9"/>
      <c r="LG681" s="9"/>
      <c r="LH681" s="9"/>
      <c r="LI681" s="9"/>
      <c r="LJ681" s="9"/>
      <c r="LK681" s="9"/>
      <c r="LL681" s="9"/>
      <c r="LM681" s="9"/>
      <c r="LN681" s="9"/>
      <c r="LO681" s="9"/>
      <c r="LP681" s="9"/>
      <c r="LQ681" s="9"/>
      <c r="LR681" s="9"/>
      <c r="LS681" s="9"/>
      <c r="LT681" s="9"/>
      <c r="LU681" s="9"/>
      <c r="LV681" s="9"/>
      <c r="LW681" s="9"/>
      <c r="LX681" s="9"/>
      <c r="LY681" s="9"/>
      <c r="LZ681" s="9"/>
      <c r="MA681" s="9"/>
      <c r="MB681" s="9"/>
      <c r="MC681" s="9"/>
      <c r="MD681" s="9"/>
      <c r="ME681" s="9"/>
      <c r="MF681" s="9"/>
      <c r="MG681" s="9"/>
      <c r="MH681" s="9"/>
      <c r="MI681" s="9"/>
      <c r="MJ681" s="9"/>
      <c r="MK681" s="9"/>
      <c r="ML681" s="9"/>
      <c r="MM681" s="9"/>
      <c r="MN681" s="9"/>
      <c r="MO681" s="9"/>
      <c r="MP681" s="9"/>
      <c r="MQ681" s="9"/>
      <c r="MR681" s="9"/>
      <c r="MS681" s="9"/>
      <c r="MT681" s="9"/>
      <c r="MU681" s="9"/>
      <c r="MV681" s="9"/>
      <c r="MW681" s="9"/>
      <c r="MX681" s="9"/>
      <c r="MY681" s="9"/>
      <c r="MZ681" s="9"/>
      <c r="NA681" s="9"/>
      <c r="NB681" s="9"/>
      <c r="NC681" s="9"/>
      <c r="ND681" s="9"/>
      <c r="NE681" s="9"/>
      <c r="NF681" s="9"/>
      <c r="NG681" s="9"/>
      <c r="NH681" s="9"/>
      <c r="NI681" s="9"/>
      <c r="NJ681" s="9"/>
      <c r="NK681" s="9"/>
      <c r="NL681" s="9"/>
      <c r="NM681" s="9"/>
      <c r="NN681" s="9"/>
      <c r="NO681" s="9"/>
      <c r="NP681" s="9"/>
      <c r="NQ681" s="9"/>
      <c r="NR681" s="9"/>
      <c r="NS681" s="9"/>
      <c r="NT681" s="9"/>
      <c r="NU681" s="9"/>
      <c r="NV681" s="9"/>
      <c r="NW681" s="9"/>
      <c r="NX681" s="9"/>
      <c r="NY681" s="9"/>
      <c r="NZ681" s="9"/>
      <c r="OA681" s="9"/>
      <c r="OB681" s="9"/>
      <c r="OC681" s="9"/>
      <c r="OD681" s="9"/>
      <c r="OE681" s="9"/>
      <c r="OF681" s="9"/>
      <c r="OG681" s="9"/>
      <c r="OH681" s="9"/>
      <c r="OI681" s="9"/>
      <c r="OJ681" s="9"/>
      <c r="OK681" s="9"/>
      <c r="OL681" s="9"/>
      <c r="OM681" s="9"/>
      <c r="ON681" s="9"/>
      <c r="OO681" s="9"/>
      <c r="OP681" s="9"/>
      <c r="OQ681" s="9"/>
      <c r="OR681" s="9"/>
      <c r="OS681" s="9"/>
      <c r="OT681" s="9"/>
      <c r="OU681" s="9"/>
      <c r="OV681" s="9"/>
      <c r="OW681" s="9"/>
      <c r="OX681" s="9"/>
      <c r="OY681" s="9"/>
      <c r="OZ681" s="9"/>
      <c r="PA681" s="9"/>
      <c r="PB681" s="9"/>
      <c r="PC681" s="9"/>
      <c r="PD681" s="9"/>
      <c r="PE681" s="9"/>
      <c r="PF681" s="9"/>
      <c r="PG681" s="9"/>
      <c r="PH681" s="9"/>
      <c r="PI681" s="9"/>
      <c r="PJ681" s="9"/>
      <c r="PK681" s="9"/>
      <c r="PL681" s="9"/>
      <c r="PM681" s="9"/>
      <c r="PN681" s="9"/>
      <c r="PO681" s="9"/>
      <c r="PP681" s="9"/>
      <c r="PQ681" s="9"/>
      <c r="PR681" s="9"/>
      <c r="PS681" s="9"/>
      <c r="PT681" s="9"/>
      <c r="PU681" s="9"/>
      <c r="PV681" s="9"/>
      <c r="PW681" s="9"/>
      <c r="PX681" s="9"/>
      <c r="PY681" s="9"/>
      <c r="PZ681" s="9"/>
      <c r="QA681" s="9"/>
      <c r="QB681" s="9"/>
      <c r="QC681" s="9"/>
      <c r="QD681" s="9"/>
      <c r="QE681" s="9"/>
      <c r="QF681" s="9"/>
      <c r="QG681" s="9"/>
      <c r="QH681" s="9"/>
      <c r="QI681" s="9"/>
      <c r="QJ681" s="9"/>
      <c r="QK681" s="9"/>
      <c r="QL681" s="9"/>
      <c r="QM681" s="9"/>
      <c r="QN681" s="9"/>
      <c r="QO681" s="9"/>
      <c r="QP681" s="9"/>
      <c r="QQ681" s="9"/>
      <c r="QR681" s="9"/>
      <c r="QS681" s="9"/>
      <c r="QT681" s="9"/>
      <c r="QU681" s="9"/>
      <c r="QV681" s="9"/>
      <c r="QW681" s="9"/>
      <c r="QX681" s="9"/>
      <c r="QY681" s="9"/>
      <c r="QZ681" s="9"/>
      <c r="RA681" s="9"/>
      <c r="RB681" s="9"/>
      <c r="RC681" s="9"/>
      <c r="RD681" s="9"/>
      <c r="RE681" s="9"/>
      <c r="RF681" s="9"/>
      <c r="RG681" s="9"/>
      <c r="RH681" s="9"/>
      <c r="RI681" s="9"/>
      <c r="RJ681" s="9"/>
      <c r="RK681" s="9"/>
      <c r="RL681" s="9"/>
      <c r="RM681" s="9"/>
      <c r="RN681" s="9"/>
      <c r="RO681" s="9"/>
      <c r="RP681" s="9"/>
      <c r="RQ681" s="9"/>
      <c r="RR681" s="9"/>
      <c r="RS681" s="9"/>
      <c r="RT681" s="9"/>
      <c r="RU681" s="9"/>
      <c r="RV681" s="9"/>
      <c r="RW681" s="9"/>
      <c r="RX681" s="9"/>
      <c r="RY681" s="9"/>
      <c r="RZ681" s="9"/>
      <c r="SA681" s="9"/>
      <c r="SB681" s="9"/>
      <c r="SC681" s="9"/>
      <c r="SD681" s="9"/>
      <c r="SE681" s="9"/>
      <c r="SF681" s="9"/>
      <c r="SG681" s="9"/>
      <c r="SH681" s="9"/>
      <c r="SI681" s="9"/>
      <c r="SJ681" s="9"/>
      <c r="SK681" s="9"/>
      <c r="SL681" s="9"/>
      <c r="SM681" s="9"/>
      <c r="SN681" s="9"/>
      <c r="SO681" s="9"/>
      <c r="SP681" s="9"/>
      <c r="SQ681" s="9"/>
      <c r="SR681" s="9"/>
      <c r="SS681" s="9"/>
      <c r="ST681" s="9"/>
      <c r="SU681" s="9"/>
      <c r="SV681" s="9"/>
      <c r="SW681" s="9"/>
      <c r="SX681" s="9"/>
      <c r="SY681" s="9"/>
      <c r="SZ681" s="9"/>
      <c r="TA681" s="9"/>
      <c r="TB681" s="9"/>
      <c r="TC681" s="9"/>
      <c r="TD681" s="9"/>
      <c r="TE681" s="9"/>
      <c r="TF681" s="9"/>
      <c r="TG681" s="9"/>
      <c r="TH681" s="9"/>
      <c r="TI681" s="9"/>
      <c r="TJ681" s="9"/>
      <c r="TK681" s="9"/>
      <c r="TL681" s="9"/>
      <c r="TM681" s="9"/>
      <c r="TN681" s="9"/>
      <c r="TO681" s="9"/>
      <c r="TP681" s="9"/>
      <c r="TQ681" s="9"/>
      <c r="TR681" s="9"/>
      <c r="TS681" s="9"/>
      <c r="TT681" s="9"/>
      <c r="TU681" s="9"/>
      <c r="TV681" s="9"/>
      <c r="TW681" s="9"/>
      <c r="TX681" s="9"/>
      <c r="TY681" s="9"/>
      <c r="TZ681" s="9"/>
      <c r="UA681" s="9"/>
      <c r="UB681" s="9"/>
      <c r="UC681" s="9"/>
      <c r="UD681" s="9"/>
      <c r="UE681" s="9"/>
      <c r="UF681" s="9"/>
      <c r="UG681" s="9"/>
      <c r="UH681" s="9"/>
      <c r="UI681" s="9"/>
      <c r="UJ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  <c r="IN682" s="9"/>
      <c r="IO682" s="9"/>
      <c r="IP682" s="9"/>
      <c r="IQ682" s="9"/>
      <c r="IR682" s="9"/>
      <c r="IS682" s="9"/>
      <c r="IT682" s="9"/>
      <c r="IU682" s="9"/>
      <c r="IV682" s="9"/>
      <c r="IW682" s="9"/>
      <c r="IX682" s="9"/>
      <c r="IY682" s="9"/>
      <c r="IZ682" s="9"/>
      <c r="JA682" s="9"/>
      <c r="JB682" s="9"/>
      <c r="JC682" s="9"/>
      <c r="JD682" s="9"/>
      <c r="JE682" s="9"/>
      <c r="JF682" s="9"/>
      <c r="JG682" s="9"/>
      <c r="JH682" s="9"/>
      <c r="JI682" s="9"/>
      <c r="JJ682" s="9"/>
      <c r="JK682" s="9"/>
      <c r="JL682" s="9"/>
      <c r="JM682" s="9"/>
      <c r="JN682" s="9"/>
      <c r="JO682" s="9"/>
      <c r="JP682" s="9"/>
      <c r="JQ682" s="9"/>
      <c r="JR682" s="9"/>
      <c r="JS682" s="9"/>
      <c r="JT682" s="9"/>
      <c r="JU682" s="9"/>
      <c r="JV682" s="9"/>
      <c r="JW682" s="9"/>
      <c r="JX682" s="9"/>
      <c r="JY682" s="9"/>
      <c r="JZ682" s="9"/>
      <c r="KA682" s="9"/>
      <c r="KB682" s="9"/>
      <c r="KC682" s="9"/>
      <c r="KD682" s="9"/>
      <c r="KE682" s="9"/>
      <c r="KF682" s="9"/>
      <c r="KG682" s="9"/>
      <c r="KH682" s="9"/>
      <c r="KI682" s="9"/>
      <c r="KJ682" s="9"/>
      <c r="KK682" s="9"/>
      <c r="KL682" s="9"/>
      <c r="KM682" s="9"/>
      <c r="KN682" s="9"/>
      <c r="KO682" s="9"/>
      <c r="KP682" s="9"/>
      <c r="KQ682" s="9"/>
      <c r="KR682" s="9"/>
      <c r="KS682" s="9"/>
      <c r="KT682" s="9"/>
      <c r="KU682" s="9"/>
      <c r="KV682" s="9"/>
      <c r="KW682" s="9"/>
      <c r="KX682" s="9"/>
      <c r="KY682" s="9"/>
      <c r="KZ682" s="9"/>
      <c r="LA682" s="9"/>
      <c r="LB682" s="9"/>
      <c r="LC682" s="9"/>
      <c r="LD682" s="9"/>
      <c r="LE682" s="9"/>
      <c r="LF682" s="9"/>
      <c r="LG682" s="9"/>
      <c r="LH682" s="9"/>
      <c r="LI682" s="9"/>
      <c r="LJ682" s="9"/>
      <c r="LK682" s="9"/>
      <c r="LL682" s="9"/>
      <c r="LM682" s="9"/>
      <c r="LN682" s="9"/>
      <c r="LO682" s="9"/>
      <c r="LP682" s="9"/>
      <c r="LQ682" s="9"/>
      <c r="LR682" s="9"/>
      <c r="LS682" s="9"/>
      <c r="LT682" s="9"/>
      <c r="LU682" s="9"/>
      <c r="LV682" s="9"/>
      <c r="LW682" s="9"/>
      <c r="LX682" s="9"/>
      <c r="LY682" s="9"/>
      <c r="LZ682" s="9"/>
      <c r="MA682" s="9"/>
      <c r="MB682" s="9"/>
      <c r="MC682" s="9"/>
      <c r="MD682" s="9"/>
      <c r="ME682" s="9"/>
      <c r="MF682" s="9"/>
      <c r="MG682" s="9"/>
      <c r="MH682" s="9"/>
      <c r="MI682" s="9"/>
      <c r="MJ682" s="9"/>
      <c r="MK682" s="9"/>
      <c r="ML682" s="9"/>
      <c r="MM682" s="9"/>
      <c r="MN682" s="9"/>
      <c r="MO682" s="9"/>
      <c r="MP682" s="9"/>
      <c r="MQ682" s="9"/>
      <c r="MR682" s="9"/>
      <c r="MS682" s="9"/>
      <c r="MT682" s="9"/>
      <c r="MU682" s="9"/>
      <c r="MV682" s="9"/>
      <c r="MW682" s="9"/>
      <c r="MX682" s="9"/>
      <c r="MY682" s="9"/>
      <c r="MZ682" s="9"/>
      <c r="NA682" s="9"/>
      <c r="NB682" s="9"/>
      <c r="NC682" s="9"/>
      <c r="ND682" s="9"/>
      <c r="NE682" s="9"/>
      <c r="NF682" s="9"/>
      <c r="NG682" s="9"/>
      <c r="NH682" s="9"/>
      <c r="NI682" s="9"/>
      <c r="NJ682" s="9"/>
      <c r="NK682" s="9"/>
      <c r="NL682" s="9"/>
      <c r="NM682" s="9"/>
      <c r="NN682" s="9"/>
      <c r="NO682" s="9"/>
      <c r="NP682" s="9"/>
      <c r="NQ682" s="9"/>
      <c r="NR682" s="9"/>
      <c r="NS682" s="9"/>
      <c r="NT682" s="9"/>
      <c r="NU682" s="9"/>
      <c r="NV682" s="9"/>
      <c r="NW682" s="9"/>
      <c r="NX682" s="9"/>
      <c r="NY682" s="9"/>
      <c r="NZ682" s="9"/>
      <c r="OA682" s="9"/>
      <c r="OB682" s="9"/>
      <c r="OC682" s="9"/>
      <c r="OD682" s="9"/>
      <c r="OE682" s="9"/>
      <c r="OF682" s="9"/>
      <c r="OG682" s="9"/>
      <c r="OH682" s="9"/>
      <c r="OI682" s="9"/>
      <c r="OJ682" s="9"/>
      <c r="OK682" s="9"/>
      <c r="OL682" s="9"/>
      <c r="OM682" s="9"/>
      <c r="ON682" s="9"/>
      <c r="OO682" s="9"/>
      <c r="OP682" s="9"/>
      <c r="OQ682" s="9"/>
      <c r="OR682" s="9"/>
      <c r="OS682" s="9"/>
      <c r="OT682" s="9"/>
      <c r="OU682" s="9"/>
      <c r="OV682" s="9"/>
      <c r="OW682" s="9"/>
      <c r="OX682" s="9"/>
      <c r="OY682" s="9"/>
      <c r="OZ682" s="9"/>
      <c r="PA682" s="9"/>
      <c r="PB682" s="9"/>
      <c r="PC682" s="9"/>
      <c r="PD682" s="9"/>
      <c r="PE682" s="9"/>
      <c r="PF682" s="9"/>
      <c r="PG682" s="9"/>
      <c r="PH682" s="9"/>
      <c r="PI682" s="9"/>
      <c r="PJ682" s="9"/>
      <c r="PK682" s="9"/>
      <c r="PL682" s="9"/>
      <c r="PM682" s="9"/>
      <c r="PN682" s="9"/>
      <c r="PO682" s="9"/>
      <c r="PP682" s="9"/>
      <c r="PQ682" s="9"/>
      <c r="PR682" s="9"/>
      <c r="PS682" s="9"/>
      <c r="PT682" s="9"/>
      <c r="PU682" s="9"/>
      <c r="PV682" s="9"/>
      <c r="PW682" s="9"/>
      <c r="PX682" s="9"/>
      <c r="PY682" s="9"/>
      <c r="PZ682" s="9"/>
      <c r="QA682" s="9"/>
      <c r="QB682" s="9"/>
      <c r="QC682" s="9"/>
      <c r="QD682" s="9"/>
      <c r="QE682" s="9"/>
      <c r="QF682" s="9"/>
      <c r="QG682" s="9"/>
      <c r="QH682" s="9"/>
      <c r="QI682" s="9"/>
      <c r="QJ682" s="9"/>
      <c r="QK682" s="9"/>
      <c r="QL682" s="9"/>
      <c r="QM682" s="9"/>
      <c r="QN682" s="9"/>
      <c r="QO682" s="9"/>
      <c r="QP682" s="9"/>
      <c r="QQ682" s="9"/>
      <c r="QR682" s="9"/>
      <c r="QS682" s="9"/>
      <c r="QT682" s="9"/>
      <c r="QU682" s="9"/>
      <c r="QV682" s="9"/>
      <c r="QW682" s="9"/>
      <c r="QX682" s="9"/>
      <c r="QY682" s="9"/>
      <c r="QZ682" s="9"/>
      <c r="RA682" s="9"/>
      <c r="RB682" s="9"/>
      <c r="RC682" s="9"/>
      <c r="RD682" s="9"/>
      <c r="RE682" s="9"/>
      <c r="RF682" s="9"/>
      <c r="RG682" s="9"/>
      <c r="RH682" s="9"/>
      <c r="RI682" s="9"/>
      <c r="RJ682" s="9"/>
      <c r="RK682" s="9"/>
      <c r="RL682" s="9"/>
      <c r="RM682" s="9"/>
      <c r="RN682" s="9"/>
      <c r="RO682" s="9"/>
      <c r="RP682" s="9"/>
      <c r="RQ682" s="9"/>
      <c r="RR682" s="9"/>
      <c r="RS682" s="9"/>
      <c r="RT682" s="9"/>
      <c r="RU682" s="9"/>
      <c r="RV682" s="9"/>
      <c r="RW682" s="9"/>
      <c r="RX682" s="9"/>
      <c r="RY682" s="9"/>
      <c r="RZ682" s="9"/>
      <c r="SA682" s="9"/>
      <c r="SB682" s="9"/>
      <c r="SC682" s="9"/>
      <c r="SD682" s="9"/>
      <c r="SE682" s="9"/>
      <c r="SF682" s="9"/>
      <c r="SG682" s="9"/>
      <c r="SH682" s="9"/>
      <c r="SI682" s="9"/>
      <c r="SJ682" s="9"/>
      <c r="SK682" s="9"/>
      <c r="SL682" s="9"/>
      <c r="SM682" s="9"/>
      <c r="SN682" s="9"/>
      <c r="SO682" s="9"/>
      <c r="SP682" s="9"/>
      <c r="SQ682" s="9"/>
      <c r="SR682" s="9"/>
      <c r="SS682" s="9"/>
      <c r="ST682" s="9"/>
      <c r="SU682" s="9"/>
      <c r="SV682" s="9"/>
      <c r="SW682" s="9"/>
      <c r="SX682" s="9"/>
      <c r="SY682" s="9"/>
      <c r="SZ682" s="9"/>
      <c r="TA682" s="9"/>
      <c r="TB682" s="9"/>
      <c r="TC682" s="9"/>
      <c r="TD682" s="9"/>
      <c r="TE682" s="9"/>
      <c r="TF682" s="9"/>
      <c r="TG682" s="9"/>
      <c r="TH682" s="9"/>
      <c r="TI682" s="9"/>
      <c r="TJ682" s="9"/>
      <c r="TK682" s="9"/>
      <c r="TL682" s="9"/>
      <c r="TM682" s="9"/>
      <c r="TN682" s="9"/>
      <c r="TO682" s="9"/>
      <c r="TP682" s="9"/>
      <c r="TQ682" s="9"/>
      <c r="TR682" s="9"/>
      <c r="TS682" s="9"/>
      <c r="TT682" s="9"/>
      <c r="TU682" s="9"/>
      <c r="TV682" s="9"/>
      <c r="TW682" s="9"/>
      <c r="TX682" s="9"/>
      <c r="TY682" s="9"/>
      <c r="TZ682" s="9"/>
      <c r="UA682" s="9"/>
      <c r="UB682" s="9"/>
      <c r="UC682" s="9"/>
      <c r="UD682" s="9"/>
      <c r="UE682" s="9"/>
      <c r="UF682" s="9"/>
      <c r="UG682" s="9"/>
      <c r="UH682" s="9"/>
      <c r="UI682" s="9"/>
      <c r="UJ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  <c r="IC683" s="9"/>
      <c r="ID683" s="9"/>
      <c r="IE683" s="9"/>
      <c r="IF683" s="9"/>
      <c r="IG683" s="9"/>
      <c r="IH683" s="9"/>
      <c r="II683" s="9"/>
      <c r="IJ683" s="9"/>
      <c r="IK683" s="9"/>
      <c r="IL683" s="9"/>
      <c r="IM683" s="9"/>
      <c r="IN683" s="9"/>
      <c r="IO683" s="9"/>
      <c r="IP683" s="9"/>
      <c r="IQ683" s="9"/>
      <c r="IR683" s="9"/>
      <c r="IS683" s="9"/>
      <c r="IT683" s="9"/>
      <c r="IU683" s="9"/>
      <c r="IV683" s="9"/>
      <c r="IW683" s="9"/>
      <c r="IX683" s="9"/>
      <c r="IY683" s="9"/>
      <c r="IZ683" s="9"/>
      <c r="JA683" s="9"/>
      <c r="JB683" s="9"/>
      <c r="JC683" s="9"/>
      <c r="JD683" s="9"/>
      <c r="JE683" s="9"/>
      <c r="JF683" s="9"/>
      <c r="JG683" s="9"/>
      <c r="JH683" s="9"/>
      <c r="JI683" s="9"/>
      <c r="JJ683" s="9"/>
      <c r="JK683" s="9"/>
      <c r="JL683" s="9"/>
      <c r="JM683" s="9"/>
      <c r="JN683" s="9"/>
      <c r="JO683" s="9"/>
      <c r="JP683" s="9"/>
      <c r="JQ683" s="9"/>
      <c r="JR683" s="9"/>
      <c r="JS683" s="9"/>
      <c r="JT683" s="9"/>
      <c r="JU683" s="9"/>
      <c r="JV683" s="9"/>
      <c r="JW683" s="9"/>
      <c r="JX683" s="9"/>
      <c r="JY683" s="9"/>
      <c r="JZ683" s="9"/>
      <c r="KA683" s="9"/>
      <c r="KB683" s="9"/>
      <c r="KC683" s="9"/>
      <c r="KD683" s="9"/>
      <c r="KE683" s="9"/>
      <c r="KF683" s="9"/>
      <c r="KG683" s="9"/>
      <c r="KH683" s="9"/>
      <c r="KI683" s="9"/>
      <c r="KJ683" s="9"/>
      <c r="KK683" s="9"/>
      <c r="KL683" s="9"/>
      <c r="KM683" s="9"/>
      <c r="KN683" s="9"/>
      <c r="KO683" s="9"/>
      <c r="KP683" s="9"/>
      <c r="KQ683" s="9"/>
      <c r="KR683" s="9"/>
      <c r="KS683" s="9"/>
      <c r="KT683" s="9"/>
      <c r="KU683" s="9"/>
      <c r="KV683" s="9"/>
      <c r="KW683" s="9"/>
      <c r="KX683" s="9"/>
      <c r="KY683" s="9"/>
      <c r="KZ683" s="9"/>
      <c r="LA683" s="9"/>
      <c r="LB683" s="9"/>
      <c r="LC683" s="9"/>
      <c r="LD683" s="9"/>
      <c r="LE683" s="9"/>
      <c r="LF683" s="9"/>
      <c r="LG683" s="9"/>
      <c r="LH683" s="9"/>
      <c r="LI683" s="9"/>
      <c r="LJ683" s="9"/>
      <c r="LK683" s="9"/>
      <c r="LL683" s="9"/>
      <c r="LM683" s="9"/>
      <c r="LN683" s="9"/>
      <c r="LO683" s="9"/>
      <c r="LP683" s="9"/>
      <c r="LQ683" s="9"/>
      <c r="LR683" s="9"/>
      <c r="LS683" s="9"/>
      <c r="LT683" s="9"/>
      <c r="LU683" s="9"/>
      <c r="LV683" s="9"/>
      <c r="LW683" s="9"/>
      <c r="LX683" s="9"/>
      <c r="LY683" s="9"/>
      <c r="LZ683" s="9"/>
      <c r="MA683" s="9"/>
      <c r="MB683" s="9"/>
      <c r="MC683" s="9"/>
      <c r="MD683" s="9"/>
      <c r="ME683" s="9"/>
      <c r="MF683" s="9"/>
      <c r="MG683" s="9"/>
      <c r="MH683" s="9"/>
      <c r="MI683" s="9"/>
      <c r="MJ683" s="9"/>
      <c r="MK683" s="9"/>
      <c r="ML683" s="9"/>
      <c r="MM683" s="9"/>
      <c r="MN683" s="9"/>
      <c r="MO683" s="9"/>
      <c r="MP683" s="9"/>
      <c r="MQ683" s="9"/>
      <c r="MR683" s="9"/>
      <c r="MS683" s="9"/>
      <c r="MT683" s="9"/>
      <c r="MU683" s="9"/>
      <c r="MV683" s="9"/>
      <c r="MW683" s="9"/>
      <c r="MX683" s="9"/>
      <c r="MY683" s="9"/>
      <c r="MZ683" s="9"/>
      <c r="NA683" s="9"/>
      <c r="NB683" s="9"/>
      <c r="NC683" s="9"/>
      <c r="ND683" s="9"/>
      <c r="NE683" s="9"/>
      <c r="NF683" s="9"/>
      <c r="NG683" s="9"/>
      <c r="NH683" s="9"/>
      <c r="NI683" s="9"/>
      <c r="NJ683" s="9"/>
      <c r="NK683" s="9"/>
      <c r="NL683" s="9"/>
      <c r="NM683" s="9"/>
      <c r="NN683" s="9"/>
      <c r="NO683" s="9"/>
      <c r="NP683" s="9"/>
      <c r="NQ683" s="9"/>
      <c r="NR683" s="9"/>
      <c r="NS683" s="9"/>
      <c r="NT683" s="9"/>
      <c r="NU683" s="9"/>
      <c r="NV683" s="9"/>
      <c r="NW683" s="9"/>
      <c r="NX683" s="9"/>
      <c r="NY683" s="9"/>
      <c r="NZ683" s="9"/>
      <c r="OA683" s="9"/>
      <c r="OB683" s="9"/>
      <c r="OC683" s="9"/>
      <c r="OD683" s="9"/>
      <c r="OE683" s="9"/>
      <c r="OF683" s="9"/>
      <c r="OG683" s="9"/>
      <c r="OH683" s="9"/>
      <c r="OI683" s="9"/>
      <c r="OJ683" s="9"/>
      <c r="OK683" s="9"/>
      <c r="OL683" s="9"/>
      <c r="OM683" s="9"/>
      <c r="ON683" s="9"/>
      <c r="OO683" s="9"/>
      <c r="OP683" s="9"/>
      <c r="OQ683" s="9"/>
      <c r="OR683" s="9"/>
      <c r="OS683" s="9"/>
      <c r="OT683" s="9"/>
      <c r="OU683" s="9"/>
      <c r="OV683" s="9"/>
      <c r="OW683" s="9"/>
      <c r="OX683" s="9"/>
      <c r="OY683" s="9"/>
      <c r="OZ683" s="9"/>
      <c r="PA683" s="9"/>
      <c r="PB683" s="9"/>
      <c r="PC683" s="9"/>
      <c r="PD683" s="9"/>
      <c r="PE683" s="9"/>
      <c r="PF683" s="9"/>
      <c r="PG683" s="9"/>
      <c r="PH683" s="9"/>
      <c r="PI683" s="9"/>
      <c r="PJ683" s="9"/>
      <c r="PK683" s="9"/>
      <c r="PL683" s="9"/>
      <c r="PM683" s="9"/>
      <c r="PN683" s="9"/>
      <c r="PO683" s="9"/>
      <c r="PP683" s="9"/>
      <c r="PQ683" s="9"/>
      <c r="PR683" s="9"/>
      <c r="PS683" s="9"/>
      <c r="PT683" s="9"/>
      <c r="PU683" s="9"/>
      <c r="PV683" s="9"/>
      <c r="PW683" s="9"/>
      <c r="PX683" s="9"/>
      <c r="PY683" s="9"/>
      <c r="PZ683" s="9"/>
      <c r="QA683" s="9"/>
      <c r="QB683" s="9"/>
      <c r="QC683" s="9"/>
      <c r="QD683" s="9"/>
      <c r="QE683" s="9"/>
      <c r="QF683" s="9"/>
      <c r="QG683" s="9"/>
      <c r="QH683" s="9"/>
      <c r="QI683" s="9"/>
      <c r="QJ683" s="9"/>
      <c r="QK683" s="9"/>
      <c r="QL683" s="9"/>
      <c r="QM683" s="9"/>
      <c r="QN683" s="9"/>
      <c r="QO683" s="9"/>
      <c r="QP683" s="9"/>
      <c r="QQ683" s="9"/>
      <c r="QR683" s="9"/>
      <c r="QS683" s="9"/>
      <c r="QT683" s="9"/>
      <c r="QU683" s="9"/>
      <c r="QV683" s="9"/>
      <c r="QW683" s="9"/>
      <c r="QX683" s="9"/>
      <c r="QY683" s="9"/>
      <c r="QZ683" s="9"/>
      <c r="RA683" s="9"/>
      <c r="RB683" s="9"/>
      <c r="RC683" s="9"/>
      <c r="RD683" s="9"/>
      <c r="RE683" s="9"/>
      <c r="RF683" s="9"/>
      <c r="RG683" s="9"/>
      <c r="RH683" s="9"/>
      <c r="RI683" s="9"/>
      <c r="RJ683" s="9"/>
      <c r="RK683" s="9"/>
      <c r="RL683" s="9"/>
      <c r="RM683" s="9"/>
      <c r="RN683" s="9"/>
      <c r="RO683" s="9"/>
      <c r="RP683" s="9"/>
      <c r="RQ683" s="9"/>
      <c r="RR683" s="9"/>
      <c r="RS683" s="9"/>
      <c r="RT683" s="9"/>
      <c r="RU683" s="9"/>
      <c r="RV683" s="9"/>
      <c r="RW683" s="9"/>
      <c r="RX683" s="9"/>
      <c r="RY683" s="9"/>
      <c r="RZ683" s="9"/>
      <c r="SA683" s="9"/>
      <c r="SB683" s="9"/>
      <c r="SC683" s="9"/>
      <c r="SD683" s="9"/>
      <c r="SE683" s="9"/>
      <c r="SF683" s="9"/>
      <c r="SG683" s="9"/>
      <c r="SH683" s="9"/>
      <c r="SI683" s="9"/>
      <c r="SJ683" s="9"/>
      <c r="SK683" s="9"/>
      <c r="SL683" s="9"/>
      <c r="SM683" s="9"/>
      <c r="SN683" s="9"/>
      <c r="SO683" s="9"/>
      <c r="SP683" s="9"/>
      <c r="SQ683" s="9"/>
      <c r="SR683" s="9"/>
      <c r="SS683" s="9"/>
      <c r="ST683" s="9"/>
      <c r="SU683" s="9"/>
      <c r="SV683" s="9"/>
      <c r="SW683" s="9"/>
      <c r="SX683" s="9"/>
      <c r="SY683" s="9"/>
      <c r="SZ683" s="9"/>
      <c r="TA683" s="9"/>
      <c r="TB683" s="9"/>
      <c r="TC683" s="9"/>
      <c r="TD683" s="9"/>
      <c r="TE683" s="9"/>
      <c r="TF683" s="9"/>
      <c r="TG683" s="9"/>
      <c r="TH683" s="9"/>
      <c r="TI683" s="9"/>
      <c r="TJ683" s="9"/>
      <c r="TK683" s="9"/>
      <c r="TL683" s="9"/>
      <c r="TM683" s="9"/>
      <c r="TN683" s="9"/>
      <c r="TO683" s="9"/>
      <c r="TP683" s="9"/>
      <c r="TQ683" s="9"/>
      <c r="TR683" s="9"/>
      <c r="TS683" s="9"/>
      <c r="TT683" s="9"/>
      <c r="TU683" s="9"/>
      <c r="TV683" s="9"/>
      <c r="TW683" s="9"/>
      <c r="TX683" s="9"/>
      <c r="TY683" s="9"/>
      <c r="TZ683" s="9"/>
      <c r="UA683" s="9"/>
      <c r="UB683" s="9"/>
      <c r="UC683" s="9"/>
      <c r="UD683" s="9"/>
      <c r="UE683" s="9"/>
      <c r="UF683" s="9"/>
      <c r="UG683" s="9"/>
      <c r="UH683" s="9"/>
      <c r="UI683" s="9"/>
      <c r="UJ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9"/>
      <c r="IA777" s="9"/>
      <c r="IB777" s="9"/>
      <c r="IC777" s="9"/>
      <c r="ID777" s="9"/>
      <c r="IE777" s="9"/>
      <c r="IF777" s="9"/>
      <c r="IG777" s="9"/>
      <c r="IH777" s="9"/>
      <c r="II777" s="9"/>
      <c r="IJ777" s="9"/>
      <c r="IK777" s="9"/>
      <c r="IL777" s="9"/>
      <c r="IM777" s="9"/>
      <c r="IN777" s="9"/>
      <c r="IO777" s="9"/>
      <c r="IP777" s="9"/>
      <c r="IQ777" s="9"/>
      <c r="IR777" s="9"/>
      <c r="IS777" s="9"/>
      <c r="IT777" s="9"/>
      <c r="IU777" s="9"/>
      <c r="IV777" s="9"/>
      <c r="IW777" s="9"/>
      <c r="IX777" s="9"/>
      <c r="IY777" s="9"/>
      <c r="IZ777" s="9"/>
      <c r="JA777" s="9"/>
      <c r="JB777" s="9"/>
      <c r="JC777" s="9"/>
      <c r="JD777" s="9"/>
      <c r="JE777" s="9"/>
      <c r="JF777" s="9"/>
      <c r="JG777" s="9"/>
      <c r="JH777" s="9"/>
      <c r="JI777" s="9"/>
      <c r="JJ777" s="9"/>
      <c r="JK777" s="9"/>
      <c r="JL777" s="9"/>
      <c r="JM777" s="9"/>
      <c r="JN777" s="9"/>
      <c r="JO777" s="9"/>
      <c r="JP777" s="9"/>
      <c r="JQ777" s="9"/>
      <c r="JR777" s="9"/>
      <c r="JS777" s="9"/>
      <c r="JT777" s="9"/>
      <c r="JU777" s="9"/>
      <c r="JV777" s="9"/>
      <c r="JW777" s="9"/>
      <c r="JX777" s="9"/>
      <c r="JY777" s="9"/>
      <c r="JZ777" s="9"/>
      <c r="KA777" s="9"/>
      <c r="KB777" s="9"/>
      <c r="KC777" s="9"/>
      <c r="KD777" s="9"/>
      <c r="KE777" s="9"/>
      <c r="KF777" s="9"/>
      <c r="KG777" s="9"/>
      <c r="KH777" s="9"/>
      <c r="KI777" s="9"/>
      <c r="KJ777" s="9"/>
      <c r="KK777" s="9"/>
      <c r="KL777" s="9"/>
      <c r="KM777" s="9"/>
      <c r="KN777" s="9"/>
      <c r="KO777" s="9"/>
      <c r="KP777" s="9"/>
      <c r="KQ777" s="9"/>
      <c r="KR777" s="9"/>
      <c r="KS777" s="9"/>
      <c r="KT777" s="9"/>
      <c r="KU777" s="9"/>
      <c r="KV777" s="9"/>
      <c r="KW777" s="9"/>
      <c r="KX777" s="9"/>
      <c r="KY777" s="9"/>
      <c r="KZ777" s="9"/>
      <c r="LA777" s="9"/>
      <c r="LB777" s="9"/>
      <c r="LC777" s="9"/>
      <c r="LD777" s="9"/>
      <c r="LE777" s="9"/>
      <c r="LF777" s="9"/>
      <c r="LG777" s="9"/>
      <c r="LH777" s="9"/>
      <c r="LI777" s="9"/>
      <c r="LJ777" s="9"/>
      <c r="LK777" s="9"/>
      <c r="LL777" s="9"/>
      <c r="LM777" s="9"/>
      <c r="LN777" s="9"/>
      <c r="LO777" s="9"/>
      <c r="LP777" s="9"/>
      <c r="LQ777" s="9"/>
      <c r="LR777" s="9"/>
      <c r="LS777" s="9"/>
      <c r="LT777" s="9"/>
      <c r="LU777" s="9"/>
      <c r="LV777" s="9"/>
      <c r="LW777" s="9"/>
      <c r="LX777" s="9"/>
      <c r="LY777" s="9"/>
      <c r="LZ777" s="9"/>
      <c r="MA777" s="9"/>
      <c r="MB777" s="9"/>
      <c r="MC777" s="9"/>
      <c r="MD777" s="9"/>
      <c r="ME777" s="9"/>
      <c r="MF777" s="9"/>
      <c r="MG777" s="9"/>
      <c r="MH777" s="9"/>
      <c r="MI777" s="9"/>
      <c r="MJ777" s="9"/>
      <c r="MK777" s="9"/>
      <c r="ML777" s="9"/>
      <c r="MM777" s="9"/>
      <c r="MN777" s="9"/>
      <c r="MO777" s="9"/>
      <c r="MP777" s="9"/>
      <c r="MQ777" s="9"/>
      <c r="MR777" s="9"/>
      <c r="MS777" s="9"/>
      <c r="MT777" s="9"/>
      <c r="MU777" s="9"/>
      <c r="MV777" s="9"/>
      <c r="MW777" s="9"/>
      <c r="MX777" s="9"/>
      <c r="MY777" s="9"/>
      <c r="MZ777" s="9"/>
      <c r="NA777" s="9"/>
      <c r="NB777" s="9"/>
      <c r="NC777" s="9"/>
      <c r="ND777" s="9"/>
      <c r="NE777" s="9"/>
      <c r="NF777" s="9"/>
      <c r="NG777" s="9"/>
      <c r="NH777" s="9"/>
      <c r="NI777" s="9"/>
      <c r="NJ777" s="9"/>
      <c r="NK777" s="9"/>
      <c r="NL777" s="9"/>
      <c r="NM777" s="9"/>
      <c r="NN777" s="9"/>
      <c r="NO777" s="9"/>
      <c r="NP777" s="9"/>
      <c r="NQ777" s="9"/>
      <c r="NR777" s="9"/>
      <c r="NS777" s="9"/>
      <c r="NT777" s="9"/>
      <c r="NU777" s="9"/>
      <c r="NV777" s="9"/>
      <c r="NW777" s="9"/>
      <c r="NX777" s="9"/>
      <c r="NY777" s="9"/>
      <c r="NZ777" s="9"/>
      <c r="OA777" s="9"/>
      <c r="OB777" s="9"/>
      <c r="OC777" s="9"/>
      <c r="OD777" s="9"/>
      <c r="OE777" s="9"/>
      <c r="OF777" s="9"/>
      <c r="OG777" s="9"/>
      <c r="OH777" s="9"/>
      <c r="OI777" s="9"/>
      <c r="OJ777" s="9"/>
      <c r="OK777" s="9"/>
      <c r="OL777" s="9"/>
      <c r="OM777" s="9"/>
      <c r="ON777" s="9"/>
      <c r="OO777" s="9"/>
      <c r="OP777" s="9"/>
      <c r="OQ777" s="9"/>
      <c r="OR777" s="9"/>
      <c r="OS777" s="9"/>
      <c r="OT777" s="9"/>
      <c r="OU777" s="9"/>
      <c r="OV777" s="9"/>
      <c r="OW777" s="9"/>
      <c r="OX777" s="9"/>
      <c r="OY777" s="9"/>
      <c r="OZ777" s="9"/>
      <c r="PA777" s="9"/>
      <c r="PB777" s="9"/>
      <c r="PC777" s="9"/>
      <c r="PD777" s="9"/>
      <c r="PE777" s="9"/>
      <c r="PF777" s="9"/>
      <c r="PG777" s="9"/>
      <c r="PH777" s="9"/>
      <c r="PI777" s="9"/>
      <c r="PJ777" s="9"/>
      <c r="PK777" s="9"/>
      <c r="PL777" s="9"/>
      <c r="PM777" s="9"/>
      <c r="PN777" s="9"/>
      <c r="PO777" s="9"/>
      <c r="PP777" s="9"/>
      <c r="PQ777" s="9"/>
      <c r="PR777" s="9"/>
      <c r="PS777" s="9"/>
      <c r="PT777" s="9"/>
      <c r="PU777" s="9"/>
      <c r="PV777" s="9"/>
      <c r="PW777" s="9"/>
      <c r="PX777" s="9"/>
      <c r="PY777" s="9"/>
      <c r="PZ777" s="9"/>
      <c r="QA777" s="9"/>
      <c r="QB777" s="9"/>
      <c r="QC777" s="9"/>
      <c r="QD777" s="9"/>
      <c r="QE777" s="9"/>
      <c r="QF777" s="9"/>
      <c r="QG777" s="9"/>
      <c r="QH777" s="9"/>
      <c r="QI777" s="9"/>
      <c r="QJ777" s="9"/>
      <c r="QK777" s="9"/>
      <c r="QL777" s="9"/>
      <c r="QM777" s="9"/>
      <c r="QN777" s="9"/>
      <c r="QO777" s="9"/>
      <c r="QP777" s="9"/>
      <c r="QQ777" s="9"/>
      <c r="QR777" s="9"/>
      <c r="QS777" s="9"/>
      <c r="QT777" s="9"/>
      <c r="QU777" s="9"/>
      <c r="QV777" s="9"/>
      <c r="QW777" s="9"/>
      <c r="QX777" s="9"/>
      <c r="QY777" s="9"/>
      <c r="QZ777" s="9"/>
      <c r="RA777" s="9"/>
      <c r="RB777" s="9"/>
      <c r="RC777" s="9"/>
      <c r="RD777" s="9"/>
      <c r="RE777" s="9"/>
      <c r="RF777" s="9"/>
      <c r="RG777" s="9"/>
      <c r="RH777" s="9"/>
      <c r="RI777" s="9"/>
      <c r="RJ777" s="9"/>
      <c r="RK777" s="9"/>
      <c r="RL777" s="9"/>
      <c r="RM777" s="9"/>
      <c r="RN777" s="9"/>
      <c r="RO777" s="9"/>
      <c r="RP777" s="9"/>
      <c r="RQ777" s="9"/>
      <c r="RR777" s="9"/>
      <c r="RS777" s="9"/>
      <c r="RT777" s="9"/>
      <c r="RU777" s="9"/>
      <c r="RV777" s="9"/>
      <c r="RW777" s="9"/>
      <c r="RX777" s="9"/>
      <c r="RY777" s="9"/>
      <c r="RZ777" s="9"/>
      <c r="SA777" s="9"/>
      <c r="SB777" s="9"/>
      <c r="SC777" s="9"/>
      <c r="SD777" s="9"/>
      <c r="SE777" s="9"/>
      <c r="SF777" s="9"/>
      <c r="SG777" s="9"/>
      <c r="SH777" s="9"/>
      <c r="SI777" s="9"/>
      <c r="SJ777" s="9"/>
      <c r="SK777" s="9"/>
      <c r="SL777" s="9"/>
      <c r="SM777" s="9"/>
      <c r="SN777" s="9"/>
      <c r="SO777" s="9"/>
      <c r="SP777" s="9"/>
      <c r="SQ777" s="9"/>
      <c r="SR777" s="9"/>
      <c r="SS777" s="9"/>
      <c r="ST777" s="9"/>
      <c r="SU777" s="9"/>
      <c r="SV777" s="9"/>
      <c r="SW777" s="9"/>
      <c r="SX777" s="9"/>
      <c r="SY777" s="9"/>
      <c r="SZ777" s="9"/>
      <c r="TA777" s="9"/>
      <c r="TB777" s="9"/>
      <c r="TC777" s="9"/>
      <c r="TD777" s="9"/>
      <c r="TE777" s="9"/>
      <c r="TF777" s="9"/>
      <c r="TG777" s="9"/>
      <c r="TH777" s="9"/>
      <c r="TI777" s="9"/>
      <c r="TJ777" s="9"/>
      <c r="TK777" s="9"/>
      <c r="TL777" s="9"/>
      <c r="TM777" s="9"/>
      <c r="TN777" s="9"/>
      <c r="TO777" s="9"/>
      <c r="TP777" s="9"/>
      <c r="TQ777" s="9"/>
      <c r="TR777" s="9"/>
      <c r="TS777" s="9"/>
      <c r="TT777" s="9"/>
      <c r="TU777" s="9"/>
      <c r="TV777" s="9"/>
      <c r="TW777" s="9"/>
      <c r="TX777" s="9"/>
      <c r="TY777" s="9"/>
      <c r="TZ777" s="9"/>
      <c r="UA777" s="9"/>
      <c r="UB777" s="9"/>
      <c r="UC777" s="9"/>
      <c r="UD777" s="9"/>
      <c r="UE777" s="9"/>
      <c r="UF777" s="9"/>
      <c r="UG777" s="9"/>
      <c r="UH777" s="9"/>
      <c r="UI777" s="9"/>
      <c r="UJ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  <c r="HZ778" s="9"/>
      <c r="IA778" s="9"/>
      <c r="IB778" s="9"/>
      <c r="IC778" s="9"/>
      <c r="ID778" s="9"/>
      <c r="IE778" s="9"/>
      <c r="IF778" s="9"/>
      <c r="IG778" s="9"/>
      <c r="IH778" s="9"/>
      <c r="II778" s="9"/>
      <c r="IJ778" s="9"/>
      <c r="IK778" s="9"/>
      <c r="IL778" s="9"/>
      <c r="IM778" s="9"/>
      <c r="IN778" s="9"/>
      <c r="IO778" s="9"/>
      <c r="IP778" s="9"/>
      <c r="IQ778" s="9"/>
      <c r="IR778" s="9"/>
      <c r="IS778" s="9"/>
      <c r="IT778" s="9"/>
      <c r="IU778" s="9"/>
      <c r="IV778" s="9"/>
      <c r="IW778" s="9"/>
      <c r="IX778" s="9"/>
      <c r="IY778" s="9"/>
      <c r="IZ778" s="9"/>
      <c r="JA778" s="9"/>
      <c r="JB778" s="9"/>
      <c r="JC778" s="9"/>
      <c r="JD778" s="9"/>
      <c r="JE778" s="9"/>
      <c r="JF778" s="9"/>
      <c r="JG778" s="9"/>
      <c r="JH778" s="9"/>
      <c r="JI778" s="9"/>
      <c r="JJ778" s="9"/>
      <c r="JK778" s="9"/>
      <c r="JL778" s="9"/>
      <c r="JM778" s="9"/>
      <c r="JN778" s="9"/>
      <c r="JO778" s="9"/>
      <c r="JP778" s="9"/>
      <c r="JQ778" s="9"/>
      <c r="JR778" s="9"/>
      <c r="JS778" s="9"/>
      <c r="JT778" s="9"/>
      <c r="JU778" s="9"/>
      <c r="JV778" s="9"/>
      <c r="JW778" s="9"/>
      <c r="JX778" s="9"/>
      <c r="JY778" s="9"/>
      <c r="JZ778" s="9"/>
      <c r="KA778" s="9"/>
      <c r="KB778" s="9"/>
      <c r="KC778" s="9"/>
      <c r="KD778" s="9"/>
      <c r="KE778" s="9"/>
      <c r="KF778" s="9"/>
      <c r="KG778" s="9"/>
      <c r="KH778" s="9"/>
      <c r="KI778" s="9"/>
      <c r="KJ778" s="9"/>
      <c r="KK778" s="9"/>
      <c r="KL778" s="9"/>
      <c r="KM778" s="9"/>
      <c r="KN778" s="9"/>
      <c r="KO778" s="9"/>
      <c r="KP778" s="9"/>
      <c r="KQ778" s="9"/>
      <c r="KR778" s="9"/>
      <c r="KS778" s="9"/>
      <c r="KT778" s="9"/>
      <c r="KU778" s="9"/>
      <c r="KV778" s="9"/>
      <c r="KW778" s="9"/>
      <c r="KX778" s="9"/>
      <c r="KY778" s="9"/>
      <c r="KZ778" s="9"/>
      <c r="LA778" s="9"/>
      <c r="LB778" s="9"/>
      <c r="LC778" s="9"/>
      <c r="LD778" s="9"/>
      <c r="LE778" s="9"/>
      <c r="LF778" s="9"/>
      <c r="LG778" s="9"/>
      <c r="LH778" s="9"/>
      <c r="LI778" s="9"/>
      <c r="LJ778" s="9"/>
      <c r="LK778" s="9"/>
      <c r="LL778" s="9"/>
      <c r="LM778" s="9"/>
      <c r="LN778" s="9"/>
      <c r="LO778" s="9"/>
      <c r="LP778" s="9"/>
      <c r="LQ778" s="9"/>
      <c r="LR778" s="9"/>
      <c r="LS778" s="9"/>
      <c r="LT778" s="9"/>
      <c r="LU778" s="9"/>
      <c r="LV778" s="9"/>
      <c r="LW778" s="9"/>
      <c r="LX778" s="9"/>
      <c r="LY778" s="9"/>
      <c r="LZ778" s="9"/>
      <c r="MA778" s="9"/>
      <c r="MB778" s="9"/>
      <c r="MC778" s="9"/>
      <c r="MD778" s="9"/>
      <c r="ME778" s="9"/>
      <c r="MF778" s="9"/>
      <c r="MG778" s="9"/>
      <c r="MH778" s="9"/>
      <c r="MI778" s="9"/>
      <c r="MJ778" s="9"/>
      <c r="MK778" s="9"/>
      <c r="ML778" s="9"/>
      <c r="MM778" s="9"/>
      <c r="MN778" s="9"/>
      <c r="MO778" s="9"/>
      <c r="MP778" s="9"/>
      <c r="MQ778" s="9"/>
      <c r="MR778" s="9"/>
      <c r="MS778" s="9"/>
      <c r="MT778" s="9"/>
      <c r="MU778" s="9"/>
      <c r="MV778" s="9"/>
      <c r="MW778" s="9"/>
      <c r="MX778" s="9"/>
      <c r="MY778" s="9"/>
      <c r="MZ778" s="9"/>
      <c r="NA778" s="9"/>
      <c r="NB778" s="9"/>
      <c r="NC778" s="9"/>
      <c r="ND778" s="9"/>
      <c r="NE778" s="9"/>
      <c r="NF778" s="9"/>
      <c r="NG778" s="9"/>
      <c r="NH778" s="9"/>
      <c r="NI778" s="9"/>
      <c r="NJ778" s="9"/>
      <c r="NK778" s="9"/>
      <c r="NL778" s="9"/>
      <c r="NM778" s="9"/>
      <c r="NN778" s="9"/>
      <c r="NO778" s="9"/>
      <c r="NP778" s="9"/>
      <c r="NQ778" s="9"/>
      <c r="NR778" s="9"/>
      <c r="NS778" s="9"/>
      <c r="NT778" s="9"/>
      <c r="NU778" s="9"/>
      <c r="NV778" s="9"/>
      <c r="NW778" s="9"/>
      <c r="NX778" s="9"/>
      <c r="NY778" s="9"/>
      <c r="NZ778" s="9"/>
      <c r="OA778" s="9"/>
      <c r="OB778" s="9"/>
      <c r="OC778" s="9"/>
      <c r="OD778" s="9"/>
      <c r="OE778" s="9"/>
      <c r="OF778" s="9"/>
      <c r="OG778" s="9"/>
      <c r="OH778" s="9"/>
      <c r="OI778" s="9"/>
      <c r="OJ778" s="9"/>
      <c r="OK778" s="9"/>
      <c r="OL778" s="9"/>
      <c r="OM778" s="9"/>
      <c r="ON778" s="9"/>
      <c r="OO778" s="9"/>
      <c r="OP778" s="9"/>
      <c r="OQ778" s="9"/>
      <c r="OR778" s="9"/>
      <c r="OS778" s="9"/>
      <c r="OT778" s="9"/>
      <c r="OU778" s="9"/>
      <c r="OV778" s="9"/>
      <c r="OW778" s="9"/>
      <c r="OX778" s="9"/>
      <c r="OY778" s="9"/>
      <c r="OZ778" s="9"/>
      <c r="PA778" s="9"/>
      <c r="PB778" s="9"/>
      <c r="PC778" s="9"/>
      <c r="PD778" s="9"/>
      <c r="PE778" s="9"/>
      <c r="PF778" s="9"/>
      <c r="PG778" s="9"/>
      <c r="PH778" s="9"/>
      <c r="PI778" s="9"/>
      <c r="PJ778" s="9"/>
      <c r="PK778" s="9"/>
      <c r="PL778" s="9"/>
      <c r="PM778" s="9"/>
      <c r="PN778" s="9"/>
      <c r="PO778" s="9"/>
      <c r="PP778" s="9"/>
      <c r="PQ778" s="9"/>
      <c r="PR778" s="9"/>
      <c r="PS778" s="9"/>
      <c r="PT778" s="9"/>
      <c r="PU778" s="9"/>
      <c r="PV778" s="9"/>
      <c r="PW778" s="9"/>
      <c r="PX778" s="9"/>
      <c r="PY778" s="9"/>
      <c r="PZ778" s="9"/>
      <c r="QA778" s="9"/>
      <c r="QB778" s="9"/>
      <c r="QC778" s="9"/>
      <c r="QD778" s="9"/>
      <c r="QE778" s="9"/>
      <c r="QF778" s="9"/>
      <c r="QG778" s="9"/>
      <c r="QH778" s="9"/>
      <c r="QI778" s="9"/>
      <c r="QJ778" s="9"/>
      <c r="QK778" s="9"/>
      <c r="QL778" s="9"/>
      <c r="QM778" s="9"/>
      <c r="QN778" s="9"/>
      <c r="QO778" s="9"/>
      <c r="QP778" s="9"/>
      <c r="QQ778" s="9"/>
      <c r="QR778" s="9"/>
      <c r="QS778" s="9"/>
      <c r="QT778" s="9"/>
      <c r="QU778" s="9"/>
      <c r="QV778" s="9"/>
      <c r="QW778" s="9"/>
      <c r="QX778" s="9"/>
      <c r="QY778" s="9"/>
      <c r="QZ778" s="9"/>
      <c r="RA778" s="9"/>
      <c r="RB778" s="9"/>
      <c r="RC778" s="9"/>
      <c r="RD778" s="9"/>
      <c r="RE778" s="9"/>
      <c r="RF778" s="9"/>
      <c r="RG778" s="9"/>
      <c r="RH778" s="9"/>
      <c r="RI778" s="9"/>
      <c r="RJ778" s="9"/>
      <c r="RK778" s="9"/>
      <c r="RL778" s="9"/>
      <c r="RM778" s="9"/>
      <c r="RN778" s="9"/>
      <c r="RO778" s="9"/>
      <c r="RP778" s="9"/>
      <c r="RQ778" s="9"/>
      <c r="RR778" s="9"/>
      <c r="RS778" s="9"/>
      <c r="RT778" s="9"/>
      <c r="RU778" s="9"/>
      <c r="RV778" s="9"/>
      <c r="RW778" s="9"/>
      <c r="RX778" s="9"/>
      <c r="RY778" s="9"/>
      <c r="RZ778" s="9"/>
      <c r="SA778" s="9"/>
      <c r="SB778" s="9"/>
      <c r="SC778" s="9"/>
      <c r="SD778" s="9"/>
      <c r="SE778" s="9"/>
      <c r="SF778" s="9"/>
      <c r="SG778" s="9"/>
      <c r="SH778" s="9"/>
      <c r="SI778" s="9"/>
      <c r="SJ778" s="9"/>
      <c r="SK778" s="9"/>
      <c r="SL778" s="9"/>
      <c r="SM778" s="9"/>
      <c r="SN778" s="9"/>
      <c r="SO778" s="9"/>
      <c r="SP778" s="9"/>
      <c r="SQ778" s="9"/>
      <c r="SR778" s="9"/>
      <c r="SS778" s="9"/>
      <c r="ST778" s="9"/>
      <c r="SU778" s="9"/>
      <c r="SV778" s="9"/>
      <c r="SW778" s="9"/>
      <c r="SX778" s="9"/>
      <c r="SY778" s="9"/>
      <c r="SZ778" s="9"/>
      <c r="TA778" s="9"/>
      <c r="TB778" s="9"/>
      <c r="TC778" s="9"/>
      <c r="TD778" s="9"/>
      <c r="TE778" s="9"/>
      <c r="TF778" s="9"/>
      <c r="TG778" s="9"/>
      <c r="TH778" s="9"/>
      <c r="TI778" s="9"/>
      <c r="TJ778" s="9"/>
      <c r="TK778" s="9"/>
      <c r="TL778" s="9"/>
      <c r="TM778" s="9"/>
      <c r="TN778" s="9"/>
      <c r="TO778" s="9"/>
      <c r="TP778" s="9"/>
      <c r="TQ778" s="9"/>
      <c r="TR778" s="9"/>
      <c r="TS778" s="9"/>
      <c r="TT778" s="9"/>
      <c r="TU778" s="9"/>
      <c r="TV778" s="9"/>
      <c r="TW778" s="9"/>
      <c r="TX778" s="9"/>
      <c r="TY778" s="9"/>
      <c r="TZ778" s="9"/>
      <c r="UA778" s="9"/>
      <c r="UB778" s="9"/>
      <c r="UC778" s="9"/>
      <c r="UD778" s="9"/>
      <c r="UE778" s="9"/>
      <c r="UF778" s="9"/>
      <c r="UG778" s="9"/>
      <c r="UH778" s="9"/>
      <c r="UI778" s="9"/>
      <c r="UJ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9"/>
      <c r="IA779" s="9"/>
      <c r="IB779" s="9"/>
      <c r="IC779" s="9"/>
      <c r="ID779" s="9"/>
      <c r="IE779" s="9"/>
      <c r="IF779" s="9"/>
      <c r="IG779" s="9"/>
      <c r="IH779" s="9"/>
      <c r="II779" s="9"/>
      <c r="IJ779" s="9"/>
      <c r="IK779" s="9"/>
      <c r="IL779" s="9"/>
      <c r="IM779" s="9"/>
      <c r="IN779" s="9"/>
      <c r="IO779" s="9"/>
      <c r="IP779" s="9"/>
      <c r="IQ779" s="9"/>
      <c r="IR779" s="9"/>
      <c r="IS779" s="9"/>
      <c r="IT779" s="9"/>
      <c r="IU779" s="9"/>
      <c r="IV779" s="9"/>
      <c r="IW779" s="9"/>
      <c r="IX779" s="9"/>
      <c r="IY779" s="9"/>
      <c r="IZ779" s="9"/>
      <c r="JA779" s="9"/>
      <c r="JB779" s="9"/>
      <c r="JC779" s="9"/>
      <c r="JD779" s="9"/>
      <c r="JE779" s="9"/>
      <c r="JF779" s="9"/>
      <c r="JG779" s="9"/>
      <c r="JH779" s="9"/>
      <c r="JI779" s="9"/>
      <c r="JJ779" s="9"/>
      <c r="JK779" s="9"/>
      <c r="JL779" s="9"/>
      <c r="JM779" s="9"/>
      <c r="JN779" s="9"/>
      <c r="JO779" s="9"/>
      <c r="JP779" s="9"/>
      <c r="JQ779" s="9"/>
      <c r="JR779" s="9"/>
      <c r="JS779" s="9"/>
      <c r="JT779" s="9"/>
      <c r="JU779" s="9"/>
      <c r="JV779" s="9"/>
      <c r="JW779" s="9"/>
      <c r="JX779" s="9"/>
      <c r="JY779" s="9"/>
      <c r="JZ779" s="9"/>
      <c r="KA779" s="9"/>
      <c r="KB779" s="9"/>
      <c r="KC779" s="9"/>
      <c r="KD779" s="9"/>
      <c r="KE779" s="9"/>
      <c r="KF779" s="9"/>
      <c r="KG779" s="9"/>
      <c r="KH779" s="9"/>
      <c r="KI779" s="9"/>
      <c r="KJ779" s="9"/>
      <c r="KK779" s="9"/>
      <c r="KL779" s="9"/>
      <c r="KM779" s="9"/>
      <c r="KN779" s="9"/>
      <c r="KO779" s="9"/>
      <c r="KP779" s="9"/>
      <c r="KQ779" s="9"/>
      <c r="KR779" s="9"/>
      <c r="KS779" s="9"/>
      <c r="KT779" s="9"/>
      <c r="KU779" s="9"/>
      <c r="KV779" s="9"/>
      <c r="KW779" s="9"/>
      <c r="KX779" s="9"/>
      <c r="KY779" s="9"/>
      <c r="KZ779" s="9"/>
      <c r="LA779" s="9"/>
      <c r="LB779" s="9"/>
      <c r="LC779" s="9"/>
      <c r="LD779" s="9"/>
      <c r="LE779" s="9"/>
      <c r="LF779" s="9"/>
      <c r="LG779" s="9"/>
      <c r="LH779" s="9"/>
      <c r="LI779" s="9"/>
      <c r="LJ779" s="9"/>
      <c r="LK779" s="9"/>
      <c r="LL779" s="9"/>
      <c r="LM779" s="9"/>
      <c r="LN779" s="9"/>
      <c r="LO779" s="9"/>
      <c r="LP779" s="9"/>
      <c r="LQ779" s="9"/>
      <c r="LR779" s="9"/>
      <c r="LS779" s="9"/>
      <c r="LT779" s="9"/>
      <c r="LU779" s="9"/>
      <c r="LV779" s="9"/>
      <c r="LW779" s="9"/>
      <c r="LX779" s="9"/>
      <c r="LY779" s="9"/>
      <c r="LZ779" s="9"/>
      <c r="MA779" s="9"/>
      <c r="MB779" s="9"/>
      <c r="MC779" s="9"/>
      <c r="MD779" s="9"/>
      <c r="ME779" s="9"/>
      <c r="MF779" s="9"/>
      <c r="MG779" s="9"/>
      <c r="MH779" s="9"/>
      <c r="MI779" s="9"/>
      <c r="MJ779" s="9"/>
      <c r="MK779" s="9"/>
      <c r="ML779" s="9"/>
      <c r="MM779" s="9"/>
      <c r="MN779" s="9"/>
      <c r="MO779" s="9"/>
      <c r="MP779" s="9"/>
      <c r="MQ779" s="9"/>
      <c r="MR779" s="9"/>
      <c r="MS779" s="9"/>
      <c r="MT779" s="9"/>
      <c r="MU779" s="9"/>
      <c r="MV779" s="9"/>
      <c r="MW779" s="9"/>
      <c r="MX779" s="9"/>
      <c r="MY779" s="9"/>
      <c r="MZ779" s="9"/>
      <c r="NA779" s="9"/>
      <c r="NB779" s="9"/>
      <c r="NC779" s="9"/>
      <c r="ND779" s="9"/>
      <c r="NE779" s="9"/>
      <c r="NF779" s="9"/>
      <c r="NG779" s="9"/>
      <c r="NH779" s="9"/>
      <c r="NI779" s="9"/>
      <c r="NJ779" s="9"/>
      <c r="NK779" s="9"/>
      <c r="NL779" s="9"/>
      <c r="NM779" s="9"/>
      <c r="NN779" s="9"/>
      <c r="NO779" s="9"/>
      <c r="NP779" s="9"/>
      <c r="NQ779" s="9"/>
      <c r="NR779" s="9"/>
      <c r="NS779" s="9"/>
      <c r="NT779" s="9"/>
      <c r="NU779" s="9"/>
      <c r="NV779" s="9"/>
      <c r="NW779" s="9"/>
      <c r="NX779" s="9"/>
      <c r="NY779" s="9"/>
      <c r="NZ779" s="9"/>
      <c r="OA779" s="9"/>
      <c r="OB779" s="9"/>
      <c r="OC779" s="9"/>
      <c r="OD779" s="9"/>
      <c r="OE779" s="9"/>
      <c r="OF779" s="9"/>
      <c r="OG779" s="9"/>
      <c r="OH779" s="9"/>
      <c r="OI779" s="9"/>
      <c r="OJ779" s="9"/>
      <c r="OK779" s="9"/>
      <c r="OL779" s="9"/>
      <c r="OM779" s="9"/>
      <c r="ON779" s="9"/>
      <c r="OO779" s="9"/>
      <c r="OP779" s="9"/>
      <c r="OQ779" s="9"/>
      <c r="OR779" s="9"/>
      <c r="OS779" s="9"/>
      <c r="OT779" s="9"/>
      <c r="OU779" s="9"/>
      <c r="OV779" s="9"/>
      <c r="OW779" s="9"/>
      <c r="OX779" s="9"/>
      <c r="OY779" s="9"/>
      <c r="OZ779" s="9"/>
      <c r="PA779" s="9"/>
      <c r="PB779" s="9"/>
      <c r="PC779" s="9"/>
      <c r="PD779" s="9"/>
      <c r="PE779" s="9"/>
      <c r="PF779" s="9"/>
      <c r="PG779" s="9"/>
      <c r="PH779" s="9"/>
      <c r="PI779" s="9"/>
      <c r="PJ779" s="9"/>
      <c r="PK779" s="9"/>
      <c r="PL779" s="9"/>
      <c r="PM779" s="9"/>
      <c r="PN779" s="9"/>
      <c r="PO779" s="9"/>
      <c r="PP779" s="9"/>
      <c r="PQ779" s="9"/>
      <c r="PR779" s="9"/>
      <c r="PS779" s="9"/>
      <c r="PT779" s="9"/>
      <c r="PU779" s="9"/>
      <c r="PV779" s="9"/>
      <c r="PW779" s="9"/>
      <c r="PX779" s="9"/>
      <c r="PY779" s="9"/>
      <c r="PZ779" s="9"/>
      <c r="QA779" s="9"/>
      <c r="QB779" s="9"/>
      <c r="QC779" s="9"/>
      <c r="QD779" s="9"/>
      <c r="QE779" s="9"/>
      <c r="QF779" s="9"/>
      <c r="QG779" s="9"/>
      <c r="QH779" s="9"/>
      <c r="QI779" s="9"/>
      <c r="QJ779" s="9"/>
      <c r="QK779" s="9"/>
      <c r="QL779" s="9"/>
      <c r="QM779" s="9"/>
      <c r="QN779" s="9"/>
      <c r="QO779" s="9"/>
      <c r="QP779" s="9"/>
      <c r="QQ779" s="9"/>
      <c r="QR779" s="9"/>
      <c r="QS779" s="9"/>
      <c r="QT779" s="9"/>
      <c r="QU779" s="9"/>
      <c r="QV779" s="9"/>
      <c r="QW779" s="9"/>
      <c r="QX779" s="9"/>
      <c r="QY779" s="9"/>
      <c r="QZ779" s="9"/>
      <c r="RA779" s="9"/>
      <c r="RB779" s="9"/>
      <c r="RC779" s="9"/>
      <c r="RD779" s="9"/>
      <c r="RE779" s="9"/>
      <c r="RF779" s="9"/>
      <c r="RG779" s="9"/>
      <c r="RH779" s="9"/>
      <c r="RI779" s="9"/>
      <c r="RJ779" s="9"/>
      <c r="RK779" s="9"/>
      <c r="RL779" s="9"/>
      <c r="RM779" s="9"/>
      <c r="RN779" s="9"/>
      <c r="RO779" s="9"/>
      <c r="RP779" s="9"/>
      <c r="RQ779" s="9"/>
      <c r="RR779" s="9"/>
      <c r="RS779" s="9"/>
      <c r="RT779" s="9"/>
      <c r="RU779" s="9"/>
      <c r="RV779" s="9"/>
      <c r="RW779" s="9"/>
      <c r="RX779" s="9"/>
      <c r="RY779" s="9"/>
      <c r="RZ779" s="9"/>
      <c r="SA779" s="9"/>
      <c r="SB779" s="9"/>
      <c r="SC779" s="9"/>
      <c r="SD779" s="9"/>
      <c r="SE779" s="9"/>
      <c r="SF779" s="9"/>
      <c r="SG779" s="9"/>
      <c r="SH779" s="9"/>
      <c r="SI779" s="9"/>
      <c r="SJ779" s="9"/>
      <c r="SK779" s="9"/>
      <c r="SL779" s="9"/>
      <c r="SM779" s="9"/>
      <c r="SN779" s="9"/>
      <c r="SO779" s="9"/>
      <c r="SP779" s="9"/>
      <c r="SQ779" s="9"/>
      <c r="SR779" s="9"/>
      <c r="SS779" s="9"/>
      <c r="ST779" s="9"/>
      <c r="SU779" s="9"/>
      <c r="SV779" s="9"/>
      <c r="SW779" s="9"/>
      <c r="SX779" s="9"/>
      <c r="SY779" s="9"/>
      <c r="SZ779" s="9"/>
      <c r="TA779" s="9"/>
      <c r="TB779" s="9"/>
      <c r="TC779" s="9"/>
      <c r="TD779" s="9"/>
      <c r="TE779" s="9"/>
      <c r="TF779" s="9"/>
      <c r="TG779" s="9"/>
      <c r="TH779" s="9"/>
      <c r="TI779" s="9"/>
      <c r="TJ779" s="9"/>
      <c r="TK779" s="9"/>
      <c r="TL779" s="9"/>
      <c r="TM779" s="9"/>
      <c r="TN779" s="9"/>
      <c r="TO779" s="9"/>
      <c r="TP779" s="9"/>
      <c r="TQ779" s="9"/>
      <c r="TR779" s="9"/>
      <c r="TS779" s="9"/>
      <c r="TT779" s="9"/>
      <c r="TU779" s="9"/>
      <c r="TV779" s="9"/>
      <c r="TW779" s="9"/>
      <c r="TX779" s="9"/>
      <c r="TY779" s="9"/>
      <c r="TZ779" s="9"/>
      <c r="UA779" s="9"/>
      <c r="UB779" s="9"/>
      <c r="UC779" s="9"/>
      <c r="UD779" s="9"/>
      <c r="UE779" s="9"/>
      <c r="UF779" s="9"/>
      <c r="UG779" s="9"/>
      <c r="UH779" s="9"/>
      <c r="UI779" s="9"/>
      <c r="UJ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  <c r="HO780" s="9"/>
      <c r="HP780" s="9"/>
      <c r="HQ780" s="9"/>
      <c r="HR780" s="9"/>
      <c r="HS780" s="9"/>
      <c r="HT780" s="9"/>
      <c r="HU780" s="9"/>
      <c r="HV780" s="9"/>
      <c r="HW780" s="9"/>
      <c r="HX780" s="9"/>
      <c r="HY780" s="9"/>
      <c r="HZ780" s="9"/>
      <c r="IA780" s="9"/>
      <c r="IB780" s="9"/>
      <c r="IC780" s="9"/>
      <c r="ID780" s="9"/>
      <c r="IE780" s="9"/>
      <c r="IF780" s="9"/>
      <c r="IG780" s="9"/>
      <c r="IH780" s="9"/>
      <c r="II780" s="9"/>
      <c r="IJ780" s="9"/>
      <c r="IK780" s="9"/>
      <c r="IL780" s="9"/>
      <c r="IM780" s="9"/>
      <c r="IN780" s="9"/>
      <c r="IO780" s="9"/>
      <c r="IP780" s="9"/>
      <c r="IQ780" s="9"/>
      <c r="IR780" s="9"/>
      <c r="IS780" s="9"/>
      <c r="IT780" s="9"/>
      <c r="IU780" s="9"/>
      <c r="IV780" s="9"/>
      <c r="IW780" s="9"/>
      <c r="IX780" s="9"/>
      <c r="IY780" s="9"/>
      <c r="IZ780" s="9"/>
      <c r="JA780" s="9"/>
      <c r="JB780" s="9"/>
      <c r="JC780" s="9"/>
      <c r="JD780" s="9"/>
      <c r="JE780" s="9"/>
      <c r="JF780" s="9"/>
      <c r="JG780" s="9"/>
      <c r="JH780" s="9"/>
      <c r="JI780" s="9"/>
      <c r="JJ780" s="9"/>
      <c r="JK780" s="9"/>
      <c r="JL780" s="9"/>
      <c r="JM780" s="9"/>
      <c r="JN780" s="9"/>
      <c r="JO780" s="9"/>
      <c r="JP780" s="9"/>
      <c r="JQ780" s="9"/>
      <c r="JR780" s="9"/>
      <c r="JS780" s="9"/>
      <c r="JT780" s="9"/>
      <c r="JU780" s="9"/>
      <c r="JV780" s="9"/>
      <c r="JW780" s="9"/>
      <c r="JX780" s="9"/>
      <c r="JY780" s="9"/>
      <c r="JZ780" s="9"/>
      <c r="KA780" s="9"/>
      <c r="KB780" s="9"/>
      <c r="KC780" s="9"/>
      <c r="KD780" s="9"/>
      <c r="KE780" s="9"/>
      <c r="KF780" s="9"/>
      <c r="KG780" s="9"/>
      <c r="KH780" s="9"/>
      <c r="KI780" s="9"/>
      <c r="KJ780" s="9"/>
      <c r="KK780" s="9"/>
      <c r="KL780" s="9"/>
      <c r="KM780" s="9"/>
      <c r="KN780" s="9"/>
      <c r="KO780" s="9"/>
      <c r="KP780" s="9"/>
      <c r="KQ780" s="9"/>
      <c r="KR780" s="9"/>
      <c r="KS780" s="9"/>
      <c r="KT780" s="9"/>
      <c r="KU780" s="9"/>
      <c r="KV780" s="9"/>
      <c r="KW780" s="9"/>
      <c r="KX780" s="9"/>
      <c r="KY780" s="9"/>
      <c r="KZ780" s="9"/>
      <c r="LA780" s="9"/>
      <c r="LB780" s="9"/>
      <c r="LC780" s="9"/>
      <c r="LD780" s="9"/>
      <c r="LE780" s="9"/>
      <c r="LF780" s="9"/>
      <c r="LG780" s="9"/>
      <c r="LH780" s="9"/>
      <c r="LI780" s="9"/>
      <c r="LJ780" s="9"/>
      <c r="LK780" s="9"/>
      <c r="LL780" s="9"/>
      <c r="LM780" s="9"/>
      <c r="LN780" s="9"/>
      <c r="LO780" s="9"/>
      <c r="LP780" s="9"/>
      <c r="LQ780" s="9"/>
      <c r="LR780" s="9"/>
      <c r="LS780" s="9"/>
      <c r="LT780" s="9"/>
      <c r="LU780" s="9"/>
      <c r="LV780" s="9"/>
      <c r="LW780" s="9"/>
      <c r="LX780" s="9"/>
      <c r="LY780" s="9"/>
      <c r="LZ780" s="9"/>
      <c r="MA780" s="9"/>
      <c r="MB780" s="9"/>
      <c r="MC780" s="9"/>
      <c r="MD780" s="9"/>
      <c r="ME780" s="9"/>
      <c r="MF780" s="9"/>
      <c r="MG780" s="9"/>
      <c r="MH780" s="9"/>
      <c r="MI780" s="9"/>
      <c r="MJ780" s="9"/>
      <c r="MK780" s="9"/>
      <c r="ML780" s="9"/>
      <c r="MM780" s="9"/>
      <c r="MN780" s="9"/>
      <c r="MO780" s="9"/>
      <c r="MP780" s="9"/>
      <c r="MQ780" s="9"/>
      <c r="MR780" s="9"/>
      <c r="MS780" s="9"/>
      <c r="MT780" s="9"/>
      <c r="MU780" s="9"/>
      <c r="MV780" s="9"/>
      <c r="MW780" s="9"/>
      <c r="MX780" s="9"/>
      <c r="MY780" s="9"/>
      <c r="MZ780" s="9"/>
      <c r="NA780" s="9"/>
      <c r="NB780" s="9"/>
      <c r="NC780" s="9"/>
      <c r="ND780" s="9"/>
      <c r="NE780" s="9"/>
      <c r="NF780" s="9"/>
      <c r="NG780" s="9"/>
      <c r="NH780" s="9"/>
      <c r="NI780" s="9"/>
      <c r="NJ780" s="9"/>
      <c r="NK780" s="9"/>
      <c r="NL780" s="9"/>
      <c r="NM780" s="9"/>
      <c r="NN780" s="9"/>
      <c r="NO780" s="9"/>
      <c r="NP780" s="9"/>
      <c r="NQ780" s="9"/>
      <c r="NR780" s="9"/>
      <c r="NS780" s="9"/>
      <c r="NT780" s="9"/>
      <c r="NU780" s="9"/>
      <c r="NV780" s="9"/>
      <c r="NW780" s="9"/>
      <c r="NX780" s="9"/>
      <c r="NY780" s="9"/>
      <c r="NZ780" s="9"/>
      <c r="OA780" s="9"/>
      <c r="OB780" s="9"/>
      <c r="OC780" s="9"/>
      <c r="OD780" s="9"/>
      <c r="OE780" s="9"/>
      <c r="OF780" s="9"/>
      <c r="OG780" s="9"/>
      <c r="OH780" s="9"/>
      <c r="OI780" s="9"/>
      <c r="OJ780" s="9"/>
      <c r="OK780" s="9"/>
      <c r="OL780" s="9"/>
      <c r="OM780" s="9"/>
      <c r="ON780" s="9"/>
      <c r="OO780" s="9"/>
      <c r="OP780" s="9"/>
      <c r="OQ780" s="9"/>
      <c r="OR780" s="9"/>
      <c r="OS780" s="9"/>
      <c r="OT780" s="9"/>
      <c r="OU780" s="9"/>
      <c r="OV780" s="9"/>
      <c r="OW780" s="9"/>
      <c r="OX780" s="9"/>
      <c r="OY780" s="9"/>
      <c r="OZ780" s="9"/>
      <c r="PA780" s="9"/>
      <c r="PB780" s="9"/>
      <c r="PC780" s="9"/>
      <c r="PD780" s="9"/>
      <c r="PE780" s="9"/>
      <c r="PF780" s="9"/>
      <c r="PG780" s="9"/>
      <c r="PH780" s="9"/>
      <c r="PI780" s="9"/>
      <c r="PJ780" s="9"/>
      <c r="PK780" s="9"/>
      <c r="PL780" s="9"/>
      <c r="PM780" s="9"/>
      <c r="PN780" s="9"/>
      <c r="PO780" s="9"/>
      <c r="PP780" s="9"/>
      <c r="PQ780" s="9"/>
      <c r="PR780" s="9"/>
      <c r="PS780" s="9"/>
      <c r="PT780" s="9"/>
      <c r="PU780" s="9"/>
      <c r="PV780" s="9"/>
      <c r="PW780" s="9"/>
      <c r="PX780" s="9"/>
      <c r="PY780" s="9"/>
      <c r="PZ780" s="9"/>
      <c r="QA780" s="9"/>
      <c r="QB780" s="9"/>
      <c r="QC780" s="9"/>
      <c r="QD780" s="9"/>
      <c r="QE780" s="9"/>
      <c r="QF780" s="9"/>
      <c r="QG780" s="9"/>
      <c r="QH780" s="9"/>
      <c r="QI780" s="9"/>
      <c r="QJ780" s="9"/>
      <c r="QK780" s="9"/>
      <c r="QL780" s="9"/>
      <c r="QM780" s="9"/>
      <c r="QN780" s="9"/>
      <c r="QO780" s="9"/>
      <c r="QP780" s="9"/>
      <c r="QQ780" s="9"/>
      <c r="QR780" s="9"/>
      <c r="QS780" s="9"/>
      <c r="QT780" s="9"/>
      <c r="QU780" s="9"/>
      <c r="QV780" s="9"/>
      <c r="QW780" s="9"/>
      <c r="QX780" s="9"/>
      <c r="QY780" s="9"/>
      <c r="QZ780" s="9"/>
      <c r="RA780" s="9"/>
      <c r="RB780" s="9"/>
      <c r="RC780" s="9"/>
      <c r="RD780" s="9"/>
      <c r="RE780" s="9"/>
      <c r="RF780" s="9"/>
      <c r="RG780" s="9"/>
      <c r="RH780" s="9"/>
      <c r="RI780" s="9"/>
      <c r="RJ780" s="9"/>
      <c r="RK780" s="9"/>
      <c r="RL780" s="9"/>
      <c r="RM780" s="9"/>
      <c r="RN780" s="9"/>
      <c r="RO780" s="9"/>
      <c r="RP780" s="9"/>
      <c r="RQ780" s="9"/>
      <c r="RR780" s="9"/>
      <c r="RS780" s="9"/>
      <c r="RT780" s="9"/>
      <c r="RU780" s="9"/>
      <c r="RV780" s="9"/>
      <c r="RW780" s="9"/>
      <c r="RX780" s="9"/>
      <c r="RY780" s="9"/>
      <c r="RZ780" s="9"/>
      <c r="SA780" s="9"/>
      <c r="SB780" s="9"/>
      <c r="SC780" s="9"/>
      <c r="SD780" s="9"/>
      <c r="SE780" s="9"/>
      <c r="SF780" s="9"/>
      <c r="SG780" s="9"/>
      <c r="SH780" s="9"/>
      <c r="SI780" s="9"/>
      <c r="SJ780" s="9"/>
      <c r="SK780" s="9"/>
      <c r="SL780" s="9"/>
      <c r="SM780" s="9"/>
      <c r="SN780" s="9"/>
      <c r="SO780" s="9"/>
      <c r="SP780" s="9"/>
      <c r="SQ780" s="9"/>
      <c r="SR780" s="9"/>
      <c r="SS780" s="9"/>
      <c r="ST780" s="9"/>
      <c r="SU780" s="9"/>
      <c r="SV780" s="9"/>
      <c r="SW780" s="9"/>
      <c r="SX780" s="9"/>
      <c r="SY780" s="9"/>
      <c r="SZ780" s="9"/>
      <c r="TA780" s="9"/>
      <c r="TB780" s="9"/>
      <c r="TC780" s="9"/>
      <c r="TD780" s="9"/>
      <c r="TE780" s="9"/>
      <c r="TF780" s="9"/>
      <c r="TG780" s="9"/>
      <c r="TH780" s="9"/>
      <c r="TI780" s="9"/>
      <c r="TJ780" s="9"/>
      <c r="TK780" s="9"/>
      <c r="TL780" s="9"/>
      <c r="TM780" s="9"/>
      <c r="TN780" s="9"/>
      <c r="TO780" s="9"/>
      <c r="TP780" s="9"/>
      <c r="TQ780" s="9"/>
      <c r="TR780" s="9"/>
      <c r="TS780" s="9"/>
      <c r="TT780" s="9"/>
      <c r="TU780" s="9"/>
      <c r="TV780" s="9"/>
      <c r="TW780" s="9"/>
      <c r="TX780" s="9"/>
      <c r="TY780" s="9"/>
      <c r="TZ780" s="9"/>
      <c r="UA780" s="9"/>
      <c r="UB780" s="9"/>
      <c r="UC780" s="9"/>
      <c r="UD780" s="9"/>
      <c r="UE780" s="9"/>
      <c r="UF780" s="9"/>
      <c r="UG780" s="9"/>
      <c r="UH780" s="9"/>
      <c r="UI780" s="9"/>
      <c r="UJ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  <c r="HZ781" s="9"/>
      <c r="IA781" s="9"/>
      <c r="IB781" s="9"/>
      <c r="IC781" s="9"/>
      <c r="ID781" s="9"/>
      <c r="IE781" s="9"/>
      <c r="IF781" s="9"/>
      <c r="IG781" s="9"/>
      <c r="IH781" s="9"/>
      <c r="II781" s="9"/>
      <c r="IJ781" s="9"/>
      <c r="IK781" s="9"/>
      <c r="IL781" s="9"/>
      <c r="IM781" s="9"/>
      <c r="IN781" s="9"/>
      <c r="IO781" s="9"/>
      <c r="IP781" s="9"/>
      <c r="IQ781" s="9"/>
      <c r="IR781" s="9"/>
      <c r="IS781" s="9"/>
      <c r="IT781" s="9"/>
      <c r="IU781" s="9"/>
      <c r="IV781" s="9"/>
      <c r="IW781" s="9"/>
      <c r="IX781" s="9"/>
      <c r="IY781" s="9"/>
      <c r="IZ781" s="9"/>
      <c r="JA781" s="9"/>
      <c r="JB781" s="9"/>
      <c r="JC781" s="9"/>
      <c r="JD781" s="9"/>
      <c r="JE781" s="9"/>
      <c r="JF781" s="9"/>
      <c r="JG781" s="9"/>
      <c r="JH781" s="9"/>
      <c r="JI781" s="9"/>
      <c r="JJ781" s="9"/>
      <c r="JK781" s="9"/>
      <c r="JL781" s="9"/>
      <c r="JM781" s="9"/>
      <c r="JN781" s="9"/>
      <c r="JO781" s="9"/>
      <c r="JP781" s="9"/>
      <c r="JQ781" s="9"/>
      <c r="JR781" s="9"/>
      <c r="JS781" s="9"/>
      <c r="JT781" s="9"/>
      <c r="JU781" s="9"/>
      <c r="JV781" s="9"/>
      <c r="JW781" s="9"/>
      <c r="JX781" s="9"/>
      <c r="JY781" s="9"/>
      <c r="JZ781" s="9"/>
      <c r="KA781" s="9"/>
      <c r="KB781" s="9"/>
      <c r="KC781" s="9"/>
      <c r="KD781" s="9"/>
      <c r="KE781" s="9"/>
      <c r="KF781" s="9"/>
      <c r="KG781" s="9"/>
      <c r="KH781" s="9"/>
      <c r="KI781" s="9"/>
      <c r="KJ781" s="9"/>
      <c r="KK781" s="9"/>
      <c r="KL781" s="9"/>
      <c r="KM781" s="9"/>
      <c r="KN781" s="9"/>
      <c r="KO781" s="9"/>
      <c r="KP781" s="9"/>
      <c r="KQ781" s="9"/>
      <c r="KR781" s="9"/>
      <c r="KS781" s="9"/>
      <c r="KT781" s="9"/>
      <c r="KU781" s="9"/>
      <c r="KV781" s="9"/>
      <c r="KW781" s="9"/>
      <c r="KX781" s="9"/>
      <c r="KY781" s="9"/>
      <c r="KZ781" s="9"/>
      <c r="LA781" s="9"/>
      <c r="LB781" s="9"/>
      <c r="LC781" s="9"/>
      <c r="LD781" s="9"/>
      <c r="LE781" s="9"/>
      <c r="LF781" s="9"/>
      <c r="LG781" s="9"/>
      <c r="LH781" s="9"/>
      <c r="LI781" s="9"/>
      <c r="LJ781" s="9"/>
      <c r="LK781" s="9"/>
      <c r="LL781" s="9"/>
      <c r="LM781" s="9"/>
      <c r="LN781" s="9"/>
      <c r="LO781" s="9"/>
      <c r="LP781" s="9"/>
      <c r="LQ781" s="9"/>
      <c r="LR781" s="9"/>
      <c r="LS781" s="9"/>
      <c r="LT781" s="9"/>
      <c r="LU781" s="9"/>
      <c r="LV781" s="9"/>
      <c r="LW781" s="9"/>
      <c r="LX781" s="9"/>
      <c r="LY781" s="9"/>
      <c r="LZ781" s="9"/>
      <c r="MA781" s="9"/>
      <c r="MB781" s="9"/>
      <c r="MC781" s="9"/>
      <c r="MD781" s="9"/>
      <c r="ME781" s="9"/>
      <c r="MF781" s="9"/>
      <c r="MG781" s="9"/>
      <c r="MH781" s="9"/>
      <c r="MI781" s="9"/>
      <c r="MJ781" s="9"/>
      <c r="MK781" s="9"/>
      <c r="ML781" s="9"/>
      <c r="MM781" s="9"/>
      <c r="MN781" s="9"/>
      <c r="MO781" s="9"/>
      <c r="MP781" s="9"/>
      <c r="MQ781" s="9"/>
      <c r="MR781" s="9"/>
      <c r="MS781" s="9"/>
      <c r="MT781" s="9"/>
      <c r="MU781" s="9"/>
      <c r="MV781" s="9"/>
      <c r="MW781" s="9"/>
      <c r="MX781" s="9"/>
      <c r="MY781" s="9"/>
      <c r="MZ781" s="9"/>
      <c r="NA781" s="9"/>
      <c r="NB781" s="9"/>
      <c r="NC781" s="9"/>
      <c r="ND781" s="9"/>
      <c r="NE781" s="9"/>
      <c r="NF781" s="9"/>
      <c r="NG781" s="9"/>
      <c r="NH781" s="9"/>
      <c r="NI781" s="9"/>
      <c r="NJ781" s="9"/>
      <c r="NK781" s="9"/>
      <c r="NL781" s="9"/>
      <c r="NM781" s="9"/>
      <c r="NN781" s="9"/>
      <c r="NO781" s="9"/>
      <c r="NP781" s="9"/>
      <c r="NQ781" s="9"/>
      <c r="NR781" s="9"/>
      <c r="NS781" s="9"/>
      <c r="NT781" s="9"/>
      <c r="NU781" s="9"/>
      <c r="NV781" s="9"/>
      <c r="NW781" s="9"/>
      <c r="NX781" s="9"/>
      <c r="NY781" s="9"/>
      <c r="NZ781" s="9"/>
      <c r="OA781" s="9"/>
      <c r="OB781" s="9"/>
      <c r="OC781" s="9"/>
      <c r="OD781" s="9"/>
      <c r="OE781" s="9"/>
      <c r="OF781" s="9"/>
      <c r="OG781" s="9"/>
      <c r="OH781" s="9"/>
      <c r="OI781" s="9"/>
      <c r="OJ781" s="9"/>
      <c r="OK781" s="9"/>
      <c r="OL781" s="9"/>
      <c r="OM781" s="9"/>
      <c r="ON781" s="9"/>
      <c r="OO781" s="9"/>
      <c r="OP781" s="9"/>
      <c r="OQ781" s="9"/>
      <c r="OR781" s="9"/>
      <c r="OS781" s="9"/>
      <c r="OT781" s="9"/>
      <c r="OU781" s="9"/>
      <c r="OV781" s="9"/>
      <c r="OW781" s="9"/>
      <c r="OX781" s="9"/>
      <c r="OY781" s="9"/>
      <c r="OZ781" s="9"/>
      <c r="PA781" s="9"/>
      <c r="PB781" s="9"/>
      <c r="PC781" s="9"/>
      <c r="PD781" s="9"/>
      <c r="PE781" s="9"/>
      <c r="PF781" s="9"/>
      <c r="PG781" s="9"/>
      <c r="PH781" s="9"/>
      <c r="PI781" s="9"/>
      <c r="PJ781" s="9"/>
      <c r="PK781" s="9"/>
      <c r="PL781" s="9"/>
      <c r="PM781" s="9"/>
      <c r="PN781" s="9"/>
      <c r="PO781" s="9"/>
      <c r="PP781" s="9"/>
      <c r="PQ781" s="9"/>
      <c r="PR781" s="9"/>
      <c r="PS781" s="9"/>
      <c r="PT781" s="9"/>
      <c r="PU781" s="9"/>
      <c r="PV781" s="9"/>
      <c r="PW781" s="9"/>
      <c r="PX781" s="9"/>
      <c r="PY781" s="9"/>
      <c r="PZ781" s="9"/>
      <c r="QA781" s="9"/>
      <c r="QB781" s="9"/>
      <c r="QC781" s="9"/>
      <c r="QD781" s="9"/>
      <c r="QE781" s="9"/>
      <c r="QF781" s="9"/>
      <c r="QG781" s="9"/>
      <c r="QH781" s="9"/>
      <c r="QI781" s="9"/>
      <c r="QJ781" s="9"/>
      <c r="QK781" s="9"/>
      <c r="QL781" s="9"/>
      <c r="QM781" s="9"/>
      <c r="QN781" s="9"/>
      <c r="QO781" s="9"/>
      <c r="QP781" s="9"/>
      <c r="QQ781" s="9"/>
      <c r="QR781" s="9"/>
      <c r="QS781" s="9"/>
      <c r="QT781" s="9"/>
      <c r="QU781" s="9"/>
      <c r="QV781" s="9"/>
      <c r="QW781" s="9"/>
      <c r="QX781" s="9"/>
      <c r="QY781" s="9"/>
      <c r="QZ781" s="9"/>
      <c r="RA781" s="9"/>
      <c r="RB781" s="9"/>
      <c r="RC781" s="9"/>
      <c r="RD781" s="9"/>
      <c r="RE781" s="9"/>
      <c r="RF781" s="9"/>
      <c r="RG781" s="9"/>
      <c r="RH781" s="9"/>
      <c r="RI781" s="9"/>
      <c r="RJ781" s="9"/>
      <c r="RK781" s="9"/>
      <c r="RL781" s="9"/>
      <c r="RM781" s="9"/>
      <c r="RN781" s="9"/>
      <c r="RO781" s="9"/>
      <c r="RP781" s="9"/>
      <c r="RQ781" s="9"/>
      <c r="RR781" s="9"/>
      <c r="RS781" s="9"/>
      <c r="RT781" s="9"/>
      <c r="RU781" s="9"/>
      <c r="RV781" s="9"/>
      <c r="RW781" s="9"/>
      <c r="RX781" s="9"/>
      <c r="RY781" s="9"/>
      <c r="RZ781" s="9"/>
      <c r="SA781" s="9"/>
      <c r="SB781" s="9"/>
      <c r="SC781" s="9"/>
      <c r="SD781" s="9"/>
      <c r="SE781" s="9"/>
      <c r="SF781" s="9"/>
      <c r="SG781" s="9"/>
      <c r="SH781" s="9"/>
      <c r="SI781" s="9"/>
      <c r="SJ781" s="9"/>
      <c r="SK781" s="9"/>
      <c r="SL781" s="9"/>
      <c r="SM781" s="9"/>
      <c r="SN781" s="9"/>
      <c r="SO781" s="9"/>
      <c r="SP781" s="9"/>
      <c r="SQ781" s="9"/>
      <c r="SR781" s="9"/>
      <c r="SS781" s="9"/>
      <c r="ST781" s="9"/>
      <c r="SU781" s="9"/>
      <c r="SV781" s="9"/>
      <c r="SW781" s="9"/>
      <c r="SX781" s="9"/>
      <c r="SY781" s="9"/>
      <c r="SZ781" s="9"/>
      <c r="TA781" s="9"/>
      <c r="TB781" s="9"/>
      <c r="TC781" s="9"/>
      <c r="TD781" s="9"/>
      <c r="TE781" s="9"/>
      <c r="TF781" s="9"/>
      <c r="TG781" s="9"/>
      <c r="TH781" s="9"/>
      <c r="TI781" s="9"/>
      <c r="TJ781" s="9"/>
      <c r="TK781" s="9"/>
      <c r="TL781" s="9"/>
      <c r="TM781" s="9"/>
      <c r="TN781" s="9"/>
      <c r="TO781" s="9"/>
      <c r="TP781" s="9"/>
      <c r="TQ781" s="9"/>
      <c r="TR781" s="9"/>
      <c r="TS781" s="9"/>
      <c r="TT781" s="9"/>
      <c r="TU781" s="9"/>
      <c r="TV781" s="9"/>
      <c r="TW781" s="9"/>
      <c r="TX781" s="9"/>
      <c r="TY781" s="9"/>
      <c r="TZ781" s="9"/>
      <c r="UA781" s="9"/>
      <c r="UB781" s="9"/>
      <c r="UC781" s="9"/>
      <c r="UD781" s="9"/>
      <c r="UE781" s="9"/>
      <c r="UF781" s="9"/>
      <c r="UG781" s="9"/>
      <c r="UH781" s="9"/>
      <c r="UI781" s="9"/>
      <c r="UJ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  <c r="HO782" s="9"/>
      <c r="HP782" s="9"/>
      <c r="HQ782" s="9"/>
      <c r="HR782" s="9"/>
      <c r="HS782" s="9"/>
      <c r="HT782" s="9"/>
      <c r="HU782" s="9"/>
      <c r="HV782" s="9"/>
      <c r="HW782" s="9"/>
      <c r="HX782" s="9"/>
      <c r="HY782" s="9"/>
      <c r="HZ782" s="9"/>
      <c r="IA782" s="9"/>
      <c r="IB782" s="9"/>
      <c r="IC782" s="9"/>
      <c r="ID782" s="9"/>
      <c r="IE782" s="9"/>
      <c r="IF782" s="9"/>
      <c r="IG782" s="9"/>
      <c r="IH782" s="9"/>
      <c r="II782" s="9"/>
      <c r="IJ782" s="9"/>
      <c r="IK782" s="9"/>
      <c r="IL782" s="9"/>
      <c r="IM782" s="9"/>
      <c r="IN782" s="9"/>
      <c r="IO782" s="9"/>
      <c r="IP782" s="9"/>
      <c r="IQ782" s="9"/>
      <c r="IR782" s="9"/>
      <c r="IS782" s="9"/>
      <c r="IT782" s="9"/>
      <c r="IU782" s="9"/>
      <c r="IV782" s="9"/>
      <c r="IW782" s="9"/>
      <c r="IX782" s="9"/>
      <c r="IY782" s="9"/>
      <c r="IZ782" s="9"/>
      <c r="JA782" s="9"/>
      <c r="JB782" s="9"/>
      <c r="JC782" s="9"/>
      <c r="JD782" s="9"/>
      <c r="JE782" s="9"/>
      <c r="JF782" s="9"/>
      <c r="JG782" s="9"/>
      <c r="JH782" s="9"/>
      <c r="JI782" s="9"/>
      <c r="JJ782" s="9"/>
      <c r="JK782" s="9"/>
      <c r="JL782" s="9"/>
      <c r="JM782" s="9"/>
      <c r="JN782" s="9"/>
      <c r="JO782" s="9"/>
      <c r="JP782" s="9"/>
      <c r="JQ782" s="9"/>
      <c r="JR782" s="9"/>
      <c r="JS782" s="9"/>
      <c r="JT782" s="9"/>
      <c r="JU782" s="9"/>
      <c r="JV782" s="9"/>
      <c r="JW782" s="9"/>
      <c r="JX782" s="9"/>
      <c r="JY782" s="9"/>
      <c r="JZ782" s="9"/>
      <c r="KA782" s="9"/>
      <c r="KB782" s="9"/>
      <c r="KC782" s="9"/>
      <c r="KD782" s="9"/>
      <c r="KE782" s="9"/>
      <c r="KF782" s="9"/>
      <c r="KG782" s="9"/>
      <c r="KH782" s="9"/>
      <c r="KI782" s="9"/>
      <c r="KJ782" s="9"/>
      <c r="KK782" s="9"/>
      <c r="KL782" s="9"/>
      <c r="KM782" s="9"/>
      <c r="KN782" s="9"/>
      <c r="KO782" s="9"/>
      <c r="KP782" s="9"/>
      <c r="KQ782" s="9"/>
      <c r="KR782" s="9"/>
      <c r="KS782" s="9"/>
      <c r="KT782" s="9"/>
      <c r="KU782" s="9"/>
      <c r="KV782" s="9"/>
      <c r="KW782" s="9"/>
      <c r="KX782" s="9"/>
      <c r="KY782" s="9"/>
      <c r="KZ782" s="9"/>
      <c r="LA782" s="9"/>
      <c r="LB782" s="9"/>
      <c r="LC782" s="9"/>
      <c r="LD782" s="9"/>
      <c r="LE782" s="9"/>
      <c r="LF782" s="9"/>
      <c r="LG782" s="9"/>
      <c r="LH782" s="9"/>
      <c r="LI782" s="9"/>
      <c r="LJ782" s="9"/>
      <c r="LK782" s="9"/>
      <c r="LL782" s="9"/>
      <c r="LM782" s="9"/>
      <c r="LN782" s="9"/>
      <c r="LO782" s="9"/>
      <c r="LP782" s="9"/>
      <c r="LQ782" s="9"/>
      <c r="LR782" s="9"/>
      <c r="LS782" s="9"/>
      <c r="LT782" s="9"/>
      <c r="LU782" s="9"/>
      <c r="LV782" s="9"/>
      <c r="LW782" s="9"/>
      <c r="LX782" s="9"/>
      <c r="LY782" s="9"/>
      <c r="LZ782" s="9"/>
      <c r="MA782" s="9"/>
      <c r="MB782" s="9"/>
      <c r="MC782" s="9"/>
      <c r="MD782" s="9"/>
      <c r="ME782" s="9"/>
      <c r="MF782" s="9"/>
      <c r="MG782" s="9"/>
      <c r="MH782" s="9"/>
      <c r="MI782" s="9"/>
      <c r="MJ782" s="9"/>
      <c r="MK782" s="9"/>
      <c r="ML782" s="9"/>
      <c r="MM782" s="9"/>
      <c r="MN782" s="9"/>
      <c r="MO782" s="9"/>
      <c r="MP782" s="9"/>
      <c r="MQ782" s="9"/>
      <c r="MR782" s="9"/>
      <c r="MS782" s="9"/>
      <c r="MT782" s="9"/>
      <c r="MU782" s="9"/>
      <c r="MV782" s="9"/>
      <c r="MW782" s="9"/>
      <c r="MX782" s="9"/>
      <c r="MY782" s="9"/>
      <c r="MZ782" s="9"/>
      <c r="NA782" s="9"/>
      <c r="NB782" s="9"/>
      <c r="NC782" s="9"/>
      <c r="ND782" s="9"/>
      <c r="NE782" s="9"/>
      <c r="NF782" s="9"/>
      <c r="NG782" s="9"/>
      <c r="NH782" s="9"/>
      <c r="NI782" s="9"/>
      <c r="NJ782" s="9"/>
      <c r="NK782" s="9"/>
      <c r="NL782" s="9"/>
      <c r="NM782" s="9"/>
      <c r="NN782" s="9"/>
      <c r="NO782" s="9"/>
      <c r="NP782" s="9"/>
      <c r="NQ782" s="9"/>
      <c r="NR782" s="9"/>
      <c r="NS782" s="9"/>
      <c r="NT782" s="9"/>
      <c r="NU782" s="9"/>
      <c r="NV782" s="9"/>
      <c r="NW782" s="9"/>
      <c r="NX782" s="9"/>
      <c r="NY782" s="9"/>
      <c r="NZ782" s="9"/>
      <c r="OA782" s="9"/>
      <c r="OB782" s="9"/>
      <c r="OC782" s="9"/>
      <c r="OD782" s="9"/>
      <c r="OE782" s="9"/>
      <c r="OF782" s="9"/>
      <c r="OG782" s="9"/>
      <c r="OH782" s="9"/>
      <c r="OI782" s="9"/>
      <c r="OJ782" s="9"/>
      <c r="OK782" s="9"/>
      <c r="OL782" s="9"/>
      <c r="OM782" s="9"/>
      <c r="ON782" s="9"/>
      <c r="OO782" s="9"/>
      <c r="OP782" s="9"/>
      <c r="OQ782" s="9"/>
      <c r="OR782" s="9"/>
      <c r="OS782" s="9"/>
      <c r="OT782" s="9"/>
      <c r="OU782" s="9"/>
      <c r="OV782" s="9"/>
      <c r="OW782" s="9"/>
      <c r="OX782" s="9"/>
      <c r="OY782" s="9"/>
      <c r="OZ782" s="9"/>
      <c r="PA782" s="9"/>
      <c r="PB782" s="9"/>
      <c r="PC782" s="9"/>
      <c r="PD782" s="9"/>
      <c r="PE782" s="9"/>
      <c r="PF782" s="9"/>
      <c r="PG782" s="9"/>
      <c r="PH782" s="9"/>
      <c r="PI782" s="9"/>
      <c r="PJ782" s="9"/>
      <c r="PK782" s="9"/>
      <c r="PL782" s="9"/>
      <c r="PM782" s="9"/>
      <c r="PN782" s="9"/>
      <c r="PO782" s="9"/>
      <c r="PP782" s="9"/>
      <c r="PQ782" s="9"/>
      <c r="PR782" s="9"/>
      <c r="PS782" s="9"/>
      <c r="PT782" s="9"/>
      <c r="PU782" s="9"/>
      <c r="PV782" s="9"/>
      <c r="PW782" s="9"/>
      <c r="PX782" s="9"/>
      <c r="PY782" s="9"/>
      <c r="PZ782" s="9"/>
      <c r="QA782" s="9"/>
      <c r="QB782" s="9"/>
      <c r="QC782" s="9"/>
      <c r="QD782" s="9"/>
      <c r="QE782" s="9"/>
      <c r="QF782" s="9"/>
      <c r="QG782" s="9"/>
      <c r="QH782" s="9"/>
      <c r="QI782" s="9"/>
      <c r="QJ782" s="9"/>
      <c r="QK782" s="9"/>
      <c r="QL782" s="9"/>
      <c r="QM782" s="9"/>
      <c r="QN782" s="9"/>
      <c r="QO782" s="9"/>
      <c r="QP782" s="9"/>
      <c r="QQ782" s="9"/>
      <c r="QR782" s="9"/>
      <c r="QS782" s="9"/>
      <c r="QT782" s="9"/>
      <c r="QU782" s="9"/>
      <c r="QV782" s="9"/>
      <c r="QW782" s="9"/>
      <c r="QX782" s="9"/>
      <c r="QY782" s="9"/>
      <c r="QZ782" s="9"/>
      <c r="RA782" s="9"/>
      <c r="RB782" s="9"/>
      <c r="RC782" s="9"/>
      <c r="RD782" s="9"/>
      <c r="RE782" s="9"/>
      <c r="RF782" s="9"/>
      <c r="RG782" s="9"/>
      <c r="RH782" s="9"/>
      <c r="RI782" s="9"/>
      <c r="RJ782" s="9"/>
      <c r="RK782" s="9"/>
      <c r="RL782" s="9"/>
      <c r="RM782" s="9"/>
      <c r="RN782" s="9"/>
      <c r="RO782" s="9"/>
      <c r="RP782" s="9"/>
      <c r="RQ782" s="9"/>
      <c r="RR782" s="9"/>
      <c r="RS782" s="9"/>
      <c r="RT782" s="9"/>
      <c r="RU782" s="9"/>
      <c r="RV782" s="9"/>
      <c r="RW782" s="9"/>
      <c r="RX782" s="9"/>
      <c r="RY782" s="9"/>
      <c r="RZ782" s="9"/>
      <c r="SA782" s="9"/>
      <c r="SB782" s="9"/>
      <c r="SC782" s="9"/>
      <c r="SD782" s="9"/>
      <c r="SE782" s="9"/>
      <c r="SF782" s="9"/>
      <c r="SG782" s="9"/>
      <c r="SH782" s="9"/>
      <c r="SI782" s="9"/>
      <c r="SJ782" s="9"/>
      <c r="SK782" s="9"/>
      <c r="SL782" s="9"/>
      <c r="SM782" s="9"/>
      <c r="SN782" s="9"/>
      <c r="SO782" s="9"/>
      <c r="SP782" s="9"/>
      <c r="SQ782" s="9"/>
      <c r="SR782" s="9"/>
      <c r="SS782" s="9"/>
      <c r="ST782" s="9"/>
      <c r="SU782" s="9"/>
      <c r="SV782" s="9"/>
      <c r="SW782" s="9"/>
      <c r="SX782" s="9"/>
      <c r="SY782" s="9"/>
      <c r="SZ782" s="9"/>
      <c r="TA782" s="9"/>
      <c r="TB782" s="9"/>
      <c r="TC782" s="9"/>
      <c r="TD782" s="9"/>
      <c r="TE782" s="9"/>
      <c r="TF782" s="9"/>
      <c r="TG782" s="9"/>
      <c r="TH782" s="9"/>
      <c r="TI782" s="9"/>
      <c r="TJ782" s="9"/>
      <c r="TK782" s="9"/>
      <c r="TL782" s="9"/>
      <c r="TM782" s="9"/>
      <c r="TN782" s="9"/>
      <c r="TO782" s="9"/>
      <c r="TP782" s="9"/>
      <c r="TQ782" s="9"/>
      <c r="TR782" s="9"/>
      <c r="TS782" s="9"/>
      <c r="TT782" s="9"/>
      <c r="TU782" s="9"/>
      <c r="TV782" s="9"/>
      <c r="TW782" s="9"/>
      <c r="TX782" s="9"/>
      <c r="TY782" s="9"/>
      <c r="TZ782" s="9"/>
      <c r="UA782" s="9"/>
      <c r="UB782" s="9"/>
      <c r="UC782" s="9"/>
      <c r="UD782" s="9"/>
      <c r="UE782" s="9"/>
      <c r="UF782" s="9"/>
      <c r="UG782" s="9"/>
      <c r="UH782" s="9"/>
      <c r="UI782" s="9"/>
      <c r="UJ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  <c r="HZ783" s="9"/>
      <c r="IA783" s="9"/>
      <c r="IB783" s="9"/>
      <c r="IC783" s="9"/>
      <c r="ID783" s="9"/>
      <c r="IE783" s="9"/>
      <c r="IF783" s="9"/>
      <c r="IG783" s="9"/>
      <c r="IH783" s="9"/>
      <c r="II783" s="9"/>
      <c r="IJ783" s="9"/>
      <c r="IK783" s="9"/>
      <c r="IL783" s="9"/>
      <c r="IM783" s="9"/>
      <c r="IN783" s="9"/>
      <c r="IO783" s="9"/>
      <c r="IP783" s="9"/>
      <c r="IQ783" s="9"/>
      <c r="IR783" s="9"/>
      <c r="IS783" s="9"/>
      <c r="IT783" s="9"/>
      <c r="IU783" s="9"/>
      <c r="IV783" s="9"/>
      <c r="IW783" s="9"/>
      <c r="IX783" s="9"/>
      <c r="IY783" s="9"/>
      <c r="IZ783" s="9"/>
      <c r="JA783" s="9"/>
      <c r="JB783" s="9"/>
      <c r="JC783" s="9"/>
      <c r="JD783" s="9"/>
      <c r="JE783" s="9"/>
      <c r="JF783" s="9"/>
      <c r="JG783" s="9"/>
      <c r="JH783" s="9"/>
      <c r="JI783" s="9"/>
      <c r="JJ783" s="9"/>
      <c r="JK783" s="9"/>
      <c r="JL783" s="9"/>
      <c r="JM783" s="9"/>
      <c r="JN783" s="9"/>
      <c r="JO783" s="9"/>
      <c r="JP783" s="9"/>
      <c r="JQ783" s="9"/>
      <c r="JR783" s="9"/>
      <c r="JS783" s="9"/>
      <c r="JT783" s="9"/>
      <c r="JU783" s="9"/>
      <c r="JV783" s="9"/>
      <c r="JW783" s="9"/>
      <c r="JX783" s="9"/>
      <c r="JY783" s="9"/>
      <c r="JZ783" s="9"/>
      <c r="KA783" s="9"/>
      <c r="KB783" s="9"/>
      <c r="KC783" s="9"/>
      <c r="KD783" s="9"/>
      <c r="KE783" s="9"/>
      <c r="KF783" s="9"/>
      <c r="KG783" s="9"/>
      <c r="KH783" s="9"/>
      <c r="KI783" s="9"/>
      <c r="KJ783" s="9"/>
      <c r="KK783" s="9"/>
      <c r="KL783" s="9"/>
      <c r="KM783" s="9"/>
      <c r="KN783" s="9"/>
      <c r="KO783" s="9"/>
      <c r="KP783" s="9"/>
      <c r="KQ783" s="9"/>
      <c r="KR783" s="9"/>
      <c r="KS783" s="9"/>
      <c r="KT783" s="9"/>
      <c r="KU783" s="9"/>
      <c r="KV783" s="9"/>
      <c r="KW783" s="9"/>
      <c r="KX783" s="9"/>
      <c r="KY783" s="9"/>
      <c r="KZ783" s="9"/>
      <c r="LA783" s="9"/>
      <c r="LB783" s="9"/>
      <c r="LC783" s="9"/>
      <c r="LD783" s="9"/>
      <c r="LE783" s="9"/>
      <c r="LF783" s="9"/>
      <c r="LG783" s="9"/>
      <c r="LH783" s="9"/>
      <c r="LI783" s="9"/>
      <c r="LJ783" s="9"/>
      <c r="LK783" s="9"/>
      <c r="LL783" s="9"/>
      <c r="LM783" s="9"/>
      <c r="LN783" s="9"/>
      <c r="LO783" s="9"/>
      <c r="LP783" s="9"/>
      <c r="LQ783" s="9"/>
      <c r="LR783" s="9"/>
      <c r="LS783" s="9"/>
      <c r="LT783" s="9"/>
      <c r="LU783" s="9"/>
      <c r="LV783" s="9"/>
      <c r="LW783" s="9"/>
      <c r="LX783" s="9"/>
      <c r="LY783" s="9"/>
      <c r="LZ783" s="9"/>
      <c r="MA783" s="9"/>
      <c r="MB783" s="9"/>
      <c r="MC783" s="9"/>
      <c r="MD783" s="9"/>
      <c r="ME783" s="9"/>
      <c r="MF783" s="9"/>
      <c r="MG783" s="9"/>
      <c r="MH783" s="9"/>
      <c r="MI783" s="9"/>
      <c r="MJ783" s="9"/>
      <c r="MK783" s="9"/>
      <c r="ML783" s="9"/>
      <c r="MM783" s="9"/>
      <c r="MN783" s="9"/>
      <c r="MO783" s="9"/>
      <c r="MP783" s="9"/>
      <c r="MQ783" s="9"/>
      <c r="MR783" s="9"/>
      <c r="MS783" s="9"/>
      <c r="MT783" s="9"/>
      <c r="MU783" s="9"/>
      <c r="MV783" s="9"/>
      <c r="MW783" s="9"/>
      <c r="MX783" s="9"/>
      <c r="MY783" s="9"/>
      <c r="MZ783" s="9"/>
      <c r="NA783" s="9"/>
      <c r="NB783" s="9"/>
      <c r="NC783" s="9"/>
      <c r="ND783" s="9"/>
      <c r="NE783" s="9"/>
      <c r="NF783" s="9"/>
      <c r="NG783" s="9"/>
      <c r="NH783" s="9"/>
      <c r="NI783" s="9"/>
      <c r="NJ783" s="9"/>
      <c r="NK783" s="9"/>
      <c r="NL783" s="9"/>
      <c r="NM783" s="9"/>
      <c r="NN783" s="9"/>
      <c r="NO783" s="9"/>
      <c r="NP783" s="9"/>
      <c r="NQ783" s="9"/>
      <c r="NR783" s="9"/>
      <c r="NS783" s="9"/>
      <c r="NT783" s="9"/>
      <c r="NU783" s="9"/>
      <c r="NV783" s="9"/>
      <c r="NW783" s="9"/>
      <c r="NX783" s="9"/>
      <c r="NY783" s="9"/>
      <c r="NZ783" s="9"/>
      <c r="OA783" s="9"/>
      <c r="OB783" s="9"/>
      <c r="OC783" s="9"/>
      <c r="OD783" s="9"/>
      <c r="OE783" s="9"/>
      <c r="OF783" s="9"/>
      <c r="OG783" s="9"/>
      <c r="OH783" s="9"/>
      <c r="OI783" s="9"/>
      <c r="OJ783" s="9"/>
      <c r="OK783" s="9"/>
      <c r="OL783" s="9"/>
      <c r="OM783" s="9"/>
      <c r="ON783" s="9"/>
      <c r="OO783" s="9"/>
      <c r="OP783" s="9"/>
      <c r="OQ783" s="9"/>
      <c r="OR783" s="9"/>
      <c r="OS783" s="9"/>
      <c r="OT783" s="9"/>
      <c r="OU783" s="9"/>
      <c r="OV783" s="9"/>
      <c r="OW783" s="9"/>
      <c r="OX783" s="9"/>
      <c r="OY783" s="9"/>
      <c r="OZ783" s="9"/>
      <c r="PA783" s="9"/>
      <c r="PB783" s="9"/>
      <c r="PC783" s="9"/>
      <c r="PD783" s="9"/>
      <c r="PE783" s="9"/>
      <c r="PF783" s="9"/>
      <c r="PG783" s="9"/>
      <c r="PH783" s="9"/>
      <c r="PI783" s="9"/>
      <c r="PJ783" s="9"/>
      <c r="PK783" s="9"/>
      <c r="PL783" s="9"/>
      <c r="PM783" s="9"/>
      <c r="PN783" s="9"/>
      <c r="PO783" s="9"/>
      <c r="PP783" s="9"/>
      <c r="PQ783" s="9"/>
      <c r="PR783" s="9"/>
      <c r="PS783" s="9"/>
      <c r="PT783" s="9"/>
      <c r="PU783" s="9"/>
      <c r="PV783" s="9"/>
      <c r="PW783" s="9"/>
      <c r="PX783" s="9"/>
      <c r="PY783" s="9"/>
      <c r="PZ783" s="9"/>
      <c r="QA783" s="9"/>
      <c r="QB783" s="9"/>
      <c r="QC783" s="9"/>
      <c r="QD783" s="9"/>
      <c r="QE783" s="9"/>
      <c r="QF783" s="9"/>
      <c r="QG783" s="9"/>
      <c r="QH783" s="9"/>
      <c r="QI783" s="9"/>
      <c r="QJ783" s="9"/>
      <c r="QK783" s="9"/>
      <c r="QL783" s="9"/>
      <c r="QM783" s="9"/>
      <c r="QN783" s="9"/>
      <c r="QO783" s="9"/>
      <c r="QP783" s="9"/>
      <c r="QQ783" s="9"/>
      <c r="QR783" s="9"/>
      <c r="QS783" s="9"/>
      <c r="QT783" s="9"/>
      <c r="QU783" s="9"/>
      <c r="QV783" s="9"/>
      <c r="QW783" s="9"/>
      <c r="QX783" s="9"/>
      <c r="QY783" s="9"/>
      <c r="QZ783" s="9"/>
      <c r="RA783" s="9"/>
      <c r="RB783" s="9"/>
      <c r="RC783" s="9"/>
      <c r="RD783" s="9"/>
      <c r="RE783" s="9"/>
      <c r="RF783" s="9"/>
      <c r="RG783" s="9"/>
      <c r="RH783" s="9"/>
      <c r="RI783" s="9"/>
      <c r="RJ783" s="9"/>
      <c r="RK783" s="9"/>
      <c r="RL783" s="9"/>
      <c r="RM783" s="9"/>
      <c r="RN783" s="9"/>
      <c r="RO783" s="9"/>
      <c r="RP783" s="9"/>
      <c r="RQ783" s="9"/>
      <c r="RR783" s="9"/>
      <c r="RS783" s="9"/>
      <c r="RT783" s="9"/>
      <c r="RU783" s="9"/>
      <c r="RV783" s="9"/>
      <c r="RW783" s="9"/>
      <c r="RX783" s="9"/>
      <c r="RY783" s="9"/>
      <c r="RZ783" s="9"/>
      <c r="SA783" s="9"/>
      <c r="SB783" s="9"/>
      <c r="SC783" s="9"/>
      <c r="SD783" s="9"/>
      <c r="SE783" s="9"/>
      <c r="SF783" s="9"/>
      <c r="SG783" s="9"/>
      <c r="SH783" s="9"/>
      <c r="SI783" s="9"/>
      <c r="SJ783" s="9"/>
      <c r="SK783" s="9"/>
      <c r="SL783" s="9"/>
      <c r="SM783" s="9"/>
      <c r="SN783" s="9"/>
      <c r="SO783" s="9"/>
      <c r="SP783" s="9"/>
      <c r="SQ783" s="9"/>
      <c r="SR783" s="9"/>
      <c r="SS783" s="9"/>
      <c r="ST783" s="9"/>
      <c r="SU783" s="9"/>
      <c r="SV783" s="9"/>
      <c r="SW783" s="9"/>
      <c r="SX783" s="9"/>
      <c r="SY783" s="9"/>
      <c r="SZ783" s="9"/>
      <c r="TA783" s="9"/>
      <c r="TB783" s="9"/>
      <c r="TC783" s="9"/>
      <c r="TD783" s="9"/>
      <c r="TE783" s="9"/>
      <c r="TF783" s="9"/>
      <c r="TG783" s="9"/>
      <c r="TH783" s="9"/>
      <c r="TI783" s="9"/>
      <c r="TJ783" s="9"/>
      <c r="TK783" s="9"/>
      <c r="TL783" s="9"/>
      <c r="TM783" s="9"/>
      <c r="TN783" s="9"/>
      <c r="TO783" s="9"/>
      <c r="TP783" s="9"/>
      <c r="TQ783" s="9"/>
      <c r="TR783" s="9"/>
      <c r="TS783" s="9"/>
      <c r="TT783" s="9"/>
      <c r="TU783" s="9"/>
      <c r="TV783" s="9"/>
      <c r="TW783" s="9"/>
      <c r="TX783" s="9"/>
      <c r="TY783" s="9"/>
      <c r="TZ783" s="9"/>
      <c r="UA783" s="9"/>
      <c r="UB783" s="9"/>
      <c r="UC783" s="9"/>
      <c r="UD783" s="9"/>
      <c r="UE783" s="9"/>
      <c r="UF783" s="9"/>
      <c r="UG783" s="9"/>
      <c r="UH783" s="9"/>
      <c r="UI783" s="9"/>
      <c r="UJ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9"/>
      <c r="IA784" s="9"/>
      <c r="IB784" s="9"/>
      <c r="IC784" s="9"/>
      <c r="ID784" s="9"/>
      <c r="IE784" s="9"/>
      <c r="IF784" s="9"/>
      <c r="IG784" s="9"/>
      <c r="IH784" s="9"/>
      <c r="II784" s="9"/>
      <c r="IJ784" s="9"/>
      <c r="IK784" s="9"/>
      <c r="IL784" s="9"/>
      <c r="IM784" s="9"/>
      <c r="IN784" s="9"/>
      <c r="IO784" s="9"/>
      <c r="IP784" s="9"/>
      <c r="IQ784" s="9"/>
      <c r="IR784" s="9"/>
      <c r="IS784" s="9"/>
      <c r="IT784" s="9"/>
      <c r="IU784" s="9"/>
      <c r="IV784" s="9"/>
      <c r="IW784" s="9"/>
      <c r="IX784" s="9"/>
      <c r="IY784" s="9"/>
      <c r="IZ784" s="9"/>
      <c r="JA784" s="9"/>
      <c r="JB784" s="9"/>
      <c r="JC784" s="9"/>
      <c r="JD784" s="9"/>
      <c r="JE784" s="9"/>
      <c r="JF784" s="9"/>
      <c r="JG784" s="9"/>
      <c r="JH784" s="9"/>
      <c r="JI784" s="9"/>
      <c r="JJ784" s="9"/>
      <c r="JK784" s="9"/>
      <c r="JL784" s="9"/>
      <c r="JM784" s="9"/>
      <c r="JN784" s="9"/>
      <c r="JO784" s="9"/>
      <c r="JP784" s="9"/>
      <c r="JQ784" s="9"/>
      <c r="JR784" s="9"/>
      <c r="JS784" s="9"/>
      <c r="JT784" s="9"/>
      <c r="JU784" s="9"/>
      <c r="JV784" s="9"/>
      <c r="JW784" s="9"/>
      <c r="JX784" s="9"/>
      <c r="JY784" s="9"/>
      <c r="JZ784" s="9"/>
      <c r="KA784" s="9"/>
      <c r="KB784" s="9"/>
      <c r="KC784" s="9"/>
      <c r="KD784" s="9"/>
      <c r="KE784" s="9"/>
      <c r="KF784" s="9"/>
      <c r="KG784" s="9"/>
      <c r="KH784" s="9"/>
      <c r="KI784" s="9"/>
      <c r="KJ784" s="9"/>
      <c r="KK784" s="9"/>
      <c r="KL784" s="9"/>
      <c r="KM784" s="9"/>
      <c r="KN784" s="9"/>
      <c r="KO784" s="9"/>
      <c r="KP784" s="9"/>
      <c r="KQ784" s="9"/>
      <c r="KR784" s="9"/>
      <c r="KS784" s="9"/>
      <c r="KT784" s="9"/>
      <c r="KU784" s="9"/>
      <c r="KV784" s="9"/>
      <c r="KW784" s="9"/>
      <c r="KX784" s="9"/>
      <c r="KY784" s="9"/>
      <c r="KZ784" s="9"/>
      <c r="LA784" s="9"/>
      <c r="LB784" s="9"/>
      <c r="LC784" s="9"/>
      <c r="LD784" s="9"/>
      <c r="LE784" s="9"/>
      <c r="LF784" s="9"/>
      <c r="LG784" s="9"/>
      <c r="LH784" s="9"/>
      <c r="LI784" s="9"/>
      <c r="LJ784" s="9"/>
      <c r="LK784" s="9"/>
      <c r="LL784" s="9"/>
      <c r="LM784" s="9"/>
      <c r="LN784" s="9"/>
      <c r="LO784" s="9"/>
      <c r="LP784" s="9"/>
      <c r="LQ784" s="9"/>
      <c r="LR784" s="9"/>
      <c r="LS784" s="9"/>
      <c r="LT784" s="9"/>
      <c r="LU784" s="9"/>
      <c r="LV784" s="9"/>
      <c r="LW784" s="9"/>
      <c r="LX784" s="9"/>
      <c r="LY784" s="9"/>
      <c r="LZ784" s="9"/>
      <c r="MA784" s="9"/>
      <c r="MB784" s="9"/>
      <c r="MC784" s="9"/>
      <c r="MD784" s="9"/>
      <c r="ME784" s="9"/>
      <c r="MF784" s="9"/>
      <c r="MG784" s="9"/>
      <c r="MH784" s="9"/>
      <c r="MI784" s="9"/>
      <c r="MJ784" s="9"/>
      <c r="MK784" s="9"/>
      <c r="ML784" s="9"/>
      <c r="MM784" s="9"/>
      <c r="MN784" s="9"/>
      <c r="MO784" s="9"/>
      <c r="MP784" s="9"/>
      <c r="MQ784" s="9"/>
      <c r="MR784" s="9"/>
      <c r="MS784" s="9"/>
      <c r="MT784" s="9"/>
      <c r="MU784" s="9"/>
      <c r="MV784" s="9"/>
      <c r="MW784" s="9"/>
      <c r="MX784" s="9"/>
      <c r="MY784" s="9"/>
      <c r="MZ784" s="9"/>
      <c r="NA784" s="9"/>
      <c r="NB784" s="9"/>
      <c r="NC784" s="9"/>
      <c r="ND784" s="9"/>
      <c r="NE784" s="9"/>
      <c r="NF784" s="9"/>
      <c r="NG784" s="9"/>
      <c r="NH784" s="9"/>
      <c r="NI784" s="9"/>
      <c r="NJ784" s="9"/>
      <c r="NK784" s="9"/>
      <c r="NL784" s="9"/>
      <c r="NM784" s="9"/>
      <c r="NN784" s="9"/>
      <c r="NO784" s="9"/>
      <c r="NP784" s="9"/>
      <c r="NQ784" s="9"/>
      <c r="NR784" s="9"/>
      <c r="NS784" s="9"/>
      <c r="NT784" s="9"/>
      <c r="NU784" s="9"/>
      <c r="NV784" s="9"/>
      <c r="NW784" s="9"/>
      <c r="NX784" s="9"/>
      <c r="NY784" s="9"/>
      <c r="NZ784" s="9"/>
      <c r="OA784" s="9"/>
      <c r="OB784" s="9"/>
      <c r="OC784" s="9"/>
      <c r="OD784" s="9"/>
      <c r="OE784" s="9"/>
      <c r="OF784" s="9"/>
      <c r="OG784" s="9"/>
      <c r="OH784" s="9"/>
      <c r="OI784" s="9"/>
      <c r="OJ784" s="9"/>
      <c r="OK784" s="9"/>
      <c r="OL784" s="9"/>
      <c r="OM784" s="9"/>
      <c r="ON784" s="9"/>
      <c r="OO784" s="9"/>
      <c r="OP784" s="9"/>
      <c r="OQ784" s="9"/>
      <c r="OR784" s="9"/>
      <c r="OS784" s="9"/>
      <c r="OT784" s="9"/>
      <c r="OU784" s="9"/>
      <c r="OV784" s="9"/>
      <c r="OW784" s="9"/>
      <c r="OX784" s="9"/>
      <c r="OY784" s="9"/>
      <c r="OZ784" s="9"/>
      <c r="PA784" s="9"/>
      <c r="PB784" s="9"/>
      <c r="PC784" s="9"/>
      <c r="PD784" s="9"/>
      <c r="PE784" s="9"/>
      <c r="PF784" s="9"/>
      <c r="PG784" s="9"/>
      <c r="PH784" s="9"/>
      <c r="PI784" s="9"/>
      <c r="PJ784" s="9"/>
      <c r="PK784" s="9"/>
      <c r="PL784" s="9"/>
      <c r="PM784" s="9"/>
      <c r="PN784" s="9"/>
      <c r="PO784" s="9"/>
      <c r="PP784" s="9"/>
      <c r="PQ784" s="9"/>
      <c r="PR784" s="9"/>
      <c r="PS784" s="9"/>
      <c r="PT784" s="9"/>
      <c r="PU784" s="9"/>
      <c r="PV784" s="9"/>
      <c r="PW784" s="9"/>
      <c r="PX784" s="9"/>
      <c r="PY784" s="9"/>
      <c r="PZ784" s="9"/>
      <c r="QA784" s="9"/>
      <c r="QB784" s="9"/>
      <c r="QC784" s="9"/>
      <c r="QD784" s="9"/>
      <c r="QE784" s="9"/>
      <c r="QF784" s="9"/>
      <c r="QG784" s="9"/>
      <c r="QH784" s="9"/>
      <c r="QI784" s="9"/>
      <c r="QJ784" s="9"/>
      <c r="QK784" s="9"/>
      <c r="QL784" s="9"/>
      <c r="QM784" s="9"/>
      <c r="QN784" s="9"/>
      <c r="QO784" s="9"/>
      <c r="QP784" s="9"/>
      <c r="QQ784" s="9"/>
      <c r="QR784" s="9"/>
      <c r="QS784" s="9"/>
      <c r="QT784" s="9"/>
      <c r="QU784" s="9"/>
      <c r="QV784" s="9"/>
      <c r="QW784" s="9"/>
      <c r="QX784" s="9"/>
      <c r="QY784" s="9"/>
      <c r="QZ784" s="9"/>
      <c r="RA784" s="9"/>
      <c r="RB784" s="9"/>
      <c r="RC784" s="9"/>
      <c r="RD784" s="9"/>
      <c r="RE784" s="9"/>
      <c r="RF784" s="9"/>
      <c r="RG784" s="9"/>
      <c r="RH784" s="9"/>
      <c r="RI784" s="9"/>
      <c r="RJ784" s="9"/>
      <c r="RK784" s="9"/>
      <c r="RL784" s="9"/>
      <c r="RM784" s="9"/>
      <c r="RN784" s="9"/>
      <c r="RO784" s="9"/>
      <c r="RP784" s="9"/>
      <c r="RQ784" s="9"/>
      <c r="RR784" s="9"/>
      <c r="RS784" s="9"/>
      <c r="RT784" s="9"/>
      <c r="RU784" s="9"/>
      <c r="RV784" s="9"/>
      <c r="RW784" s="9"/>
      <c r="RX784" s="9"/>
      <c r="RY784" s="9"/>
      <c r="RZ784" s="9"/>
      <c r="SA784" s="9"/>
      <c r="SB784" s="9"/>
      <c r="SC784" s="9"/>
      <c r="SD784" s="9"/>
      <c r="SE784" s="9"/>
      <c r="SF784" s="9"/>
      <c r="SG784" s="9"/>
      <c r="SH784" s="9"/>
      <c r="SI784" s="9"/>
      <c r="SJ784" s="9"/>
      <c r="SK784" s="9"/>
      <c r="SL784" s="9"/>
      <c r="SM784" s="9"/>
      <c r="SN784" s="9"/>
      <c r="SO784" s="9"/>
      <c r="SP784" s="9"/>
      <c r="SQ784" s="9"/>
      <c r="SR784" s="9"/>
      <c r="SS784" s="9"/>
      <c r="ST784" s="9"/>
      <c r="SU784" s="9"/>
      <c r="SV784" s="9"/>
      <c r="SW784" s="9"/>
      <c r="SX784" s="9"/>
      <c r="SY784" s="9"/>
      <c r="SZ784" s="9"/>
      <c r="TA784" s="9"/>
      <c r="TB784" s="9"/>
      <c r="TC784" s="9"/>
      <c r="TD784" s="9"/>
      <c r="TE784" s="9"/>
      <c r="TF784" s="9"/>
      <c r="TG784" s="9"/>
      <c r="TH784" s="9"/>
      <c r="TI784" s="9"/>
      <c r="TJ784" s="9"/>
      <c r="TK784" s="9"/>
      <c r="TL784" s="9"/>
      <c r="TM784" s="9"/>
      <c r="TN784" s="9"/>
      <c r="TO784" s="9"/>
      <c r="TP784" s="9"/>
      <c r="TQ784" s="9"/>
      <c r="TR784" s="9"/>
      <c r="TS784" s="9"/>
      <c r="TT784" s="9"/>
      <c r="TU784" s="9"/>
      <c r="TV784" s="9"/>
      <c r="TW784" s="9"/>
      <c r="TX784" s="9"/>
      <c r="TY784" s="9"/>
      <c r="TZ784" s="9"/>
      <c r="UA784" s="9"/>
      <c r="UB784" s="9"/>
      <c r="UC784" s="9"/>
      <c r="UD784" s="9"/>
      <c r="UE784" s="9"/>
      <c r="UF784" s="9"/>
      <c r="UG784" s="9"/>
      <c r="UH784" s="9"/>
      <c r="UI784" s="9"/>
      <c r="UJ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  <c r="IC785" s="9"/>
      <c r="ID785" s="9"/>
      <c r="IE785" s="9"/>
      <c r="IF785" s="9"/>
      <c r="IG785" s="9"/>
      <c r="IH785" s="9"/>
      <c r="II785" s="9"/>
      <c r="IJ785" s="9"/>
      <c r="IK785" s="9"/>
      <c r="IL785" s="9"/>
      <c r="IM785" s="9"/>
      <c r="IN785" s="9"/>
      <c r="IO785" s="9"/>
      <c r="IP785" s="9"/>
      <c r="IQ785" s="9"/>
      <c r="IR785" s="9"/>
      <c r="IS785" s="9"/>
      <c r="IT785" s="9"/>
      <c r="IU785" s="9"/>
      <c r="IV785" s="9"/>
      <c r="IW785" s="9"/>
      <c r="IX785" s="9"/>
      <c r="IY785" s="9"/>
      <c r="IZ785" s="9"/>
      <c r="JA785" s="9"/>
      <c r="JB785" s="9"/>
      <c r="JC785" s="9"/>
      <c r="JD785" s="9"/>
      <c r="JE785" s="9"/>
      <c r="JF785" s="9"/>
      <c r="JG785" s="9"/>
      <c r="JH785" s="9"/>
      <c r="JI785" s="9"/>
      <c r="JJ785" s="9"/>
      <c r="JK785" s="9"/>
      <c r="JL785" s="9"/>
      <c r="JM785" s="9"/>
      <c r="JN785" s="9"/>
      <c r="JO785" s="9"/>
      <c r="JP785" s="9"/>
      <c r="JQ785" s="9"/>
      <c r="JR785" s="9"/>
      <c r="JS785" s="9"/>
      <c r="JT785" s="9"/>
      <c r="JU785" s="9"/>
      <c r="JV785" s="9"/>
      <c r="JW785" s="9"/>
      <c r="JX785" s="9"/>
      <c r="JY785" s="9"/>
      <c r="JZ785" s="9"/>
      <c r="KA785" s="9"/>
      <c r="KB785" s="9"/>
      <c r="KC785" s="9"/>
      <c r="KD785" s="9"/>
      <c r="KE785" s="9"/>
      <c r="KF785" s="9"/>
      <c r="KG785" s="9"/>
      <c r="KH785" s="9"/>
      <c r="KI785" s="9"/>
      <c r="KJ785" s="9"/>
      <c r="KK785" s="9"/>
      <c r="KL785" s="9"/>
      <c r="KM785" s="9"/>
      <c r="KN785" s="9"/>
      <c r="KO785" s="9"/>
      <c r="KP785" s="9"/>
      <c r="KQ785" s="9"/>
      <c r="KR785" s="9"/>
      <c r="KS785" s="9"/>
      <c r="KT785" s="9"/>
      <c r="KU785" s="9"/>
      <c r="KV785" s="9"/>
      <c r="KW785" s="9"/>
      <c r="KX785" s="9"/>
      <c r="KY785" s="9"/>
      <c r="KZ785" s="9"/>
      <c r="LA785" s="9"/>
      <c r="LB785" s="9"/>
      <c r="LC785" s="9"/>
      <c r="LD785" s="9"/>
      <c r="LE785" s="9"/>
      <c r="LF785" s="9"/>
      <c r="LG785" s="9"/>
      <c r="LH785" s="9"/>
      <c r="LI785" s="9"/>
      <c r="LJ785" s="9"/>
      <c r="LK785" s="9"/>
      <c r="LL785" s="9"/>
      <c r="LM785" s="9"/>
      <c r="LN785" s="9"/>
      <c r="LO785" s="9"/>
      <c r="LP785" s="9"/>
      <c r="LQ785" s="9"/>
      <c r="LR785" s="9"/>
      <c r="LS785" s="9"/>
      <c r="LT785" s="9"/>
      <c r="LU785" s="9"/>
      <c r="LV785" s="9"/>
      <c r="LW785" s="9"/>
      <c r="LX785" s="9"/>
      <c r="LY785" s="9"/>
      <c r="LZ785" s="9"/>
      <c r="MA785" s="9"/>
      <c r="MB785" s="9"/>
      <c r="MC785" s="9"/>
      <c r="MD785" s="9"/>
      <c r="ME785" s="9"/>
      <c r="MF785" s="9"/>
      <c r="MG785" s="9"/>
      <c r="MH785" s="9"/>
      <c r="MI785" s="9"/>
      <c r="MJ785" s="9"/>
      <c r="MK785" s="9"/>
      <c r="ML785" s="9"/>
      <c r="MM785" s="9"/>
      <c r="MN785" s="9"/>
      <c r="MO785" s="9"/>
      <c r="MP785" s="9"/>
      <c r="MQ785" s="9"/>
      <c r="MR785" s="9"/>
      <c r="MS785" s="9"/>
      <c r="MT785" s="9"/>
      <c r="MU785" s="9"/>
      <c r="MV785" s="9"/>
      <c r="MW785" s="9"/>
      <c r="MX785" s="9"/>
      <c r="MY785" s="9"/>
      <c r="MZ785" s="9"/>
      <c r="NA785" s="9"/>
      <c r="NB785" s="9"/>
      <c r="NC785" s="9"/>
      <c r="ND785" s="9"/>
      <c r="NE785" s="9"/>
      <c r="NF785" s="9"/>
      <c r="NG785" s="9"/>
      <c r="NH785" s="9"/>
      <c r="NI785" s="9"/>
      <c r="NJ785" s="9"/>
      <c r="NK785" s="9"/>
      <c r="NL785" s="9"/>
      <c r="NM785" s="9"/>
      <c r="NN785" s="9"/>
      <c r="NO785" s="9"/>
      <c r="NP785" s="9"/>
      <c r="NQ785" s="9"/>
      <c r="NR785" s="9"/>
      <c r="NS785" s="9"/>
      <c r="NT785" s="9"/>
      <c r="NU785" s="9"/>
      <c r="NV785" s="9"/>
      <c r="NW785" s="9"/>
      <c r="NX785" s="9"/>
      <c r="NY785" s="9"/>
      <c r="NZ785" s="9"/>
      <c r="OA785" s="9"/>
      <c r="OB785" s="9"/>
      <c r="OC785" s="9"/>
      <c r="OD785" s="9"/>
      <c r="OE785" s="9"/>
      <c r="OF785" s="9"/>
      <c r="OG785" s="9"/>
      <c r="OH785" s="9"/>
      <c r="OI785" s="9"/>
      <c r="OJ785" s="9"/>
      <c r="OK785" s="9"/>
      <c r="OL785" s="9"/>
      <c r="OM785" s="9"/>
      <c r="ON785" s="9"/>
      <c r="OO785" s="9"/>
      <c r="OP785" s="9"/>
      <c r="OQ785" s="9"/>
      <c r="OR785" s="9"/>
      <c r="OS785" s="9"/>
      <c r="OT785" s="9"/>
      <c r="OU785" s="9"/>
      <c r="OV785" s="9"/>
      <c r="OW785" s="9"/>
      <c r="OX785" s="9"/>
      <c r="OY785" s="9"/>
      <c r="OZ785" s="9"/>
      <c r="PA785" s="9"/>
      <c r="PB785" s="9"/>
      <c r="PC785" s="9"/>
      <c r="PD785" s="9"/>
      <c r="PE785" s="9"/>
      <c r="PF785" s="9"/>
      <c r="PG785" s="9"/>
      <c r="PH785" s="9"/>
      <c r="PI785" s="9"/>
      <c r="PJ785" s="9"/>
      <c r="PK785" s="9"/>
      <c r="PL785" s="9"/>
      <c r="PM785" s="9"/>
      <c r="PN785" s="9"/>
      <c r="PO785" s="9"/>
      <c r="PP785" s="9"/>
      <c r="PQ785" s="9"/>
      <c r="PR785" s="9"/>
      <c r="PS785" s="9"/>
      <c r="PT785" s="9"/>
      <c r="PU785" s="9"/>
      <c r="PV785" s="9"/>
      <c r="PW785" s="9"/>
      <c r="PX785" s="9"/>
      <c r="PY785" s="9"/>
      <c r="PZ785" s="9"/>
      <c r="QA785" s="9"/>
      <c r="QB785" s="9"/>
      <c r="QC785" s="9"/>
      <c r="QD785" s="9"/>
      <c r="QE785" s="9"/>
      <c r="QF785" s="9"/>
      <c r="QG785" s="9"/>
      <c r="QH785" s="9"/>
      <c r="QI785" s="9"/>
      <c r="QJ785" s="9"/>
      <c r="QK785" s="9"/>
      <c r="QL785" s="9"/>
      <c r="QM785" s="9"/>
      <c r="QN785" s="9"/>
      <c r="QO785" s="9"/>
      <c r="QP785" s="9"/>
      <c r="QQ785" s="9"/>
      <c r="QR785" s="9"/>
      <c r="QS785" s="9"/>
      <c r="QT785" s="9"/>
      <c r="QU785" s="9"/>
      <c r="QV785" s="9"/>
      <c r="QW785" s="9"/>
      <c r="QX785" s="9"/>
      <c r="QY785" s="9"/>
      <c r="QZ785" s="9"/>
      <c r="RA785" s="9"/>
      <c r="RB785" s="9"/>
      <c r="RC785" s="9"/>
      <c r="RD785" s="9"/>
      <c r="RE785" s="9"/>
      <c r="RF785" s="9"/>
      <c r="RG785" s="9"/>
      <c r="RH785" s="9"/>
      <c r="RI785" s="9"/>
      <c r="RJ785" s="9"/>
      <c r="RK785" s="9"/>
      <c r="RL785" s="9"/>
      <c r="RM785" s="9"/>
      <c r="RN785" s="9"/>
      <c r="RO785" s="9"/>
      <c r="RP785" s="9"/>
      <c r="RQ785" s="9"/>
      <c r="RR785" s="9"/>
      <c r="RS785" s="9"/>
      <c r="RT785" s="9"/>
      <c r="RU785" s="9"/>
      <c r="RV785" s="9"/>
      <c r="RW785" s="9"/>
      <c r="RX785" s="9"/>
      <c r="RY785" s="9"/>
      <c r="RZ785" s="9"/>
      <c r="SA785" s="9"/>
      <c r="SB785" s="9"/>
      <c r="SC785" s="9"/>
      <c r="SD785" s="9"/>
      <c r="SE785" s="9"/>
      <c r="SF785" s="9"/>
      <c r="SG785" s="9"/>
      <c r="SH785" s="9"/>
      <c r="SI785" s="9"/>
      <c r="SJ785" s="9"/>
      <c r="SK785" s="9"/>
      <c r="SL785" s="9"/>
      <c r="SM785" s="9"/>
      <c r="SN785" s="9"/>
      <c r="SO785" s="9"/>
      <c r="SP785" s="9"/>
      <c r="SQ785" s="9"/>
      <c r="SR785" s="9"/>
      <c r="SS785" s="9"/>
      <c r="ST785" s="9"/>
      <c r="SU785" s="9"/>
      <c r="SV785" s="9"/>
      <c r="SW785" s="9"/>
      <c r="SX785" s="9"/>
      <c r="SY785" s="9"/>
      <c r="SZ785" s="9"/>
      <c r="TA785" s="9"/>
      <c r="TB785" s="9"/>
      <c r="TC785" s="9"/>
      <c r="TD785" s="9"/>
      <c r="TE785" s="9"/>
      <c r="TF785" s="9"/>
      <c r="TG785" s="9"/>
      <c r="TH785" s="9"/>
      <c r="TI785" s="9"/>
      <c r="TJ785" s="9"/>
      <c r="TK785" s="9"/>
      <c r="TL785" s="9"/>
      <c r="TM785" s="9"/>
      <c r="TN785" s="9"/>
      <c r="TO785" s="9"/>
      <c r="TP785" s="9"/>
      <c r="TQ785" s="9"/>
      <c r="TR785" s="9"/>
      <c r="TS785" s="9"/>
      <c r="TT785" s="9"/>
      <c r="TU785" s="9"/>
      <c r="TV785" s="9"/>
      <c r="TW785" s="9"/>
      <c r="TX785" s="9"/>
      <c r="TY785" s="9"/>
      <c r="TZ785" s="9"/>
      <c r="UA785" s="9"/>
      <c r="UB785" s="9"/>
      <c r="UC785" s="9"/>
      <c r="UD785" s="9"/>
      <c r="UE785" s="9"/>
      <c r="UF785" s="9"/>
      <c r="UG785" s="9"/>
      <c r="UH785" s="9"/>
      <c r="UI785" s="9"/>
      <c r="UJ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  <c r="HO786" s="9"/>
      <c r="HP786" s="9"/>
      <c r="HQ786" s="9"/>
      <c r="HR786" s="9"/>
      <c r="HS786" s="9"/>
      <c r="HT786" s="9"/>
      <c r="HU786" s="9"/>
      <c r="HV786" s="9"/>
      <c r="HW786" s="9"/>
      <c r="HX786" s="9"/>
      <c r="HY786" s="9"/>
      <c r="HZ786" s="9"/>
      <c r="IA786" s="9"/>
      <c r="IB786" s="9"/>
      <c r="IC786" s="9"/>
      <c r="ID786" s="9"/>
      <c r="IE786" s="9"/>
      <c r="IF786" s="9"/>
      <c r="IG786" s="9"/>
      <c r="IH786" s="9"/>
      <c r="II786" s="9"/>
      <c r="IJ786" s="9"/>
      <c r="IK786" s="9"/>
      <c r="IL786" s="9"/>
      <c r="IM786" s="9"/>
      <c r="IN786" s="9"/>
      <c r="IO786" s="9"/>
      <c r="IP786" s="9"/>
      <c r="IQ786" s="9"/>
      <c r="IR786" s="9"/>
      <c r="IS786" s="9"/>
      <c r="IT786" s="9"/>
      <c r="IU786" s="9"/>
      <c r="IV786" s="9"/>
      <c r="IW786" s="9"/>
      <c r="IX786" s="9"/>
      <c r="IY786" s="9"/>
      <c r="IZ786" s="9"/>
      <c r="JA786" s="9"/>
      <c r="JB786" s="9"/>
      <c r="JC786" s="9"/>
      <c r="JD786" s="9"/>
      <c r="JE786" s="9"/>
      <c r="JF786" s="9"/>
      <c r="JG786" s="9"/>
      <c r="JH786" s="9"/>
      <c r="JI786" s="9"/>
      <c r="JJ786" s="9"/>
      <c r="JK786" s="9"/>
      <c r="JL786" s="9"/>
      <c r="JM786" s="9"/>
      <c r="JN786" s="9"/>
      <c r="JO786" s="9"/>
      <c r="JP786" s="9"/>
      <c r="JQ786" s="9"/>
      <c r="JR786" s="9"/>
      <c r="JS786" s="9"/>
      <c r="JT786" s="9"/>
      <c r="JU786" s="9"/>
      <c r="JV786" s="9"/>
      <c r="JW786" s="9"/>
      <c r="JX786" s="9"/>
      <c r="JY786" s="9"/>
      <c r="JZ786" s="9"/>
      <c r="KA786" s="9"/>
      <c r="KB786" s="9"/>
      <c r="KC786" s="9"/>
      <c r="KD786" s="9"/>
      <c r="KE786" s="9"/>
      <c r="KF786" s="9"/>
      <c r="KG786" s="9"/>
      <c r="KH786" s="9"/>
      <c r="KI786" s="9"/>
      <c r="KJ786" s="9"/>
      <c r="KK786" s="9"/>
      <c r="KL786" s="9"/>
      <c r="KM786" s="9"/>
      <c r="KN786" s="9"/>
      <c r="KO786" s="9"/>
      <c r="KP786" s="9"/>
      <c r="KQ786" s="9"/>
      <c r="KR786" s="9"/>
      <c r="KS786" s="9"/>
      <c r="KT786" s="9"/>
      <c r="KU786" s="9"/>
      <c r="KV786" s="9"/>
      <c r="KW786" s="9"/>
      <c r="KX786" s="9"/>
      <c r="KY786" s="9"/>
      <c r="KZ786" s="9"/>
      <c r="LA786" s="9"/>
      <c r="LB786" s="9"/>
      <c r="LC786" s="9"/>
      <c r="LD786" s="9"/>
      <c r="LE786" s="9"/>
      <c r="LF786" s="9"/>
      <c r="LG786" s="9"/>
      <c r="LH786" s="9"/>
      <c r="LI786" s="9"/>
      <c r="LJ786" s="9"/>
      <c r="LK786" s="9"/>
      <c r="LL786" s="9"/>
      <c r="LM786" s="9"/>
      <c r="LN786" s="9"/>
      <c r="LO786" s="9"/>
      <c r="LP786" s="9"/>
      <c r="LQ786" s="9"/>
      <c r="LR786" s="9"/>
      <c r="LS786" s="9"/>
      <c r="LT786" s="9"/>
      <c r="LU786" s="9"/>
      <c r="LV786" s="9"/>
      <c r="LW786" s="9"/>
      <c r="LX786" s="9"/>
      <c r="LY786" s="9"/>
      <c r="LZ786" s="9"/>
      <c r="MA786" s="9"/>
      <c r="MB786" s="9"/>
      <c r="MC786" s="9"/>
      <c r="MD786" s="9"/>
      <c r="ME786" s="9"/>
      <c r="MF786" s="9"/>
      <c r="MG786" s="9"/>
      <c r="MH786" s="9"/>
      <c r="MI786" s="9"/>
      <c r="MJ786" s="9"/>
      <c r="MK786" s="9"/>
      <c r="ML786" s="9"/>
      <c r="MM786" s="9"/>
      <c r="MN786" s="9"/>
      <c r="MO786" s="9"/>
      <c r="MP786" s="9"/>
      <c r="MQ786" s="9"/>
      <c r="MR786" s="9"/>
      <c r="MS786" s="9"/>
      <c r="MT786" s="9"/>
      <c r="MU786" s="9"/>
      <c r="MV786" s="9"/>
      <c r="MW786" s="9"/>
      <c r="MX786" s="9"/>
      <c r="MY786" s="9"/>
      <c r="MZ786" s="9"/>
      <c r="NA786" s="9"/>
      <c r="NB786" s="9"/>
      <c r="NC786" s="9"/>
      <c r="ND786" s="9"/>
      <c r="NE786" s="9"/>
      <c r="NF786" s="9"/>
      <c r="NG786" s="9"/>
      <c r="NH786" s="9"/>
      <c r="NI786" s="9"/>
      <c r="NJ786" s="9"/>
      <c r="NK786" s="9"/>
      <c r="NL786" s="9"/>
      <c r="NM786" s="9"/>
      <c r="NN786" s="9"/>
      <c r="NO786" s="9"/>
      <c r="NP786" s="9"/>
      <c r="NQ786" s="9"/>
      <c r="NR786" s="9"/>
      <c r="NS786" s="9"/>
      <c r="NT786" s="9"/>
      <c r="NU786" s="9"/>
      <c r="NV786" s="9"/>
      <c r="NW786" s="9"/>
      <c r="NX786" s="9"/>
      <c r="NY786" s="9"/>
      <c r="NZ786" s="9"/>
      <c r="OA786" s="9"/>
      <c r="OB786" s="9"/>
      <c r="OC786" s="9"/>
      <c r="OD786" s="9"/>
      <c r="OE786" s="9"/>
      <c r="OF786" s="9"/>
      <c r="OG786" s="9"/>
      <c r="OH786" s="9"/>
      <c r="OI786" s="9"/>
      <c r="OJ786" s="9"/>
      <c r="OK786" s="9"/>
      <c r="OL786" s="9"/>
      <c r="OM786" s="9"/>
      <c r="ON786" s="9"/>
      <c r="OO786" s="9"/>
      <c r="OP786" s="9"/>
      <c r="OQ786" s="9"/>
      <c r="OR786" s="9"/>
      <c r="OS786" s="9"/>
      <c r="OT786" s="9"/>
      <c r="OU786" s="9"/>
      <c r="OV786" s="9"/>
      <c r="OW786" s="9"/>
      <c r="OX786" s="9"/>
      <c r="OY786" s="9"/>
      <c r="OZ786" s="9"/>
      <c r="PA786" s="9"/>
      <c r="PB786" s="9"/>
      <c r="PC786" s="9"/>
      <c r="PD786" s="9"/>
      <c r="PE786" s="9"/>
      <c r="PF786" s="9"/>
      <c r="PG786" s="9"/>
      <c r="PH786" s="9"/>
      <c r="PI786" s="9"/>
      <c r="PJ786" s="9"/>
      <c r="PK786" s="9"/>
      <c r="PL786" s="9"/>
      <c r="PM786" s="9"/>
      <c r="PN786" s="9"/>
      <c r="PO786" s="9"/>
      <c r="PP786" s="9"/>
      <c r="PQ786" s="9"/>
      <c r="PR786" s="9"/>
      <c r="PS786" s="9"/>
      <c r="PT786" s="9"/>
      <c r="PU786" s="9"/>
      <c r="PV786" s="9"/>
      <c r="PW786" s="9"/>
      <c r="PX786" s="9"/>
      <c r="PY786" s="9"/>
      <c r="PZ786" s="9"/>
      <c r="QA786" s="9"/>
      <c r="QB786" s="9"/>
      <c r="QC786" s="9"/>
      <c r="QD786" s="9"/>
      <c r="QE786" s="9"/>
      <c r="QF786" s="9"/>
      <c r="QG786" s="9"/>
      <c r="QH786" s="9"/>
      <c r="QI786" s="9"/>
      <c r="QJ786" s="9"/>
      <c r="QK786" s="9"/>
      <c r="QL786" s="9"/>
      <c r="QM786" s="9"/>
      <c r="QN786" s="9"/>
      <c r="QO786" s="9"/>
      <c r="QP786" s="9"/>
      <c r="QQ786" s="9"/>
      <c r="QR786" s="9"/>
      <c r="QS786" s="9"/>
      <c r="QT786" s="9"/>
      <c r="QU786" s="9"/>
      <c r="QV786" s="9"/>
      <c r="QW786" s="9"/>
      <c r="QX786" s="9"/>
      <c r="QY786" s="9"/>
      <c r="QZ786" s="9"/>
      <c r="RA786" s="9"/>
      <c r="RB786" s="9"/>
      <c r="RC786" s="9"/>
      <c r="RD786" s="9"/>
      <c r="RE786" s="9"/>
      <c r="RF786" s="9"/>
      <c r="RG786" s="9"/>
      <c r="RH786" s="9"/>
      <c r="RI786" s="9"/>
      <c r="RJ786" s="9"/>
      <c r="RK786" s="9"/>
      <c r="RL786" s="9"/>
      <c r="RM786" s="9"/>
      <c r="RN786" s="9"/>
      <c r="RO786" s="9"/>
      <c r="RP786" s="9"/>
      <c r="RQ786" s="9"/>
      <c r="RR786" s="9"/>
      <c r="RS786" s="9"/>
      <c r="RT786" s="9"/>
      <c r="RU786" s="9"/>
      <c r="RV786" s="9"/>
      <c r="RW786" s="9"/>
      <c r="RX786" s="9"/>
      <c r="RY786" s="9"/>
      <c r="RZ786" s="9"/>
      <c r="SA786" s="9"/>
      <c r="SB786" s="9"/>
      <c r="SC786" s="9"/>
      <c r="SD786" s="9"/>
      <c r="SE786" s="9"/>
      <c r="SF786" s="9"/>
      <c r="SG786" s="9"/>
      <c r="SH786" s="9"/>
      <c r="SI786" s="9"/>
      <c r="SJ786" s="9"/>
      <c r="SK786" s="9"/>
      <c r="SL786" s="9"/>
      <c r="SM786" s="9"/>
      <c r="SN786" s="9"/>
      <c r="SO786" s="9"/>
      <c r="SP786" s="9"/>
      <c r="SQ786" s="9"/>
      <c r="SR786" s="9"/>
      <c r="SS786" s="9"/>
      <c r="ST786" s="9"/>
      <c r="SU786" s="9"/>
      <c r="SV786" s="9"/>
      <c r="SW786" s="9"/>
      <c r="SX786" s="9"/>
      <c r="SY786" s="9"/>
      <c r="SZ786" s="9"/>
      <c r="TA786" s="9"/>
      <c r="TB786" s="9"/>
      <c r="TC786" s="9"/>
      <c r="TD786" s="9"/>
      <c r="TE786" s="9"/>
      <c r="TF786" s="9"/>
      <c r="TG786" s="9"/>
      <c r="TH786" s="9"/>
      <c r="TI786" s="9"/>
      <c r="TJ786" s="9"/>
      <c r="TK786" s="9"/>
      <c r="TL786" s="9"/>
      <c r="TM786" s="9"/>
      <c r="TN786" s="9"/>
      <c r="TO786" s="9"/>
      <c r="TP786" s="9"/>
      <c r="TQ786" s="9"/>
      <c r="TR786" s="9"/>
      <c r="TS786" s="9"/>
      <c r="TT786" s="9"/>
      <c r="TU786" s="9"/>
      <c r="TV786" s="9"/>
      <c r="TW786" s="9"/>
      <c r="TX786" s="9"/>
      <c r="TY786" s="9"/>
      <c r="TZ786" s="9"/>
      <c r="UA786" s="9"/>
      <c r="UB786" s="9"/>
      <c r="UC786" s="9"/>
      <c r="UD786" s="9"/>
      <c r="UE786" s="9"/>
      <c r="UF786" s="9"/>
      <c r="UG786" s="9"/>
      <c r="UH786" s="9"/>
      <c r="UI786" s="9"/>
      <c r="UJ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  <c r="IC787" s="9"/>
      <c r="ID787" s="9"/>
      <c r="IE787" s="9"/>
      <c r="IF787" s="9"/>
      <c r="IG787" s="9"/>
      <c r="IH787" s="9"/>
      <c r="II787" s="9"/>
      <c r="IJ787" s="9"/>
      <c r="IK787" s="9"/>
      <c r="IL787" s="9"/>
      <c r="IM787" s="9"/>
      <c r="IN787" s="9"/>
      <c r="IO787" s="9"/>
      <c r="IP787" s="9"/>
      <c r="IQ787" s="9"/>
      <c r="IR787" s="9"/>
      <c r="IS787" s="9"/>
      <c r="IT787" s="9"/>
      <c r="IU787" s="9"/>
      <c r="IV787" s="9"/>
      <c r="IW787" s="9"/>
      <c r="IX787" s="9"/>
      <c r="IY787" s="9"/>
      <c r="IZ787" s="9"/>
      <c r="JA787" s="9"/>
      <c r="JB787" s="9"/>
      <c r="JC787" s="9"/>
      <c r="JD787" s="9"/>
      <c r="JE787" s="9"/>
      <c r="JF787" s="9"/>
      <c r="JG787" s="9"/>
      <c r="JH787" s="9"/>
      <c r="JI787" s="9"/>
      <c r="JJ787" s="9"/>
      <c r="JK787" s="9"/>
      <c r="JL787" s="9"/>
      <c r="JM787" s="9"/>
      <c r="JN787" s="9"/>
      <c r="JO787" s="9"/>
      <c r="JP787" s="9"/>
      <c r="JQ787" s="9"/>
      <c r="JR787" s="9"/>
      <c r="JS787" s="9"/>
      <c r="JT787" s="9"/>
      <c r="JU787" s="9"/>
      <c r="JV787" s="9"/>
      <c r="JW787" s="9"/>
      <c r="JX787" s="9"/>
      <c r="JY787" s="9"/>
      <c r="JZ787" s="9"/>
      <c r="KA787" s="9"/>
      <c r="KB787" s="9"/>
      <c r="KC787" s="9"/>
      <c r="KD787" s="9"/>
      <c r="KE787" s="9"/>
      <c r="KF787" s="9"/>
      <c r="KG787" s="9"/>
      <c r="KH787" s="9"/>
      <c r="KI787" s="9"/>
      <c r="KJ787" s="9"/>
      <c r="KK787" s="9"/>
      <c r="KL787" s="9"/>
      <c r="KM787" s="9"/>
      <c r="KN787" s="9"/>
      <c r="KO787" s="9"/>
      <c r="KP787" s="9"/>
      <c r="KQ787" s="9"/>
      <c r="KR787" s="9"/>
      <c r="KS787" s="9"/>
      <c r="KT787" s="9"/>
      <c r="KU787" s="9"/>
      <c r="KV787" s="9"/>
      <c r="KW787" s="9"/>
      <c r="KX787" s="9"/>
      <c r="KY787" s="9"/>
      <c r="KZ787" s="9"/>
      <c r="LA787" s="9"/>
      <c r="LB787" s="9"/>
      <c r="LC787" s="9"/>
      <c r="LD787" s="9"/>
      <c r="LE787" s="9"/>
      <c r="LF787" s="9"/>
      <c r="LG787" s="9"/>
      <c r="LH787" s="9"/>
      <c r="LI787" s="9"/>
      <c r="LJ787" s="9"/>
      <c r="LK787" s="9"/>
      <c r="LL787" s="9"/>
      <c r="LM787" s="9"/>
      <c r="LN787" s="9"/>
      <c r="LO787" s="9"/>
      <c r="LP787" s="9"/>
      <c r="LQ787" s="9"/>
      <c r="LR787" s="9"/>
      <c r="LS787" s="9"/>
      <c r="LT787" s="9"/>
      <c r="LU787" s="9"/>
      <c r="LV787" s="9"/>
      <c r="LW787" s="9"/>
      <c r="LX787" s="9"/>
      <c r="LY787" s="9"/>
      <c r="LZ787" s="9"/>
      <c r="MA787" s="9"/>
      <c r="MB787" s="9"/>
      <c r="MC787" s="9"/>
      <c r="MD787" s="9"/>
      <c r="ME787" s="9"/>
      <c r="MF787" s="9"/>
      <c r="MG787" s="9"/>
      <c r="MH787" s="9"/>
      <c r="MI787" s="9"/>
      <c r="MJ787" s="9"/>
      <c r="MK787" s="9"/>
      <c r="ML787" s="9"/>
      <c r="MM787" s="9"/>
      <c r="MN787" s="9"/>
      <c r="MO787" s="9"/>
      <c r="MP787" s="9"/>
      <c r="MQ787" s="9"/>
      <c r="MR787" s="9"/>
      <c r="MS787" s="9"/>
      <c r="MT787" s="9"/>
      <c r="MU787" s="9"/>
      <c r="MV787" s="9"/>
      <c r="MW787" s="9"/>
      <c r="MX787" s="9"/>
      <c r="MY787" s="9"/>
      <c r="MZ787" s="9"/>
      <c r="NA787" s="9"/>
      <c r="NB787" s="9"/>
      <c r="NC787" s="9"/>
      <c r="ND787" s="9"/>
      <c r="NE787" s="9"/>
      <c r="NF787" s="9"/>
      <c r="NG787" s="9"/>
      <c r="NH787" s="9"/>
      <c r="NI787" s="9"/>
      <c r="NJ787" s="9"/>
      <c r="NK787" s="9"/>
      <c r="NL787" s="9"/>
      <c r="NM787" s="9"/>
      <c r="NN787" s="9"/>
      <c r="NO787" s="9"/>
      <c r="NP787" s="9"/>
      <c r="NQ787" s="9"/>
      <c r="NR787" s="9"/>
      <c r="NS787" s="9"/>
      <c r="NT787" s="9"/>
      <c r="NU787" s="9"/>
      <c r="NV787" s="9"/>
      <c r="NW787" s="9"/>
      <c r="NX787" s="9"/>
      <c r="NY787" s="9"/>
      <c r="NZ787" s="9"/>
      <c r="OA787" s="9"/>
      <c r="OB787" s="9"/>
      <c r="OC787" s="9"/>
      <c r="OD787" s="9"/>
      <c r="OE787" s="9"/>
      <c r="OF787" s="9"/>
      <c r="OG787" s="9"/>
      <c r="OH787" s="9"/>
      <c r="OI787" s="9"/>
      <c r="OJ787" s="9"/>
      <c r="OK787" s="9"/>
      <c r="OL787" s="9"/>
      <c r="OM787" s="9"/>
      <c r="ON787" s="9"/>
      <c r="OO787" s="9"/>
      <c r="OP787" s="9"/>
      <c r="OQ787" s="9"/>
      <c r="OR787" s="9"/>
      <c r="OS787" s="9"/>
      <c r="OT787" s="9"/>
      <c r="OU787" s="9"/>
      <c r="OV787" s="9"/>
      <c r="OW787" s="9"/>
      <c r="OX787" s="9"/>
      <c r="OY787" s="9"/>
      <c r="OZ787" s="9"/>
      <c r="PA787" s="9"/>
      <c r="PB787" s="9"/>
      <c r="PC787" s="9"/>
      <c r="PD787" s="9"/>
      <c r="PE787" s="9"/>
      <c r="PF787" s="9"/>
      <c r="PG787" s="9"/>
      <c r="PH787" s="9"/>
      <c r="PI787" s="9"/>
      <c r="PJ787" s="9"/>
      <c r="PK787" s="9"/>
      <c r="PL787" s="9"/>
      <c r="PM787" s="9"/>
      <c r="PN787" s="9"/>
      <c r="PO787" s="9"/>
      <c r="PP787" s="9"/>
      <c r="PQ787" s="9"/>
      <c r="PR787" s="9"/>
      <c r="PS787" s="9"/>
      <c r="PT787" s="9"/>
      <c r="PU787" s="9"/>
      <c r="PV787" s="9"/>
      <c r="PW787" s="9"/>
      <c r="PX787" s="9"/>
      <c r="PY787" s="9"/>
      <c r="PZ787" s="9"/>
      <c r="QA787" s="9"/>
      <c r="QB787" s="9"/>
      <c r="QC787" s="9"/>
      <c r="QD787" s="9"/>
      <c r="QE787" s="9"/>
      <c r="QF787" s="9"/>
      <c r="QG787" s="9"/>
      <c r="QH787" s="9"/>
      <c r="QI787" s="9"/>
      <c r="QJ787" s="9"/>
      <c r="QK787" s="9"/>
      <c r="QL787" s="9"/>
      <c r="QM787" s="9"/>
      <c r="QN787" s="9"/>
      <c r="QO787" s="9"/>
      <c r="QP787" s="9"/>
      <c r="QQ787" s="9"/>
      <c r="QR787" s="9"/>
      <c r="QS787" s="9"/>
      <c r="QT787" s="9"/>
      <c r="QU787" s="9"/>
      <c r="QV787" s="9"/>
      <c r="QW787" s="9"/>
      <c r="QX787" s="9"/>
      <c r="QY787" s="9"/>
      <c r="QZ787" s="9"/>
      <c r="RA787" s="9"/>
      <c r="RB787" s="9"/>
      <c r="RC787" s="9"/>
      <c r="RD787" s="9"/>
      <c r="RE787" s="9"/>
      <c r="RF787" s="9"/>
      <c r="RG787" s="9"/>
      <c r="RH787" s="9"/>
      <c r="RI787" s="9"/>
      <c r="RJ787" s="9"/>
      <c r="RK787" s="9"/>
      <c r="RL787" s="9"/>
      <c r="RM787" s="9"/>
      <c r="RN787" s="9"/>
      <c r="RO787" s="9"/>
      <c r="RP787" s="9"/>
      <c r="RQ787" s="9"/>
      <c r="RR787" s="9"/>
      <c r="RS787" s="9"/>
      <c r="RT787" s="9"/>
      <c r="RU787" s="9"/>
      <c r="RV787" s="9"/>
      <c r="RW787" s="9"/>
      <c r="RX787" s="9"/>
      <c r="RY787" s="9"/>
      <c r="RZ787" s="9"/>
      <c r="SA787" s="9"/>
      <c r="SB787" s="9"/>
      <c r="SC787" s="9"/>
      <c r="SD787" s="9"/>
      <c r="SE787" s="9"/>
      <c r="SF787" s="9"/>
      <c r="SG787" s="9"/>
      <c r="SH787" s="9"/>
      <c r="SI787" s="9"/>
      <c r="SJ787" s="9"/>
      <c r="SK787" s="9"/>
      <c r="SL787" s="9"/>
      <c r="SM787" s="9"/>
      <c r="SN787" s="9"/>
      <c r="SO787" s="9"/>
      <c r="SP787" s="9"/>
      <c r="SQ787" s="9"/>
      <c r="SR787" s="9"/>
      <c r="SS787" s="9"/>
      <c r="ST787" s="9"/>
      <c r="SU787" s="9"/>
      <c r="SV787" s="9"/>
      <c r="SW787" s="9"/>
      <c r="SX787" s="9"/>
      <c r="SY787" s="9"/>
      <c r="SZ787" s="9"/>
      <c r="TA787" s="9"/>
      <c r="TB787" s="9"/>
      <c r="TC787" s="9"/>
      <c r="TD787" s="9"/>
      <c r="TE787" s="9"/>
      <c r="TF787" s="9"/>
      <c r="TG787" s="9"/>
      <c r="TH787" s="9"/>
      <c r="TI787" s="9"/>
      <c r="TJ787" s="9"/>
      <c r="TK787" s="9"/>
      <c r="TL787" s="9"/>
      <c r="TM787" s="9"/>
      <c r="TN787" s="9"/>
      <c r="TO787" s="9"/>
      <c r="TP787" s="9"/>
      <c r="TQ787" s="9"/>
      <c r="TR787" s="9"/>
      <c r="TS787" s="9"/>
      <c r="TT787" s="9"/>
      <c r="TU787" s="9"/>
      <c r="TV787" s="9"/>
      <c r="TW787" s="9"/>
      <c r="TX787" s="9"/>
      <c r="TY787" s="9"/>
      <c r="TZ787" s="9"/>
      <c r="UA787" s="9"/>
      <c r="UB787" s="9"/>
      <c r="UC787" s="9"/>
      <c r="UD787" s="9"/>
      <c r="UE787" s="9"/>
      <c r="UF787" s="9"/>
      <c r="UG787" s="9"/>
      <c r="UH787" s="9"/>
      <c r="UI787" s="9"/>
      <c r="UJ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  <c r="GA788" s="9"/>
      <c r="GB788" s="9"/>
      <c r="GC788" s="9"/>
      <c r="GD788" s="9"/>
      <c r="GE788" s="9"/>
      <c r="GF788" s="9"/>
      <c r="GG788" s="9"/>
      <c r="GH788" s="9"/>
      <c r="GI788" s="9"/>
      <c r="GJ788" s="9"/>
      <c r="GK788" s="9"/>
      <c r="GL788" s="9"/>
      <c r="GM788" s="9"/>
      <c r="GN788" s="9"/>
      <c r="GO788" s="9"/>
      <c r="GP788" s="9"/>
      <c r="GQ788" s="9"/>
      <c r="GR788" s="9"/>
      <c r="GS788" s="9"/>
      <c r="GT788" s="9"/>
      <c r="GU788" s="9"/>
      <c r="GV788" s="9"/>
      <c r="GW788" s="9"/>
      <c r="GX788" s="9"/>
      <c r="GY788" s="9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  <c r="HO788" s="9"/>
      <c r="HP788" s="9"/>
      <c r="HQ788" s="9"/>
      <c r="HR788" s="9"/>
      <c r="HS788" s="9"/>
      <c r="HT788" s="9"/>
      <c r="HU788" s="9"/>
      <c r="HV788" s="9"/>
      <c r="HW788" s="9"/>
      <c r="HX788" s="9"/>
      <c r="HY788" s="9"/>
      <c r="HZ788" s="9"/>
      <c r="IA788" s="9"/>
      <c r="IB788" s="9"/>
      <c r="IC788" s="9"/>
      <c r="ID788" s="9"/>
      <c r="IE788" s="9"/>
      <c r="IF788" s="9"/>
      <c r="IG788" s="9"/>
      <c r="IH788" s="9"/>
      <c r="II788" s="9"/>
      <c r="IJ788" s="9"/>
      <c r="IK788" s="9"/>
      <c r="IL788" s="9"/>
      <c r="IM788" s="9"/>
      <c r="IN788" s="9"/>
      <c r="IO788" s="9"/>
      <c r="IP788" s="9"/>
      <c r="IQ788" s="9"/>
      <c r="IR788" s="9"/>
      <c r="IS788" s="9"/>
      <c r="IT788" s="9"/>
      <c r="IU788" s="9"/>
      <c r="IV788" s="9"/>
      <c r="IW788" s="9"/>
      <c r="IX788" s="9"/>
      <c r="IY788" s="9"/>
      <c r="IZ788" s="9"/>
      <c r="JA788" s="9"/>
      <c r="JB788" s="9"/>
      <c r="JC788" s="9"/>
      <c r="JD788" s="9"/>
      <c r="JE788" s="9"/>
      <c r="JF788" s="9"/>
      <c r="JG788" s="9"/>
      <c r="JH788" s="9"/>
      <c r="JI788" s="9"/>
      <c r="JJ788" s="9"/>
      <c r="JK788" s="9"/>
      <c r="JL788" s="9"/>
      <c r="JM788" s="9"/>
      <c r="JN788" s="9"/>
      <c r="JO788" s="9"/>
      <c r="JP788" s="9"/>
      <c r="JQ788" s="9"/>
      <c r="JR788" s="9"/>
      <c r="JS788" s="9"/>
      <c r="JT788" s="9"/>
      <c r="JU788" s="9"/>
      <c r="JV788" s="9"/>
      <c r="JW788" s="9"/>
      <c r="JX788" s="9"/>
      <c r="JY788" s="9"/>
      <c r="JZ788" s="9"/>
      <c r="KA788" s="9"/>
      <c r="KB788" s="9"/>
      <c r="KC788" s="9"/>
      <c r="KD788" s="9"/>
      <c r="KE788" s="9"/>
      <c r="KF788" s="9"/>
      <c r="KG788" s="9"/>
      <c r="KH788" s="9"/>
      <c r="KI788" s="9"/>
      <c r="KJ788" s="9"/>
      <c r="KK788" s="9"/>
      <c r="KL788" s="9"/>
      <c r="KM788" s="9"/>
      <c r="KN788" s="9"/>
      <c r="KO788" s="9"/>
      <c r="KP788" s="9"/>
      <c r="KQ788" s="9"/>
      <c r="KR788" s="9"/>
      <c r="KS788" s="9"/>
      <c r="KT788" s="9"/>
      <c r="KU788" s="9"/>
      <c r="KV788" s="9"/>
      <c r="KW788" s="9"/>
      <c r="KX788" s="9"/>
      <c r="KY788" s="9"/>
      <c r="KZ788" s="9"/>
      <c r="LA788" s="9"/>
      <c r="LB788" s="9"/>
      <c r="LC788" s="9"/>
      <c r="LD788" s="9"/>
      <c r="LE788" s="9"/>
      <c r="LF788" s="9"/>
      <c r="LG788" s="9"/>
      <c r="LH788" s="9"/>
      <c r="LI788" s="9"/>
      <c r="LJ788" s="9"/>
      <c r="LK788" s="9"/>
      <c r="LL788" s="9"/>
      <c r="LM788" s="9"/>
      <c r="LN788" s="9"/>
      <c r="LO788" s="9"/>
      <c r="LP788" s="9"/>
      <c r="LQ788" s="9"/>
      <c r="LR788" s="9"/>
      <c r="LS788" s="9"/>
      <c r="LT788" s="9"/>
      <c r="LU788" s="9"/>
      <c r="LV788" s="9"/>
      <c r="LW788" s="9"/>
      <c r="LX788" s="9"/>
      <c r="LY788" s="9"/>
      <c r="LZ788" s="9"/>
      <c r="MA788" s="9"/>
      <c r="MB788" s="9"/>
      <c r="MC788" s="9"/>
      <c r="MD788" s="9"/>
      <c r="ME788" s="9"/>
      <c r="MF788" s="9"/>
      <c r="MG788" s="9"/>
      <c r="MH788" s="9"/>
      <c r="MI788" s="9"/>
      <c r="MJ788" s="9"/>
      <c r="MK788" s="9"/>
      <c r="ML788" s="9"/>
      <c r="MM788" s="9"/>
      <c r="MN788" s="9"/>
      <c r="MO788" s="9"/>
      <c r="MP788" s="9"/>
      <c r="MQ788" s="9"/>
      <c r="MR788" s="9"/>
      <c r="MS788" s="9"/>
      <c r="MT788" s="9"/>
      <c r="MU788" s="9"/>
      <c r="MV788" s="9"/>
      <c r="MW788" s="9"/>
      <c r="MX788" s="9"/>
      <c r="MY788" s="9"/>
      <c r="MZ788" s="9"/>
      <c r="NA788" s="9"/>
      <c r="NB788" s="9"/>
      <c r="NC788" s="9"/>
      <c r="ND788" s="9"/>
      <c r="NE788" s="9"/>
      <c r="NF788" s="9"/>
      <c r="NG788" s="9"/>
      <c r="NH788" s="9"/>
      <c r="NI788" s="9"/>
      <c r="NJ788" s="9"/>
      <c r="NK788" s="9"/>
      <c r="NL788" s="9"/>
      <c r="NM788" s="9"/>
      <c r="NN788" s="9"/>
      <c r="NO788" s="9"/>
      <c r="NP788" s="9"/>
      <c r="NQ788" s="9"/>
      <c r="NR788" s="9"/>
      <c r="NS788" s="9"/>
      <c r="NT788" s="9"/>
      <c r="NU788" s="9"/>
      <c r="NV788" s="9"/>
      <c r="NW788" s="9"/>
      <c r="NX788" s="9"/>
      <c r="NY788" s="9"/>
      <c r="NZ788" s="9"/>
      <c r="OA788" s="9"/>
      <c r="OB788" s="9"/>
      <c r="OC788" s="9"/>
      <c r="OD788" s="9"/>
      <c r="OE788" s="9"/>
      <c r="OF788" s="9"/>
      <c r="OG788" s="9"/>
      <c r="OH788" s="9"/>
      <c r="OI788" s="9"/>
      <c r="OJ788" s="9"/>
      <c r="OK788" s="9"/>
      <c r="OL788" s="9"/>
      <c r="OM788" s="9"/>
      <c r="ON788" s="9"/>
      <c r="OO788" s="9"/>
      <c r="OP788" s="9"/>
      <c r="OQ788" s="9"/>
      <c r="OR788" s="9"/>
      <c r="OS788" s="9"/>
      <c r="OT788" s="9"/>
      <c r="OU788" s="9"/>
      <c r="OV788" s="9"/>
      <c r="OW788" s="9"/>
      <c r="OX788" s="9"/>
      <c r="OY788" s="9"/>
      <c r="OZ788" s="9"/>
      <c r="PA788" s="9"/>
      <c r="PB788" s="9"/>
      <c r="PC788" s="9"/>
      <c r="PD788" s="9"/>
      <c r="PE788" s="9"/>
      <c r="PF788" s="9"/>
      <c r="PG788" s="9"/>
      <c r="PH788" s="9"/>
      <c r="PI788" s="9"/>
      <c r="PJ788" s="9"/>
      <c r="PK788" s="9"/>
      <c r="PL788" s="9"/>
      <c r="PM788" s="9"/>
      <c r="PN788" s="9"/>
      <c r="PO788" s="9"/>
      <c r="PP788" s="9"/>
      <c r="PQ788" s="9"/>
      <c r="PR788" s="9"/>
      <c r="PS788" s="9"/>
      <c r="PT788" s="9"/>
      <c r="PU788" s="9"/>
      <c r="PV788" s="9"/>
      <c r="PW788" s="9"/>
      <c r="PX788" s="9"/>
      <c r="PY788" s="9"/>
      <c r="PZ788" s="9"/>
      <c r="QA788" s="9"/>
      <c r="QB788" s="9"/>
      <c r="QC788" s="9"/>
      <c r="QD788" s="9"/>
      <c r="QE788" s="9"/>
      <c r="QF788" s="9"/>
      <c r="QG788" s="9"/>
      <c r="QH788" s="9"/>
      <c r="QI788" s="9"/>
      <c r="QJ788" s="9"/>
      <c r="QK788" s="9"/>
      <c r="QL788" s="9"/>
      <c r="QM788" s="9"/>
      <c r="QN788" s="9"/>
      <c r="QO788" s="9"/>
      <c r="QP788" s="9"/>
      <c r="QQ788" s="9"/>
      <c r="QR788" s="9"/>
      <c r="QS788" s="9"/>
      <c r="QT788" s="9"/>
      <c r="QU788" s="9"/>
      <c r="QV788" s="9"/>
      <c r="QW788" s="9"/>
      <c r="QX788" s="9"/>
      <c r="QY788" s="9"/>
      <c r="QZ788" s="9"/>
      <c r="RA788" s="9"/>
      <c r="RB788" s="9"/>
      <c r="RC788" s="9"/>
      <c r="RD788" s="9"/>
      <c r="RE788" s="9"/>
      <c r="RF788" s="9"/>
      <c r="RG788" s="9"/>
      <c r="RH788" s="9"/>
      <c r="RI788" s="9"/>
      <c r="RJ788" s="9"/>
      <c r="RK788" s="9"/>
      <c r="RL788" s="9"/>
      <c r="RM788" s="9"/>
      <c r="RN788" s="9"/>
      <c r="RO788" s="9"/>
      <c r="RP788" s="9"/>
      <c r="RQ788" s="9"/>
      <c r="RR788" s="9"/>
      <c r="RS788" s="9"/>
      <c r="RT788" s="9"/>
      <c r="RU788" s="9"/>
      <c r="RV788" s="9"/>
      <c r="RW788" s="9"/>
      <c r="RX788" s="9"/>
      <c r="RY788" s="9"/>
      <c r="RZ788" s="9"/>
      <c r="SA788" s="9"/>
      <c r="SB788" s="9"/>
      <c r="SC788" s="9"/>
      <c r="SD788" s="9"/>
      <c r="SE788" s="9"/>
      <c r="SF788" s="9"/>
      <c r="SG788" s="9"/>
      <c r="SH788" s="9"/>
      <c r="SI788" s="9"/>
      <c r="SJ788" s="9"/>
      <c r="SK788" s="9"/>
      <c r="SL788" s="9"/>
      <c r="SM788" s="9"/>
      <c r="SN788" s="9"/>
      <c r="SO788" s="9"/>
      <c r="SP788" s="9"/>
      <c r="SQ788" s="9"/>
      <c r="SR788" s="9"/>
      <c r="SS788" s="9"/>
      <c r="ST788" s="9"/>
      <c r="SU788" s="9"/>
      <c r="SV788" s="9"/>
      <c r="SW788" s="9"/>
      <c r="SX788" s="9"/>
      <c r="SY788" s="9"/>
      <c r="SZ788" s="9"/>
      <c r="TA788" s="9"/>
      <c r="TB788" s="9"/>
      <c r="TC788" s="9"/>
      <c r="TD788" s="9"/>
      <c r="TE788" s="9"/>
      <c r="TF788" s="9"/>
      <c r="TG788" s="9"/>
      <c r="TH788" s="9"/>
      <c r="TI788" s="9"/>
      <c r="TJ788" s="9"/>
      <c r="TK788" s="9"/>
      <c r="TL788" s="9"/>
      <c r="TM788" s="9"/>
      <c r="TN788" s="9"/>
      <c r="TO788" s="9"/>
      <c r="TP788" s="9"/>
      <c r="TQ788" s="9"/>
      <c r="TR788" s="9"/>
      <c r="TS788" s="9"/>
      <c r="TT788" s="9"/>
      <c r="TU788" s="9"/>
      <c r="TV788" s="9"/>
      <c r="TW788" s="9"/>
      <c r="TX788" s="9"/>
      <c r="TY788" s="9"/>
      <c r="TZ788" s="9"/>
      <c r="UA788" s="9"/>
      <c r="UB788" s="9"/>
      <c r="UC788" s="9"/>
      <c r="UD788" s="9"/>
      <c r="UE788" s="9"/>
      <c r="UF788" s="9"/>
      <c r="UG788" s="9"/>
      <c r="UH788" s="9"/>
      <c r="UI788" s="9"/>
      <c r="UJ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  <c r="HZ789" s="9"/>
      <c r="IA789" s="9"/>
      <c r="IB789" s="9"/>
      <c r="IC789" s="9"/>
      <c r="ID789" s="9"/>
      <c r="IE789" s="9"/>
      <c r="IF789" s="9"/>
      <c r="IG789" s="9"/>
      <c r="IH789" s="9"/>
      <c r="II789" s="9"/>
      <c r="IJ789" s="9"/>
      <c r="IK789" s="9"/>
      <c r="IL789" s="9"/>
      <c r="IM789" s="9"/>
      <c r="IN789" s="9"/>
      <c r="IO789" s="9"/>
      <c r="IP789" s="9"/>
      <c r="IQ789" s="9"/>
      <c r="IR789" s="9"/>
      <c r="IS789" s="9"/>
      <c r="IT789" s="9"/>
      <c r="IU789" s="9"/>
      <c r="IV789" s="9"/>
      <c r="IW789" s="9"/>
      <c r="IX789" s="9"/>
      <c r="IY789" s="9"/>
      <c r="IZ789" s="9"/>
      <c r="JA789" s="9"/>
      <c r="JB789" s="9"/>
      <c r="JC789" s="9"/>
      <c r="JD789" s="9"/>
      <c r="JE789" s="9"/>
      <c r="JF789" s="9"/>
      <c r="JG789" s="9"/>
      <c r="JH789" s="9"/>
      <c r="JI789" s="9"/>
      <c r="JJ789" s="9"/>
      <c r="JK789" s="9"/>
      <c r="JL789" s="9"/>
      <c r="JM789" s="9"/>
      <c r="JN789" s="9"/>
      <c r="JO789" s="9"/>
      <c r="JP789" s="9"/>
      <c r="JQ789" s="9"/>
      <c r="JR789" s="9"/>
      <c r="JS789" s="9"/>
      <c r="JT789" s="9"/>
      <c r="JU789" s="9"/>
      <c r="JV789" s="9"/>
      <c r="JW789" s="9"/>
      <c r="JX789" s="9"/>
      <c r="JY789" s="9"/>
      <c r="JZ789" s="9"/>
      <c r="KA789" s="9"/>
      <c r="KB789" s="9"/>
      <c r="KC789" s="9"/>
      <c r="KD789" s="9"/>
      <c r="KE789" s="9"/>
      <c r="KF789" s="9"/>
      <c r="KG789" s="9"/>
      <c r="KH789" s="9"/>
      <c r="KI789" s="9"/>
      <c r="KJ789" s="9"/>
      <c r="KK789" s="9"/>
      <c r="KL789" s="9"/>
      <c r="KM789" s="9"/>
      <c r="KN789" s="9"/>
      <c r="KO789" s="9"/>
      <c r="KP789" s="9"/>
      <c r="KQ789" s="9"/>
      <c r="KR789" s="9"/>
      <c r="KS789" s="9"/>
      <c r="KT789" s="9"/>
      <c r="KU789" s="9"/>
      <c r="KV789" s="9"/>
      <c r="KW789" s="9"/>
      <c r="KX789" s="9"/>
      <c r="KY789" s="9"/>
      <c r="KZ789" s="9"/>
      <c r="LA789" s="9"/>
      <c r="LB789" s="9"/>
      <c r="LC789" s="9"/>
      <c r="LD789" s="9"/>
      <c r="LE789" s="9"/>
      <c r="LF789" s="9"/>
      <c r="LG789" s="9"/>
      <c r="LH789" s="9"/>
      <c r="LI789" s="9"/>
      <c r="LJ789" s="9"/>
      <c r="LK789" s="9"/>
      <c r="LL789" s="9"/>
      <c r="LM789" s="9"/>
      <c r="LN789" s="9"/>
      <c r="LO789" s="9"/>
      <c r="LP789" s="9"/>
      <c r="LQ789" s="9"/>
      <c r="LR789" s="9"/>
      <c r="LS789" s="9"/>
      <c r="LT789" s="9"/>
      <c r="LU789" s="9"/>
      <c r="LV789" s="9"/>
      <c r="LW789" s="9"/>
      <c r="LX789" s="9"/>
      <c r="LY789" s="9"/>
      <c r="LZ789" s="9"/>
      <c r="MA789" s="9"/>
      <c r="MB789" s="9"/>
      <c r="MC789" s="9"/>
      <c r="MD789" s="9"/>
      <c r="ME789" s="9"/>
      <c r="MF789" s="9"/>
      <c r="MG789" s="9"/>
      <c r="MH789" s="9"/>
      <c r="MI789" s="9"/>
      <c r="MJ789" s="9"/>
      <c r="MK789" s="9"/>
      <c r="ML789" s="9"/>
      <c r="MM789" s="9"/>
      <c r="MN789" s="9"/>
      <c r="MO789" s="9"/>
      <c r="MP789" s="9"/>
      <c r="MQ789" s="9"/>
      <c r="MR789" s="9"/>
      <c r="MS789" s="9"/>
      <c r="MT789" s="9"/>
      <c r="MU789" s="9"/>
      <c r="MV789" s="9"/>
      <c r="MW789" s="9"/>
      <c r="MX789" s="9"/>
      <c r="MY789" s="9"/>
      <c r="MZ789" s="9"/>
      <c r="NA789" s="9"/>
      <c r="NB789" s="9"/>
      <c r="NC789" s="9"/>
      <c r="ND789" s="9"/>
      <c r="NE789" s="9"/>
      <c r="NF789" s="9"/>
      <c r="NG789" s="9"/>
      <c r="NH789" s="9"/>
      <c r="NI789" s="9"/>
      <c r="NJ789" s="9"/>
      <c r="NK789" s="9"/>
      <c r="NL789" s="9"/>
      <c r="NM789" s="9"/>
      <c r="NN789" s="9"/>
      <c r="NO789" s="9"/>
      <c r="NP789" s="9"/>
      <c r="NQ789" s="9"/>
      <c r="NR789" s="9"/>
      <c r="NS789" s="9"/>
      <c r="NT789" s="9"/>
      <c r="NU789" s="9"/>
      <c r="NV789" s="9"/>
      <c r="NW789" s="9"/>
      <c r="NX789" s="9"/>
      <c r="NY789" s="9"/>
      <c r="NZ789" s="9"/>
      <c r="OA789" s="9"/>
      <c r="OB789" s="9"/>
      <c r="OC789" s="9"/>
      <c r="OD789" s="9"/>
      <c r="OE789" s="9"/>
      <c r="OF789" s="9"/>
      <c r="OG789" s="9"/>
      <c r="OH789" s="9"/>
      <c r="OI789" s="9"/>
      <c r="OJ789" s="9"/>
      <c r="OK789" s="9"/>
      <c r="OL789" s="9"/>
      <c r="OM789" s="9"/>
      <c r="ON789" s="9"/>
      <c r="OO789" s="9"/>
      <c r="OP789" s="9"/>
      <c r="OQ789" s="9"/>
      <c r="OR789" s="9"/>
      <c r="OS789" s="9"/>
      <c r="OT789" s="9"/>
      <c r="OU789" s="9"/>
      <c r="OV789" s="9"/>
      <c r="OW789" s="9"/>
      <c r="OX789" s="9"/>
      <c r="OY789" s="9"/>
      <c r="OZ789" s="9"/>
      <c r="PA789" s="9"/>
      <c r="PB789" s="9"/>
      <c r="PC789" s="9"/>
      <c r="PD789" s="9"/>
      <c r="PE789" s="9"/>
      <c r="PF789" s="9"/>
      <c r="PG789" s="9"/>
      <c r="PH789" s="9"/>
      <c r="PI789" s="9"/>
      <c r="PJ789" s="9"/>
      <c r="PK789" s="9"/>
      <c r="PL789" s="9"/>
      <c r="PM789" s="9"/>
      <c r="PN789" s="9"/>
      <c r="PO789" s="9"/>
      <c r="PP789" s="9"/>
      <c r="PQ789" s="9"/>
      <c r="PR789" s="9"/>
      <c r="PS789" s="9"/>
      <c r="PT789" s="9"/>
      <c r="PU789" s="9"/>
      <c r="PV789" s="9"/>
      <c r="PW789" s="9"/>
      <c r="PX789" s="9"/>
      <c r="PY789" s="9"/>
      <c r="PZ789" s="9"/>
      <c r="QA789" s="9"/>
      <c r="QB789" s="9"/>
      <c r="QC789" s="9"/>
      <c r="QD789" s="9"/>
      <c r="QE789" s="9"/>
      <c r="QF789" s="9"/>
      <c r="QG789" s="9"/>
      <c r="QH789" s="9"/>
      <c r="QI789" s="9"/>
      <c r="QJ789" s="9"/>
      <c r="QK789" s="9"/>
      <c r="QL789" s="9"/>
      <c r="QM789" s="9"/>
      <c r="QN789" s="9"/>
      <c r="QO789" s="9"/>
      <c r="QP789" s="9"/>
      <c r="QQ789" s="9"/>
      <c r="QR789" s="9"/>
      <c r="QS789" s="9"/>
      <c r="QT789" s="9"/>
      <c r="QU789" s="9"/>
      <c r="QV789" s="9"/>
      <c r="QW789" s="9"/>
      <c r="QX789" s="9"/>
      <c r="QY789" s="9"/>
      <c r="QZ789" s="9"/>
      <c r="RA789" s="9"/>
      <c r="RB789" s="9"/>
      <c r="RC789" s="9"/>
      <c r="RD789" s="9"/>
      <c r="RE789" s="9"/>
      <c r="RF789" s="9"/>
      <c r="RG789" s="9"/>
      <c r="RH789" s="9"/>
      <c r="RI789" s="9"/>
      <c r="RJ789" s="9"/>
      <c r="RK789" s="9"/>
      <c r="RL789" s="9"/>
      <c r="RM789" s="9"/>
      <c r="RN789" s="9"/>
      <c r="RO789" s="9"/>
      <c r="RP789" s="9"/>
      <c r="RQ789" s="9"/>
      <c r="RR789" s="9"/>
      <c r="RS789" s="9"/>
      <c r="RT789" s="9"/>
      <c r="RU789" s="9"/>
      <c r="RV789" s="9"/>
      <c r="RW789" s="9"/>
      <c r="RX789" s="9"/>
      <c r="RY789" s="9"/>
      <c r="RZ789" s="9"/>
      <c r="SA789" s="9"/>
      <c r="SB789" s="9"/>
      <c r="SC789" s="9"/>
      <c r="SD789" s="9"/>
      <c r="SE789" s="9"/>
      <c r="SF789" s="9"/>
      <c r="SG789" s="9"/>
      <c r="SH789" s="9"/>
      <c r="SI789" s="9"/>
      <c r="SJ789" s="9"/>
      <c r="SK789" s="9"/>
      <c r="SL789" s="9"/>
      <c r="SM789" s="9"/>
      <c r="SN789" s="9"/>
      <c r="SO789" s="9"/>
      <c r="SP789" s="9"/>
      <c r="SQ789" s="9"/>
      <c r="SR789" s="9"/>
      <c r="SS789" s="9"/>
      <c r="ST789" s="9"/>
      <c r="SU789" s="9"/>
      <c r="SV789" s="9"/>
      <c r="SW789" s="9"/>
      <c r="SX789" s="9"/>
      <c r="SY789" s="9"/>
      <c r="SZ789" s="9"/>
      <c r="TA789" s="9"/>
      <c r="TB789" s="9"/>
      <c r="TC789" s="9"/>
      <c r="TD789" s="9"/>
      <c r="TE789" s="9"/>
      <c r="TF789" s="9"/>
      <c r="TG789" s="9"/>
      <c r="TH789" s="9"/>
      <c r="TI789" s="9"/>
      <c r="TJ789" s="9"/>
      <c r="TK789" s="9"/>
      <c r="TL789" s="9"/>
      <c r="TM789" s="9"/>
      <c r="TN789" s="9"/>
      <c r="TO789" s="9"/>
      <c r="TP789" s="9"/>
      <c r="TQ789" s="9"/>
      <c r="TR789" s="9"/>
      <c r="TS789" s="9"/>
      <c r="TT789" s="9"/>
      <c r="TU789" s="9"/>
      <c r="TV789" s="9"/>
      <c r="TW789" s="9"/>
      <c r="TX789" s="9"/>
      <c r="TY789" s="9"/>
      <c r="TZ789" s="9"/>
      <c r="UA789" s="9"/>
      <c r="UB789" s="9"/>
      <c r="UC789" s="9"/>
      <c r="UD789" s="9"/>
      <c r="UE789" s="9"/>
      <c r="UF789" s="9"/>
      <c r="UG789" s="9"/>
      <c r="UH789" s="9"/>
      <c r="UI789" s="9"/>
      <c r="UJ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9"/>
      <c r="GV790" s="9"/>
      <c r="GW790" s="9"/>
      <c r="GX790" s="9"/>
      <c r="GY790" s="9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  <c r="HO790" s="9"/>
      <c r="HP790" s="9"/>
      <c r="HQ790" s="9"/>
      <c r="HR790" s="9"/>
      <c r="HS790" s="9"/>
      <c r="HT790" s="9"/>
      <c r="HU790" s="9"/>
      <c r="HV790" s="9"/>
      <c r="HW790" s="9"/>
      <c r="HX790" s="9"/>
      <c r="HY790" s="9"/>
      <c r="HZ790" s="9"/>
      <c r="IA790" s="9"/>
      <c r="IB790" s="9"/>
      <c r="IC790" s="9"/>
      <c r="ID790" s="9"/>
      <c r="IE790" s="9"/>
      <c r="IF790" s="9"/>
      <c r="IG790" s="9"/>
      <c r="IH790" s="9"/>
      <c r="II790" s="9"/>
      <c r="IJ790" s="9"/>
      <c r="IK790" s="9"/>
      <c r="IL790" s="9"/>
      <c r="IM790" s="9"/>
      <c r="IN790" s="9"/>
      <c r="IO790" s="9"/>
      <c r="IP790" s="9"/>
      <c r="IQ790" s="9"/>
      <c r="IR790" s="9"/>
      <c r="IS790" s="9"/>
      <c r="IT790" s="9"/>
      <c r="IU790" s="9"/>
      <c r="IV790" s="9"/>
      <c r="IW790" s="9"/>
      <c r="IX790" s="9"/>
      <c r="IY790" s="9"/>
      <c r="IZ790" s="9"/>
      <c r="JA790" s="9"/>
      <c r="JB790" s="9"/>
      <c r="JC790" s="9"/>
      <c r="JD790" s="9"/>
      <c r="JE790" s="9"/>
      <c r="JF790" s="9"/>
      <c r="JG790" s="9"/>
      <c r="JH790" s="9"/>
      <c r="JI790" s="9"/>
      <c r="JJ790" s="9"/>
      <c r="JK790" s="9"/>
      <c r="JL790" s="9"/>
      <c r="JM790" s="9"/>
      <c r="JN790" s="9"/>
      <c r="JO790" s="9"/>
      <c r="JP790" s="9"/>
      <c r="JQ790" s="9"/>
      <c r="JR790" s="9"/>
      <c r="JS790" s="9"/>
      <c r="JT790" s="9"/>
      <c r="JU790" s="9"/>
      <c r="JV790" s="9"/>
      <c r="JW790" s="9"/>
      <c r="JX790" s="9"/>
      <c r="JY790" s="9"/>
      <c r="JZ790" s="9"/>
      <c r="KA790" s="9"/>
      <c r="KB790" s="9"/>
      <c r="KC790" s="9"/>
      <c r="KD790" s="9"/>
      <c r="KE790" s="9"/>
      <c r="KF790" s="9"/>
      <c r="KG790" s="9"/>
      <c r="KH790" s="9"/>
      <c r="KI790" s="9"/>
      <c r="KJ790" s="9"/>
      <c r="KK790" s="9"/>
      <c r="KL790" s="9"/>
      <c r="KM790" s="9"/>
      <c r="KN790" s="9"/>
      <c r="KO790" s="9"/>
      <c r="KP790" s="9"/>
      <c r="KQ790" s="9"/>
      <c r="KR790" s="9"/>
      <c r="KS790" s="9"/>
      <c r="KT790" s="9"/>
      <c r="KU790" s="9"/>
      <c r="KV790" s="9"/>
      <c r="KW790" s="9"/>
      <c r="KX790" s="9"/>
      <c r="KY790" s="9"/>
      <c r="KZ790" s="9"/>
      <c r="LA790" s="9"/>
      <c r="LB790" s="9"/>
      <c r="LC790" s="9"/>
      <c r="LD790" s="9"/>
      <c r="LE790" s="9"/>
      <c r="LF790" s="9"/>
      <c r="LG790" s="9"/>
      <c r="LH790" s="9"/>
      <c r="LI790" s="9"/>
      <c r="LJ790" s="9"/>
      <c r="LK790" s="9"/>
      <c r="LL790" s="9"/>
      <c r="LM790" s="9"/>
      <c r="LN790" s="9"/>
      <c r="LO790" s="9"/>
      <c r="LP790" s="9"/>
      <c r="LQ790" s="9"/>
      <c r="LR790" s="9"/>
      <c r="LS790" s="9"/>
      <c r="LT790" s="9"/>
      <c r="LU790" s="9"/>
      <c r="LV790" s="9"/>
      <c r="LW790" s="9"/>
      <c r="LX790" s="9"/>
      <c r="LY790" s="9"/>
      <c r="LZ790" s="9"/>
      <c r="MA790" s="9"/>
      <c r="MB790" s="9"/>
      <c r="MC790" s="9"/>
      <c r="MD790" s="9"/>
      <c r="ME790" s="9"/>
      <c r="MF790" s="9"/>
      <c r="MG790" s="9"/>
      <c r="MH790" s="9"/>
      <c r="MI790" s="9"/>
      <c r="MJ790" s="9"/>
      <c r="MK790" s="9"/>
      <c r="ML790" s="9"/>
      <c r="MM790" s="9"/>
      <c r="MN790" s="9"/>
      <c r="MO790" s="9"/>
      <c r="MP790" s="9"/>
      <c r="MQ790" s="9"/>
      <c r="MR790" s="9"/>
      <c r="MS790" s="9"/>
      <c r="MT790" s="9"/>
      <c r="MU790" s="9"/>
      <c r="MV790" s="9"/>
      <c r="MW790" s="9"/>
      <c r="MX790" s="9"/>
      <c r="MY790" s="9"/>
      <c r="MZ790" s="9"/>
      <c r="NA790" s="9"/>
      <c r="NB790" s="9"/>
      <c r="NC790" s="9"/>
      <c r="ND790" s="9"/>
      <c r="NE790" s="9"/>
      <c r="NF790" s="9"/>
      <c r="NG790" s="9"/>
      <c r="NH790" s="9"/>
      <c r="NI790" s="9"/>
      <c r="NJ790" s="9"/>
      <c r="NK790" s="9"/>
      <c r="NL790" s="9"/>
      <c r="NM790" s="9"/>
      <c r="NN790" s="9"/>
      <c r="NO790" s="9"/>
      <c r="NP790" s="9"/>
      <c r="NQ790" s="9"/>
      <c r="NR790" s="9"/>
      <c r="NS790" s="9"/>
      <c r="NT790" s="9"/>
      <c r="NU790" s="9"/>
      <c r="NV790" s="9"/>
      <c r="NW790" s="9"/>
      <c r="NX790" s="9"/>
      <c r="NY790" s="9"/>
      <c r="NZ790" s="9"/>
      <c r="OA790" s="9"/>
      <c r="OB790" s="9"/>
      <c r="OC790" s="9"/>
      <c r="OD790" s="9"/>
      <c r="OE790" s="9"/>
      <c r="OF790" s="9"/>
      <c r="OG790" s="9"/>
      <c r="OH790" s="9"/>
      <c r="OI790" s="9"/>
      <c r="OJ790" s="9"/>
      <c r="OK790" s="9"/>
      <c r="OL790" s="9"/>
      <c r="OM790" s="9"/>
      <c r="ON790" s="9"/>
      <c r="OO790" s="9"/>
      <c r="OP790" s="9"/>
      <c r="OQ790" s="9"/>
      <c r="OR790" s="9"/>
      <c r="OS790" s="9"/>
      <c r="OT790" s="9"/>
      <c r="OU790" s="9"/>
      <c r="OV790" s="9"/>
      <c r="OW790" s="9"/>
      <c r="OX790" s="9"/>
      <c r="OY790" s="9"/>
      <c r="OZ790" s="9"/>
      <c r="PA790" s="9"/>
      <c r="PB790" s="9"/>
      <c r="PC790" s="9"/>
      <c r="PD790" s="9"/>
      <c r="PE790" s="9"/>
      <c r="PF790" s="9"/>
      <c r="PG790" s="9"/>
      <c r="PH790" s="9"/>
      <c r="PI790" s="9"/>
      <c r="PJ790" s="9"/>
      <c r="PK790" s="9"/>
      <c r="PL790" s="9"/>
      <c r="PM790" s="9"/>
      <c r="PN790" s="9"/>
      <c r="PO790" s="9"/>
      <c r="PP790" s="9"/>
      <c r="PQ790" s="9"/>
      <c r="PR790" s="9"/>
      <c r="PS790" s="9"/>
      <c r="PT790" s="9"/>
      <c r="PU790" s="9"/>
      <c r="PV790" s="9"/>
      <c r="PW790" s="9"/>
      <c r="PX790" s="9"/>
      <c r="PY790" s="9"/>
      <c r="PZ790" s="9"/>
      <c r="QA790" s="9"/>
      <c r="QB790" s="9"/>
      <c r="QC790" s="9"/>
      <c r="QD790" s="9"/>
      <c r="QE790" s="9"/>
      <c r="QF790" s="9"/>
      <c r="QG790" s="9"/>
      <c r="QH790" s="9"/>
      <c r="QI790" s="9"/>
      <c r="QJ790" s="9"/>
      <c r="QK790" s="9"/>
      <c r="QL790" s="9"/>
      <c r="QM790" s="9"/>
      <c r="QN790" s="9"/>
      <c r="QO790" s="9"/>
      <c r="QP790" s="9"/>
      <c r="QQ790" s="9"/>
      <c r="QR790" s="9"/>
      <c r="QS790" s="9"/>
      <c r="QT790" s="9"/>
      <c r="QU790" s="9"/>
      <c r="QV790" s="9"/>
      <c r="QW790" s="9"/>
      <c r="QX790" s="9"/>
      <c r="QY790" s="9"/>
      <c r="QZ790" s="9"/>
      <c r="RA790" s="9"/>
      <c r="RB790" s="9"/>
      <c r="RC790" s="9"/>
      <c r="RD790" s="9"/>
      <c r="RE790" s="9"/>
      <c r="RF790" s="9"/>
      <c r="RG790" s="9"/>
      <c r="RH790" s="9"/>
      <c r="RI790" s="9"/>
      <c r="RJ790" s="9"/>
      <c r="RK790" s="9"/>
      <c r="RL790" s="9"/>
      <c r="RM790" s="9"/>
      <c r="RN790" s="9"/>
      <c r="RO790" s="9"/>
      <c r="RP790" s="9"/>
      <c r="RQ790" s="9"/>
      <c r="RR790" s="9"/>
      <c r="RS790" s="9"/>
      <c r="RT790" s="9"/>
      <c r="RU790" s="9"/>
      <c r="RV790" s="9"/>
      <c r="RW790" s="9"/>
      <c r="RX790" s="9"/>
      <c r="RY790" s="9"/>
      <c r="RZ790" s="9"/>
      <c r="SA790" s="9"/>
      <c r="SB790" s="9"/>
      <c r="SC790" s="9"/>
      <c r="SD790" s="9"/>
      <c r="SE790" s="9"/>
      <c r="SF790" s="9"/>
      <c r="SG790" s="9"/>
      <c r="SH790" s="9"/>
      <c r="SI790" s="9"/>
      <c r="SJ790" s="9"/>
      <c r="SK790" s="9"/>
      <c r="SL790" s="9"/>
      <c r="SM790" s="9"/>
      <c r="SN790" s="9"/>
      <c r="SO790" s="9"/>
      <c r="SP790" s="9"/>
      <c r="SQ790" s="9"/>
      <c r="SR790" s="9"/>
      <c r="SS790" s="9"/>
      <c r="ST790" s="9"/>
      <c r="SU790" s="9"/>
      <c r="SV790" s="9"/>
      <c r="SW790" s="9"/>
      <c r="SX790" s="9"/>
      <c r="SY790" s="9"/>
      <c r="SZ790" s="9"/>
      <c r="TA790" s="9"/>
      <c r="TB790" s="9"/>
      <c r="TC790" s="9"/>
      <c r="TD790" s="9"/>
      <c r="TE790" s="9"/>
      <c r="TF790" s="9"/>
      <c r="TG790" s="9"/>
      <c r="TH790" s="9"/>
      <c r="TI790" s="9"/>
      <c r="TJ790" s="9"/>
      <c r="TK790" s="9"/>
      <c r="TL790" s="9"/>
      <c r="TM790" s="9"/>
      <c r="TN790" s="9"/>
      <c r="TO790" s="9"/>
      <c r="TP790" s="9"/>
      <c r="TQ790" s="9"/>
      <c r="TR790" s="9"/>
      <c r="TS790" s="9"/>
      <c r="TT790" s="9"/>
      <c r="TU790" s="9"/>
      <c r="TV790" s="9"/>
      <c r="TW790" s="9"/>
      <c r="TX790" s="9"/>
      <c r="TY790" s="9"/>
      <c r="TZ790" s="9"/>
      <c r="UA790" s="9"/>
      <c r="UB790" s="9"/>
      <c r="UC790" s="9"/>
      <c r="UD790" s="9"/>
      <c r="UE790" s="9"/>
      <c r="UF790" s="9"/>
      <c r="UG790" s="9"/>
      <c r="UH790" s="9"/>
      <c r="UI790" s="9"/>
      <c r="UJ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  <c r="HO791" s="9"/>
      <c r="HP791" s="9"/>
      <c r="HQ791" s="9"/>
      <c r="HR791" s="9"/>
      <c r="HS791" s="9"/>
      <c r="HT791" s="9"/>
      <c r="HU791" s="9"/>
      <c r="HV791" s="9"/>
      <c r="HW791" s="9"/>
      <c r="HX791" s="9"/>
      <c r="HY791" s="9"/>
      <c r="HZ791" s="9"/>
      <c r="IA791" s="9"/>
      <c r="IB791" s="9"/>
      <c r="IC791" s="9"/>
      <c r="ID791" s="9"/>
      <c r="IE791" s="9"/>
      <c r="IF791" s="9"/>
      <c r="IG791" s="9"/>
      <c r="IH791" s="9"/>
      <c r="II791" s="9"/>
      <c r="IJ791" s="9"/>
      <c r="IK791" s="9"/>
      <c r="IL791" s="9"/>
      <c r="IM791" s="9"/>
      <c r="IN791" s="9"/>
      <c r="IO791" s="9"/>
      <c r="IP791" s="9"/>
      <c r="IQ791" s="9"/>
      <c r="IR791" s="9"/>
      <c r="IS791" s="9"/>
      <c r="IT791" s="9"/>
      <c r="IU791" s="9"/>
      <c r="IV791" s="9"/>
      <c r="IW791" s="9"/>
      <c r="IX791" s="9"/>
      <c r="IY791" s="9"/>
      <c r="IZ791" s="9"/>
      <c r="JA791" s="9"/>
      <c r="JB791" s="9"/>
      <c r="JC791" s="9"/>
      <c r="JD791" s="9"/>
      <c r="JE791" s="9"/>
      <c r="JF791" s="9"/>
      <c r="JG791" s="9"/>
      <c r="JH791" s="9"/>
      <c r="JI791" s="9"/>
      <c r="JJ791" s="9"/>
      <c r="JK791" s="9"/>
      <c r="JL791" s="9"/>
      <c r="JM791" s="9"/>
      <c r="JN791" s="9"/>
      <c r="JO791" s="9"/>
      <c r="JP791" s="9"/>
      <c r="JQ791" s="9"/>
      <c r="JR791" s="9"/>
      <c r="JS791" s="9"/>
      <c r="JT791" s="9"/>
      <c r="JU791" s="9"/>
      <c r="JV791" s="9"/>
      <c r="JW791" s="9"/>
      <c r="JX791" s="9"/>
      <c r="JY791" s="9"/>
      <c r="JZ791" s="9"/>
      <c r="KA791" s="9"/>
      <c r="KB791" s="9"/>
      <c r="KC791" s="9"/>
      <c r="KD791" s="9"/>
      <c r="KE791" s="9"/>
      <c r="KF791" s="9"/>
      <c r="KG791" s="9"/>
      <c r="KH791" s="9"/>
      <c r="KI791" s="9"/>
      <c r="KJ791" s="9"/>
      <c r="KK791" s="9"/>
      <c r="KL791" s="9"/>
      <c r="KM791" s="9"/>
      <c r="KN791" s="9"/>
      <c r="KO791" s="9"/>
      <c r="KP791" s="9"/>
      <c r="KQ791" s="9"/>
      <c r="KR791" s="9"/>
      <c r="KS791" s="9"/>
      <c r="KT791" s="9"/>
      <c r="KU791" s="9"/>
      <c r="KV791" s="9"/>
      <c r="KW791" s="9"/>
      <c r="KX791" s="9"/>
      <c r="KY791" s="9"/>
      <c r="KZ791" s="9"/>
      <c r="LA791" s="9"/>
      <c r="LB791" s="9"/>
      <c r="LC791" s="9"/>
      <c r="LD791" s="9"/>
      <c r="LE791" s="9"/>
      <c r="LF791" s="9"/>
      <c r="LG791" s="9"/>
      <c r="LH791" s="9"/>
      <c r="LI791" s="9"/>
      <c r="LJ791" s="9"/>
      <c r="LK791" s="9"/>
      <c r="LL791" s="9"/>
      <c r="LM791" s="9"/>
      <c r="LN791" s="9"/>
      <c r="LO791" s="9"/>
      <c r="LP791" s="9"/>
      <c r="LQ791" s="9"/>
      <c r="LR791" s="9"/>
      <c r="LS791" s="9"/>
      <c r="LT791" s="9"/>
      <c r="LU791" s="9"/>
      <c r="LV791" s="9"/>
      <c r="LW791" s="9"/>
      <c r="LX791" s="9"/>
      <c r="LY791" s="9"/>
      <c r="LZ791" s="9"/>
      <c r="MA791" s="9"/>
      <c r="MB791" s="9"/>
      <c r="MC791" s="9"/>
      <c r="MD791" s="9"/>
      <c r="ME791" s="9"/>
      <c r="MF791" s="9"/>
      <c r="MG791" s="9"/>
      <c r="MH791" s="9"/>
      <c r="MI791" s="9"/>
      <c r="MJ791" s="9"/>
      <c r="MK791" s="9"/>
      <c r="ML791" s="9"/>
      <c r="MM791" s="9"/>
      <c r="MN791" s="9"/>
      <c r="MO791" s="9"/>
      <c r="MP791" s="9"/>
      <c r="MQ791" s="9"/>
      <c r="MR791" s="9"/>
      <c r="MS791" s="9"/>
      <c r="MT791" s="9"/>
      <c r="MU791" s="9"/>
      <c r="MV791" s="9"/>
      <c r="MW791" s="9"/>
      <c r="MX791" s="9"/>
      <c r="MY791" s="9"/>
      <c r="MZ791" s="9"/>
      <c r="NA791" s="9"/>
      <c r="NB791" s="9"/>
      <c r="NC791" s="9"/>
      <c r="ND791" s="9"/>
      <c r="NE791" s="9"/>
      <c r="NF791" s="9"/>
      <c r="NG791" s="9"/>
      <c r="NH791" s="9"/>
      <c r="NI791" s="9"/>
      <c r="NJ791" s="9"/>
      <c r="NK791" s="9"/>
      <c r="NL791" s="9"/>
      <c r="NM791" s="9"/>
      <c r="NN791" s="9"/>
      <c r="NO791" s="9"/>
      <c r="NP791" s="9"/>
      <c r="NQ791" s="9"/>
      <c r="NR791" s="9"/>
      <c r="NS791" s="9"/>
      <c r="NT791" s="9"/>
      <c r="NU791" s="9"/>
      <c r="NV791" s="9"/>
      <c r="NW791" s="9"/>
      <c r="NX791" s="9"/>
      <c r="NY791" s="9"/>
      <c r="NZ791" s="9"/>
      <c r="OA791" s="9"/>
      <c r="OB791" s="9"/>
      <c r="OC791" s="9"/>
      <c r="OD791" s="9"/>
      <c r="OE791" s="9"/>
      <c r="OF791" s="9"/>
      <c r="OG791" s="9"/>
      <c r="OH791" s="9"/>
      <c r="OI791" s="9"/>
      <c r="OJ791" s="9"/>
      <c r="OK791" s="9"/>
      <c r="OL791" s="9"/>
      <c r="OM791" s="9"/>
      <c r="ON791" s="9"/>
      <c r="OO791" s="9"/>
      <c r="OP791" s="9"/>
      <c r="OQ791" s="9"/>
      <c r="OR791" s="9"/>
      <c r="OS791" s="9"/>
      <c r="OT791" s="9"/>
      <c r="OU791" s="9"/>
      <c r="OV791" s="9"/>
      <c r="OW791" s="9"/>
      <c r="OX791" s="9"/>
      <c r="OY791" s="9"/>
      <c r="OZ791" s="9"/>
      <c r="PA791" s="9"/>
      <c r="PB791" s="9"/>
      <c r="PC791" s="9"/>
      <c r="PD791" s="9"/>
      <c r="PE791" s="9"/>
      <c r="PF791" s="9"/>
      <c r="PG791" s="9"/>
      <c r="PH791" s="9"/>
      <c r="PI791" s="9"/>
      <c r="PJ791" s="9"/>
      <c r="PK791" s="9"/>
      <c r="PL791" s="9"/>
      <c r="PM791" s="9"/>
      <c r="PN791" s="9"/>
      <c r="PO791" s="9"/>
      <c r="PP791" s="9"/>
      <c r="PQ791" s="9"/>
      <c r="PR791" s="9"/>
      <c r="PS791" s="9"/>
      <c r="PT791" s="9"/>
      <c r="PU791" s="9"/>
      <c r="PV791" s="9"/>
      <c r="PW791" s="9"/>
      <c r="PX791" s="9"/>
      <c r="PY791" s="9"/>
      <c r="PZ791" s="9"/>
      <c r="QA791" s="9"/>
      <c r="QB791" s="9"/>
      <c r="QC791" s="9"/>
      <c r="QD791" s="9"/>
      <c r="QE791" s="9"/>
      <c r="QF791" s="9"/>
      <c r="QG791" s="9"/>
      <c r="QH791" s="9"/>
      <c r="QI791" s="9"/>
      <c r="QJ791" s="9"/>
      <c r="QK791" s="9"/>
      <c r="QL791" s="9"/>
      <c r="QM791" s="9"/>
      <c r="QN791" s="9"/>
      <c r="QO791" s="9"/>
      <c r="QP791" s="9"/>
      <c r="QQ791" s="9"/>
      <c r="QR791" s="9"/>
      <c r="QS791" s="9"/>
      <c r="QT791" s="9"/>
      <c r="QU791" s="9"/>
      <c r="QV791" s="9"/>
      <c r="QW791" s="9"/>
      <c r="QX791" s="9"/>
      <c r="QY791" s="9"/>
      <c r="QZ791" s="9"/>
      <c r="RA791" s="9"/>
      <c r="RB791" s="9"/>
      <c r="RC791" s="9"/>
      <c r="RD791" s="9"/>
      <c r="RE791" s="9"/>
      <c r="RF791" s="9"/>
      <c r="RG791" s="9"/>
      <c r="RH791" s="9"/>
      <c r="RI791" s="9"/>
      <c r="RJ791" s="9"/>
      <c r="RK791" s="9"/>
      <c r="RL791" s="9"/>
      <c r="RM791" s="9"/>
      <c r="RN791" s="9"/>
      <c r="RO791" s="9"/>
      <c r="RP791" s="9"/>
      <c r="RQ791" s="9"/>
      <c r="RR791" s="9"/>
      <c r="RS791" s="9"/>
      <c r="RT791" s="9"/>
      <c r="RU791" s="9"/>
      <c r="RV791" s="9"/>
      <c r="RW791" s="9"/>
      <c r="RX791" s="9"/>
      <c r="RY791" s="9"/>
      <c r="RZ791" s="9"/>
      <c r="SA791" s="9"/>
      <c r="SB791" s="9"/>
      <c r="SC791" s="9"/>
      <c r="SD791" s="9"/>
      <c r="SE791" s="9"/>
      <c r="SF791" s="9"/>
      <c r="SG791" s="9"/>
      <c r="SH791" s="9"/>
      <c r="SI791" s="9"/>
      <c r="SJ791" s="9"/>
      <c r="SK791" s="9"/>
      <c r="SL791" s="9"/>
      <c r="SM791" s="9"/>
      <c r="SN791" s="9"/>
      <c r="SO791" s="9"/>
      <c r="SP791" s="9"/>
      <c r="SQ791" s="9"/>
      <c r="SR791" s="9"/>
      <c r="SS791" s="9"/>
      <c r="ST791" s="9"/>
      <c r="SU791" s="9"/>
      <c r="SV791" s="9"/>
      <c r="SW791" s="9"/>
      <c r="SX791" s="9"/>
      <c r="SY791" s="9"/>
      <c r="SZ791" s="9"/>
      <c r="TA791" s="9"/>
      <c r="TB791" s="9"/>
      <c r="TC791" s="9"/>
      <c r="TD791" s="9"/>
      <c r="TE791" s="9"/>
      <c r="TF791" s="9"/>
      <c r="TG791" s="9"/>
      <c r="TH791" s="9"/>
      <c r="TI791" s="9"/>
      <c r="TJ791" s="9"/>
      <c r="TK791" s="9"/>
      <c r="TL791" s="9"/>
      <c r="TM791" s="9"/>
      <c r="TN791" s="9"/>
      <c r="TO791" s="9"/>
      <c r="TP791" s="9"/>
      <c r="TQ791" s="9"/>
      <c r="TR791" s="9"/>
      <c r="TS791" s="9"/>
      <c r="TT791" s="9"/>
      <c r="TU791" s="9"/>
      <c r="TV791" s="9"/>
      <c r="TW791" s="9"/>
      <c r="TX791" s="9"/>
      <c r="TY791" s="9"/>
      <c r="TZ791" s="9"/>
      <c r="UA791" s="9"/>
      <c r="UB791" s="9"/>
      <c r="UC791" s="9"/>
      <c r="UD791" s="9"/>
      <c r="UE791" s="9"/>
      <c r="UF791" s="9"/>
      <c r="UG791" s="9"/>
      <c r="UH791" s="9"/>
      <c r="UI791" s="9"/>
      <c r="UJ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  <c r="HO792" s="9"/>
      <c r="HP792" s="9"/>
      <c r="HQ792" s="9"/>
      <c r="HR792" s="9"/>
      <c r="HS792" s="9"/>
      <c r="HT792" s="9"/>
      <c r="HU792" s="9"/>
      <c r="HV792" s="9"/>
      <c r="HW792" s="9"/>
      <c r="HX792" s="9"/>
      <c r="HY792" s="9"/>
      <c r="HZ792" s="9"/>
      <c r="IA792" s="9"/>
      <c r="IB792" s="9"/>
      <c r="IC792" s="9"/>
      <c r="ID792" s="9"/>
      <c r="IE792" s="9"/>
      <c r="IF792" s="9"/>
      <c r="IG792" s="9"/>
      <c r="IH792" s="9"/>
      <c r="II792" s="9"/>
      <c r="IJ792" s="9"/>
      <c r="IK792" s="9"/>
      <c r="IL792" s="9"/>
      <c r="IM792" s="9"/>
      <c r="IN792" s="9"/>
      <c r="IO792" s="9"/>
      <c r="IP792" s="9"/>
      <c r="IQ792" s="9"/>
      <c r="IR792" s="9"/>
      <c r="IS792" s="9"/>
      <c r="IT792" s="9"/>
      <c r="IU792" s="9"/>
      <c r="IV792" s="9"/>
      <c r="IW792" s="9"/>
      <c r="IX792" s="9"/>
      <c r="IY792" s="9"/>
      <c r="IZ792" s="9"/>
      <c r="JA792" s="9"/>
      <c r="JB792" s="9"/>
      <c r="JC792" s="9"/>
      <c r="JD792" s="9"/>
      <c r="JE792" s="9"/>
      <c r="JF792" s="9"/>
      <c r="JG792" s="9"/>
      <c r="JH792" s="9"/>
      <c r="JI792" s="9"/>
      <c r="JJ792" s="9"/>
      <c r="JK792" s="9"/>
      <c r="JL792" s="9"/>
      <c r="JM792" s="9"/>
      <c r="JN792" s="9"/>
      <c r="JO792" s="9"/>
      <c r="JP792" s="9"/>
      <c r="JQ792" s="9"/>
      <c r="JR792" s="9"/>
      <c r="JS792" s="9"/>
      <c r="JT792" s="9"/>
      <c r="JU792" s="9"/>
      <c r="JV792" s="9"/>
      <c r="JW792" s="9"/>
      <c r="JX792" s="9"/>
      <c r="JY792" s="9"/>
      <c r="JZ792" s="9"/>
      <c r="KA792" s="9"/>
      <c r="KB792" s="9"/>
      <c r="KC792" s="9"/>
      <c r="KD792" s="9"/>
      <c r="KE792" s="9"/>
      <c r="KF792" s="9"/>
      <c r="KG792" s="9"/>
      <c r="KH792" s="9"/>
      <c r="KI792" s="9"/>
      <c r="KJ792" s="9"/>
      <c r="KK792" s="9"/>
      <c r="KL792" s="9"/>
      <c r="KM792" s="9"/>
      <c r="KN792" s="9"/>
      <c r="KO792" s="9"/>
      <c r="KP792" s="9"/>
      <c r="KQ792" s="9"/>
      <c r="KR792" s="9"/>
      <c r="KS792" s="9"/>
      <c r="KT792" s="9"/>
      <c r="KU792" s="9"/>
      <c r="KV792" s="9"/>
      <c r="KW792" s="9"/>
      <c r="KX792" s="9"/>
      <c r="KY792" s="9"/>
      <c r="KZ792" s="9"/>
      <c r="LA792" s="9"/>
      <c r="LB792" s="9"/>
      <c r="LC792" s="9"/>
      <c r="LD792" s="9"/>
      <c r="LE792" s="9"/>
      <c r="LF792" s="9"/>
      <c r="LG792" s="9"/>
      <c r="LH792" s="9"/>
      <c r="LI792" s="9"/>
      <c r="LJ792" s="9"/>
      <c r="LK792" s="9"/>
      <c r="LL792" s="9"/>
      <c r="LM792" s="9"/>
      <c r="LN792" s="9"/>
      <c r="LO792" s="9"/>
      <c r="LP792" s="9"/>
      <c r="LQ792" s="9"/>
      <c r="LR792" s="9"/>
      <c r="LS792" s="9"/>
      <c r="LT792" s="9"/>
      <c r="LU792" s="9"/>
      <c r="LV792" s="9"/>
      <c r="LW792" s="9"/>
      <c r="LX792" s="9"/>
      <c r="LY792" s="9"/>
      <c r="LZ792" s="9"/>
      <c r="MA792" s="9"/>
      <c r="MB792" s="9"/>
      <c r="MC792" s="9"/>
      <c r="MD792" s="9"/>
      <c r="ME792" s="9"/>
      <c r="MF792" s="9"/>
      <c r="MG792" s="9"/>
      <c r="MH792" s="9"/>
      <c r="MI792" s="9"/>
      <c r="MJ792" s="9"/>
      <c r="MK792" s="9"/>
      <c r="ML792" s="9"/>
      <c r="MM792" s="9"/>
      <c r="MN792" s="9"/>
      <c r="MO792" s="9"/>
      <c r="MP792" s="9"/>
      <c r="MQ792" s="9"/>
      <c r="MR792" s="9"/>
      <c r="MS792" s="9"/>
      <c r="MT792" s="9"/>
      <c r="MU792" s="9"/>
      <c r="MV792" s="9"/>
      <c r="MW792" s="9"/>
      <c r="MX792" s="9"/>
      <c r="MY792" s="9"/>
      <c r="MZ792" s="9"/>
      <c r="NA792" s="9"/>
      <c r="NB792" s="9"/>
      <c r="NC792" s="9"/>
      <c r="ND792" s="9"/>
      <c r="NE792" s="9"/>
      <c r="NF792" s="9"/>
      <c r="NG792" s="9"/>
      <c r="NH792" s="9"/>
      <c r="NI792" s="9"/>
      <c r="NJ792" s="9"/>
      <c r="NK792" s="9"/>
      <c r="NL792" s="9"/>
      <c r="NM792" s="9"/>
      <c r="NN792" s="9"/>
      <c r="NO792" s="9"/>
      <c r="NP792" s="9"/>
      <c r="NQ792" s="9"/>
      <c r="NR792" s="9"/>
      <c r="NS792" s="9"/>
      <c r="NT792" s="9"/>
      <c r="NU792" s="9"/>
      <c r="NV792" s="9"/>
      <c r="NW792" s="9"/>
      <c r="NX792" s="9"/>
      <c r="NY792" s="9"/>
      <c r="NZ792" s="9"/>
      <c r="OA792" s="9"/>
      <c r="OB792" s="9"/>
      <c r="OC792" s="9"/>
      <c r="OD792" s="9"/>
      <c r="OE792" s="9"/>
      <c r="OF792" s="9"/>
      <c r="OG792" s="9"/>
      <c r="OH792" s="9"/>
      <c r="OI792" s="9"/>
      <c r="OJ792" s="9"/>
      <c r="OK792" s="9"/>
      <c r="OL792" s="9"/>
      <c r="OM792" s="9"/>
      <c r="ON792" s="9"/>
      <c r="OO792" s="9"/>
      <c r="OP792" s="9"/>
      <c r="OQ792" s="9"/>
      <c r="OR792" s="9"/>
      <c r="OS792" s="9"/>
      <c r="OT792" s="9"/>
      <c r="OU792" s="9"/>
      <c r="OV792" s="9"/>
      <c r="OW792" s="9"/>
      <c r="OX792" s="9"/>
      <c r="OY792" s="9"/>
      <c r="OZ792" s="9"/>
      <c r="PA792" s="9"/>
      <c r="PB792" s="9"/>
      <c r="PC792" s="9"/>
      <c r="PD792" s="9"/>
      <c r="PE792" s="9"/>
      <c r="PF792" s="9"/>
      <c r="PG792" s="9"/>
      <c r="PH792" s="9"/>
      <c r="PI792" s="9"/>
      <c r="PJ792" s="9"/>
      <c r="PK792" s="9"/>
      <c r="PL792" s="9"/>
      <c r="PM792" s="9"/>
      <c r="PN792" s="9"/>
      <c r="PO792" s="9"/>
      <c r="PP792" s="9"/>
      <c r="PQ792" s="9"/>
      <c r="PR792" s="9"/>
      <c r="PS792" s="9"/>
      <c r="PT792" s="9"/>
      <c r="PU792" s="9"/>
      <c r="PV792" s="9"/>
      <c r="PW792" s="9"/>
      <c r="PX792" s="9"/>
      <c r="PY792" s="9"/>
      <c r="PZ792" s="9"/>
      <c r="QA792" s="9"/>
      <c r="QB792" s="9"/>
      <c r="QC792" s="9"/>
      <c r="QD792" s="9"/>
      <c r="QE792" s="9"/>
      <c r="QF792" s="9"/>
      <c r="QG792" s="9"/>
      <c r="QH792" s="9"/>
      <c r="QI792" s="9"/>
      <c r="QJ792" s="9"/>
      <c r="QK792" s="9"/>
      <c r="QL792" s="9"/>
      <c r="QM792" s="9"/>
      <c r="QN792" s="9"/>
      <c r="QO792" s="9"/>
      <c r="QP792" s="9"/>
      <c r="QQ792" s="9"/>
      <c r="QR792" s="9"/>
      <c r="QS792" s="9"/>
      <c r="QT792" s="9"/>
      <c r="QU792" s="9"/>
      <c r="QV792" s="9"/>
      <c r="QW792" s="9"/>
      <c r="QX792" s="9"/>
      <c r="QY792" s="9"/>
      <c r="QZ792" s="9"/>
      <c r="RA792" s="9"/>
      <c r="RB792" s="9"/>
      <c r="RC792" s="9"/>
      <c r="RD792" s="9"/>
      <c r="RE792" s="9"/>
      <c r="RF792" s="9"/>
      <c r="RG792" s="9"/>
      <c r="RH792" s="9"/>
      <c r="RI792" s="9"/>
      <c r="RJ792" s="9"/>
      <c r="RK792" s="9"/>
      <c r="RL792" s="9"/>
      <c r="RM792" s="9"/>
      <c r="RN792" s="9"/>
      <c r="RO792" s="9"/>
      <c r="RP792" s="9"/>
      <c r="RQ792" s="9"/>
      <c r="RR792" s="9"/>
      <c r="RS792" s="9"/>
      <c r="RT792" s="9"/>
      <c r="RU792" s="9"/>
      <c r="RV792" s="9"/>
      <c r="RW792" s="9"/>
      <c r="RX792" s="9"/>
      <c r="RY792" s="9"/>
      <c r="RZ792" s="9"/>
      <c r="SA792" s="9"/>
      <c r="SB792" s="9"/>
      <c r="SC792" s="9"/>
      <c r="SD792" s="9"/>
      <c r="SE792" s="9"/>
      <c r="SF792" s="9"/>
      <c r="SG792" s="9"/>
      <c r="SH792" s="9"/>
      <c r="SI792" s="9"/>
      <c r="SJ792" s="9"/>
      <c r="SK792" s="9"/>
      <c r="SL792" s="9"/>
      <c r="SM792" s="9"/>
      <c r="SN792" s="9"/>
      <c r="SO792" s="9"/>
      <c r="SP792" s="9"/>
      <c r="SQ792" s="9"/>
      <c r="SR792" s="9"/>
      <c r="SS792" s="9"/>
      <c r="ST792" s="9"/>
      <c r="SU792" s="9"/>
      <c r="SV792" s="9"/>
      <c r="SW792" s="9"/>
      <c r="SX792" s="9"/>
      <c r="SY792" s="9"/>
      <c r="SZ792" s="9"/>
      <c r="TA792" s="9"/>
      <c r="TB792" s="9"/>
      <c r="TC792" s="9"/>
      <c r="TD792" s="9"/>
      <c r="TE792" s="9"/>
      <c r="TF792" s="9"/>
      <c r="TG792" s="9"/>
      <c r="TH792" s="9"/>
      <c r="TI792" s="9"/>
      <c r="TJ792" s="9"/>
      <c r="TK792" s="9"/>
      <c r="TL792" s="9"/>
      <c r="TM792" s="9"/>
      <c r="TN792" s="9"/>
      <c r="TO792" s="9"/>
      <c r="TP792" s="9"/>
      <c r="TQ792" s="9"/>
      <c r="TR792" s="9"/>
      <c r="TS792" s="9"/>
      <c r="TT792" s="9"/>
      <c r="TU792" s="9"/>
      <c r="TV792" s="9"/>
      <c r="TW792" s="9"/>
      <c r="TX792" s="9"/>
      <c r="TY792" s="9"/>
      <c r="TZ792" s="9"/>
      <c r="UA792" s="9"/>
      <c r="UB792" s="9"/>
      <c r="UC792" s="9"/>
      <c r="UD792" s="9"/>
      <c r="UE792" s="9"/>
      <c r="UF792" s="9"/>
      <c r="UG792" s="9"/>
      <c r="UH792" s="9"/>
      <c r="UI792" s="9"/>
      <c r="UJ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9"/>
      <c r="IA793" s="9"/>
      <c r="IB793" s="9"/>
      <c r="IC793" s="9"/>
      <c r="ID793" s="9"/>
      <c r="IE793" s="9"/>
      <c r="IF793" s="9"/>
      <c r="IG793" s="9"/>
      <c r="IH793" s="9"/>
      <c r="II793" s="9"/>
      <c r="IJ793" s="9"/>
      <c r="IK793" s="9"/>
      <c r="IL793" s="9"/>
      <c r="IM793" s="9"/>
      <c r="IN793" s="9"/>
      <c r="IO793" s="9"/>
      <c r="IP793" s="9"/>
      <c r="IQ793" s="9"/>
      <c r="IR793" s="9"/>
      <c r="IS793" s="9"/>
      <c r="IT793" s="9"/>
      <c r="IU793" s="9"/>
      <c r="IV793" s="9"/>
      <c r="IW793" s="9"/>
      <c r="IX793" s="9"/>
      <c r="IY793" s="9"/>
      <c r="IZ793" s="9"/>
      <c r="JA793" s="9"/>
      <c r="JB793" s="9"/>
      <c r="JC793" s="9"/>
      <c r="JD793" s="9"/>
      <c r="JE793" s="9"/>
      <c r="JF793" s="9"/>
      <c r="JG793" s="9"/>
      <c r="JH793" s="9"/>
      <c r="JI793" s="9"/>
      <c r="JJ793" s="9"/>
      <c r="JK793" s="9"/>
      <c r="JL793" s="9"/>
      <c r="JM793" s="9"/>
      <c r="JN793" s="9"/>
      <c r="JO793" s="9"/>
      <c r="JP793" s="9"/>
      <c r="JQ793" s="9"/>
      <c r="JR793" s="9"/>
      <c r="JS793" s="9"/>
      <c r="JT793" s="9"/>
      <c r="JU793" s="9"/>
      <c r="JV793" s="9"/>
      <c r="JW793" s="9"/>
      <c r="JX793" s="9"/>
      <c r="JY793" s="9"/>
      <c r="JZ793" s="9"/>
      <c r="KA793" s="9"/>
      <c r="KB793" s="9"/>
      <c r="KC793" s="9"/>
      <c r="KD793" s="9"/>
      <c r="KE793" s="9"/>
      <c r="KF793" s="9"/>
      <c r="KG793" s="9"/>
      <c r="KH793" s="9"/>
      <c r="KI793" s="9"/>
      <c r="KJ793" s="9"/>
      <c r="KK793" s="9"/>
      <c r="KL793" s="9"/>
      <c r="KM793" s="9"/>
      <c r="KN793" s="9"/>
      <c r="KO793" s="9"/>
      <c r="KP793" s="9"/>
      <c r="KQ793" s="9"/>
      <c r="KR793" s="9"/>
      <c r="KS793" s="9"/>
      <c r="KT793" s="9"/>
      <c r="KU793" s="9"/>
      <c r="KV793" s="9"/>
      <c r="KW793" s="9"/>
      <c r="KX793" s="9"/>
      <c r="KY793" s="9"/>
      <c r="KZ793" s="9"/>
      <c r="LA793" s="9"/>
      <c r="LB793" s="9"/>
      <c r="LC793" s="9"/>
      <c r="LD793" s="9"/>
      <c r="LE793" s="9"/>
      <c r="LF793" s="9"/>
      <c r="LG793" s="9"/>
      <c r="LH793" s="9"/>
      <c r="LI793" s="9"/>
      <c r="LJ793" s="9"/>
      <c r="LK793" s="9"/>
      <c r="LL793" s="9"/>
      <c r="LM793" s="9"/>
      <c r="LN793" s="9"/>
      <c r="LO793" s="9"/>
      <c r="LP793" s="9"/>
      <c r="LQ793" s="9"/>
      <c r="LR793" s="9"/>
      <c r="LS793" s="9"/>
      <c r="LT793" s="9"/>
      <c r="LU793" s="9"/>
      <c r="LV793" s="9"/>
      <c r="LW793" s="9"/>
      <c r="LX793" s="9"/>
      <c r="LY793" s="9"/>
      <c r="LZ793" s="9"/>
      <c r="MA793" s="9"/>
      <c r="MB793" s="9"/>
      <c r="MC793" s="9"/>
      <c r="MD793" s="9"/>
      <c r="ME793" s="9"/>
      <c r="MF793" s="9"/>
      <c r="MG793" s="9"/>
      <c r="MH793" s="9"/>
      <c r="MI793" s="9"/>
      <c r="MJ793" s="9"/>
      <c r="MK793" s="9"/>
      <c r="ML793" s="9"/>
      <c r="MM793" s="9"/>
      <c r="MN793" s="9"/>
      <c r="MO793" s="9"/>
      <c r="MP793" s="9"/>
      <c r="MQ793" s="9"/>
      <c r="MR793" s="9"/>
      <c r="MS793" s="9"/>
      <c r="MT793" s="9"/>
      <c r="MU793" s="9"/>
      <c r="MV793" s="9"/>
      <c r="MW793" s="9"/>
      <c r="MX793" s="9"/>
      <c r="MY793" s="9"/>
      <c r="MZ793" s="9"/>
      <c r="NA793" s="9"/>
      <c r="NB793" s="9"/>
      <c r="NC793" s="9"/>
      <c r="ND793" s="9"/>
      <c r="NE793" s="9"/>
      <c r="NF793" s="9"/>
      <c r="NG793" s="9"/>
      <c r="NH793" s="9"/>
      <c r="NI793" s="9"/>
      <c r="NJ793" s="9"/>
      <c r="NK793" s="9"/>
      <c r="NL793" s="9"/>
      <c r="NM793" s="9"/>
      <c r="NN793" s="9"/>
      <c r="NO793" s="9"/>
      <c r="NP793" s="9"/>
      <c r="NQ793" s="9"/>
      <c r="NR793" s="9"/>
      <c r="NS793" s="9"/>
      <c r="NT793" s="9"/>
      <c r="NU793" s="9"/>
      <c r="NV793" s="9"/>
      <c r="NW793" s="9"/>
      <c r="NX793" s="9"/>
      <c r="NY793" s="9"/>
      <c r="NZ793" s="9"/>
      <c r="OA793" s="9"/>
      <c r="OB793" s="9"/>
      <c r="OC793" s="9"/>
      <c r="OD793" s="9"/>
      <c r="OE793" s="9"/>
      <c r="OF793" s="9"/>
      <c r="OG793" s="9"/>
      <c r="OH793" s="9"/>
      <c r="OI793" s="9"/>
      <c r="OJ793" s="9"/>
      <c r="OK793" s="9"/>
      <c r="OL793" s="9"/>
      <c r="OM793" s="9"/>
      <c r="ON793" s="9"/>
      <c r="OO793" s="9"/>
      <c r="OP793" s="9"/>
      <c r="OQ793" s="9"/>
      <c r="OR793" s="9"/>
      <c r="OS793" s="9"/>
      <c r="OT793" s="9"/>
      <c r="OU793" s="9"/>
      <c r="OV793" s="9"/>
      <c r="OW793" s="9"/>
      <c r="OX793" s="9"/>
      <c r="OY793" s="9"/>
      <c r="OZ793" s="9"/>
      <c r="PA793" s="9"/>
      <c r="PB793" s="9"/>
      <c r="PC793" s="9"/>
      <c r="PD793" s="9"/>
      <c r="PE793" s="9"/>
      <c r="PF793" s="9"/>
      <c r="PG793" s="9"/>
      <c r="PH793" s="9"/>
      <c r="PI793" s="9"/>
      <c r="PJ793" s="9"/>
      <c r="PK793" s="9"/>
      <c r="PL793" s="9"/>
      <c r="PM793" s="9"/>
      <c r="PN793" s="9"/>
      <c r="PO793" s="9"/>
      <c r="PP793" s="9"/>
      <c r="PQ793" s="9"/>
      <c r="PR793" s="9"/>
      <c r="PS793" s="9"/>
      <c r="PT793" s="9"/>
      <c r="PU793" s="9"/>
      <c r="PV793" s="9"/>
      <c r="PW793" s="9"/>
      <c r="PX793" s="9"/>
      <c r="PY793" s="9"/>
      <c r="PZ793" s="9"/>
      <c r="QA793" s="9"/>
      <c r="QB793" s="9"/>
      <c r="QC793" s="9"/>
      <c r="QD793" s="9"/>
      <c r="QE793" s="9"/>
      <c r="QF793" s="9"/>
      <c r="QG793" s="9"/>
      <c r="QH793" s="9"/>
      <c r="QI793" s="9"/>
      <c r="QJ793" s="9"/>
      <c r="QK793" s="9"/>
      <c r="QL793" s="9"/>
      <c r="QM793" s="9"/>
      <c r="QN793" s="9"/>
      <c r="QO793" s="9"/>
      <c r="QP793" s="9"/>
      <c r="QQ793" s="9"/>
      <c r="QR793" s="9"/>
      <c r="QS793" s="9"/>
      <c r="QT793" s="9"/>
      <c r="QU793" s="9"/>
      <c r="QV793" s="9"/>
      <c r="QW793" s="9"/>
      <c r="QX793" s="9"/>
      <c r="QY793" s="9"/>
      <c r="QZ793" s="9"/>
      <c r="RA793" s="9"/>
      <c r="RB793" s="9"/>
      <c r="RC793" s="9"/>
      <c r="RD793" s="9"/>
      <c r="RE793" s="9"/>
      <c r="RF793" s="9"/>
      <c r="RG793" s="9"/>
      <c r="RH793" s="9"/>
      <c r="RI793" s="9"/>
      <c r="RJ793" s="9"/>
      <c r="RK793" s="9"/>
      <c r="RL793" s="9"/>
      <c r="RM793" s="9"/>
      <c r="RN793" s="9"/>
      <c r="RO793" s="9"/>
      <c r="RP793" s="9"/>
      <c r="RQ793" s="9"/>
      <c r="RR793" s="9"/>
      <c r="RS793" s="9"/>
      <c r="RT793" s="9"/>
      <c r="RU793" s="9"/>
      <c r="RV793" s="9"/>
      <c r="RW793" s="9"/>
      <c r="RX793" s="9"/>
      <c r="RY793" s="9"/>
      <c r="RZ793" s="9"/>
      <c r="SA793" s="9"/>
      <c r="SB793" s="9"/>
      <c r="SC793" s="9"/>
      <c r="SD793" s="9"/>
      <c r="SE793" s="9"/>
      <c r="SF793" s="9"/>
      <c r="SG793" s="9"/>
      <c r="SH793" s="9"/>
      <c r="SI793" s="9"/>
      <c r="SJ793" s="9"/>
      <c r="SK793" s="9"/>
      <c r="SL793" s="9"/>
      <c r="SM793" s="9"/>
      <c r="SN793" s="9"/>
      <c r="SO793" s="9"/>
      <c r="SP793" s="9"/>
      <c r="SQ793" s="9"/>
      <c r="SR793" s="9"/>
      <c r="SS793" s="9"/>
      <c r="ST793" s="9"/>
      <c r="SU793" s="9"/>
      <c r="SV793" s="9"/>
      <c r="SW793" s="9"/>
      <c r="SX793" s="9"/>
      <c r="SY793" s="9"/>
      <c r="SZ793" s="9"/>
      <c r="TA793" s="9"/>
      <c r="TB793" s="9"/>
      <c r="TC793" s="9"/>
      <c r="TD793" s="9"/>
      <c r="TE793" s="9"/>
      <c r="TF793" s="9"/>
      <c r="TG793" s="9"/>
      <c r="TH793" s="9"/>
      <c r="TI793" s="9"/>
      <c r="TJ793" s="9"/>
      <c r="TK793" s="9"/>
      <c r="TL793" s="9"/>
      <c r="TM793" s="9"/>
      <c r="TN793" s="9"/>
      <c r="TO793" s="9"/>
      <c r="TP793" s="9"/>
      <c r="TQ793" s="9"/>
      <c r="TR793" s="9"/>
      <c r="TS793" s="9"/>
      <c r="TT793" s="9"/>
      <c r="TU793" s="9"/>
      <c r="TV793" s="9"/>
      <c r="TW793" s="9"/>
      <c r="TX793" s="9"/>
      <c r="TY793" s="9"/>
      <c r="TZ793" s="9"/>
      <c r="UA793" s="9"/>
      <c r="UB793" s="9"/>
      <c r="UC793" s="9"/>
      <c r="UD793" s="9"/>
      <c r="UE793" s="9"/>
      <c r="UF793" s="9"/>
      <c r="UG793" s="9"/>
      <c r="UH793" s="9"/>
      <c r="UI793" s="9"/>
      <c r="UJ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/>
      <c r="GE794" s="9"/>
      <c r="GF794" s="9"/>
      <c r="GG794" s="9"/>
      <c r="GH794" s="9"/>
      <c r="GI794" s="9"/>
      <c r="GJ794" s="9"/>
      <c r="GK794" s="9"/>
      <c r="GL794" s="9"/>
      <c r="GM794" s="9"/>
      <c r="GN794" s="9"/>
      <c r="GO794" s="9"/>
      <c r="GP794" s="9"/>
      <c r="GQ794" s="9"/>
      <c r="GR794" s="9"/>
      <c r="GS794" s="9"/>
      <c r="GT794" s="9"/>
      <c r="GU794" s="9"/>
      <c r="GV794" s="9"/>
      <c r="GW794" s="9"/>
      <c r="GX794" s="9"/>
      <c r="GY794" s="9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  <c r="HO794" s="9"/>
      <c r="HP794" s="9"/>
      <c r="HQ794" s="9"/>
      <c r="HR794" s="9"/>
      <c r="HS794" s="9"/>
      <c r="HT794" s="9"/>
      <c r="HU794" s="9"/>
      <c r="HV794" s="9"/>
      <c r="HW794" s="9"/>
      <c r="HX794" s="9"/>
      <c r="HY794" s="9"/>
      <c r="HZ794" s="9"/>
      <c r="IA794" s="9"/>
      <c r="IB794" s="9"/>
      <c r="IC794" s="9"/>
      <c r="ID794" s="9"/>
      <c r="IE794" s="9"/>
      <c r="IF794" s="9"/>
      <c r="IG794" s="9"/>
      <c r="IH794" s="9"/>
      <c r="II794" s="9"/>
      <c r="IJ794" s="9"/>
      <c r="IK794" s="9"/>
      <c r="IL794" s="9"/>
      <c r="IM794" s="9"/>
      <c r="IN794" s="9"/>
      <c r="IO794" s="9"/>
      <c r="IP794" s="9"/>
      <c r="IQ794" s="9"/>
      <c r="IR794" s="9"/>
      <c r="IS794" s="9"/>
      <c r="IT794" s="9"/>
      <c r="IU794" s="9"/>
      <c r="IV794" s="9"/>
      <c r="IW794" s="9"/>
      <c r="IX794" s="9"/>
      <c r="IY794" s="9"/>
      <c r="IZ794" s="9"/>
      <c r="JA794" s="9"/>
      <c r="JB794" s="9"/>
      <c r="JC794" s="9"/>
      <c r="JD794" s="9"/>
      <c r="JE794" s="9"/>
      <c r="JF794" s="9"/>
      <c r="JG794" s="9"/>
      <c r="JH794" s="9"/>
      <c r="JI794" s="9"/>
      <c r="JJ794" s="9"/>
      <c r="JK794" s="9"/>
      <c r="JL794" s="9"/>
      <c r="JM794" s="9"/>
      <c r="JN794" s="9"/>
      <c r="JO794" s="9"/>
      <c r="JP794" s="9"/>
      <c r="JQ794" s="9"/>
      <c r="JR794" s="9"/>
      <c r="JS794" s="9"/>
      <c r="JT794" s="9"/>
      <c r="JU794" s="9"/>
      <c r="JV794" s="9"/>
      <c r="JW794" s="9"/>
      <c r="JX794" s="9"/>
      <c r="JY794" s="9"/>
      <c r="JZ794" s="9"/>
      <c r="KA794" s="9"/>
      <c r="KB794" s="9"/>
      <c r="KC794" s="9"/>
      <c r="KD794" s="9"/>
      <c r="KE794" s="9"/>
      <c r="KF794" s="9"/>
      <c r="KG794" s="9"/>
      <c r="KH794" s="9"/>
      <c r="KI794" s="9"/>
      <c r="KJ794" s="9"/>
      <c r="KK794" s="9"/>
      <c r="KL794" s="9"/>
      <c r="KM794" s="9"/>
      <c r="KN794" s="9"/>
      <c r="KO794" s="9"/>
      <c r="KP794" s="9"/>
      <c r="KQ794" s="9"/>
      <c r="KR794" s="9"/>
      <c r="KS794" s="9"/>
      <c r="KT794" s="9"/>
      <c r="KU794" s="9"/>
      <c r="KV794" s="9"/>
      <c r="KW794" s="9"/>
      <c r="KX794" s="9"/>
      <c r="KY794" s="9"/>
      <c r="KZ794" s="9"/>
      <c r="LA794" s="9"/>
      <c r="LB794" s="9"/>
      <c r="LC794" s="9"/>
      <c r="LD794" s="9"/>
      <c r="LE794" s="9"/>
      <c r="LF794" s="9"/>
      <c r="LG794" s="9"/>
      <c r="LH794" s="9"/>
      <c r="LI794" s="9"/>
      <c r="LJ794" s="9"/>
      <c r="LK794" s="9"/>
      <c r="LL794" s="9"/>
      <c r="LM794" s="9"/>
      <c r="LN794" s="9"/>
      <c r="LO794" s="9"/>
      <c r="LP794" s="9"/>
      <c r="LQ794" s="9"/>
      <c r="LR794" s="9"/>
      <c r="LS794" s="9"/>
      <c r="LT794" s="9"/>
      <c r="LU794" s="9"/>
      <c r="LV794" s="9"/>
      <c r="LW794" s="9"/>
      <c r="LX794" s="9"/>
      <c r="LY794" s="9"/>
      <c r="LZ794" s="9"/>
      <c r="MA794" s="9"/>
      <c r="MB794" s="9"/>
      <c r="MC794" s="9"/>
      <c r="MD794" s="9"/>
      <c r="ME794" s="9"/>
      <c r="MF794" s="9"/>
      <c r="MG794" s="9"/>
      <c r="MH794" s="9"/>
      <c r="MI794" s="9"/>
      <c r="MJ794" s="9"/>
      <c r="MK794" s="9"/>
      <c r="ML794" s="9"/>
      <c r="MM794" s="9"/>
      <c r="MN794" s="9"/>
      <c r="MO794" s="9"/>
      <c r="MP794" s="9"/>
      <c r="MQ794" s="9"/>
      <c r="MR794" s="9"/>
      <c r="MS794" s="9"/>
      <c r="MT794" s="9"/>
      <c r="MU794" s="9"/>
      <c r="MV794" s="9"/>
      <c r="MW794" s="9"/>
      <c r="MX794" s="9"/>
      <c r="MY794" s="9"/>
      <c r="MZ794" s="9"/>
      <c r="NA794" s="9"/>
      <c r="NB794" s="9"/>
      <c r="NC794" s="9"/>
      <c r="ND794" s="9"/>
      <c r="NE794" s="9"/>
      <c r="NF794" s="9"/>
      <c r="NG794" s="9"/>
      <c r="NH794" s="9"/>
      <c r="NI794" s="9"/>
      <c r="NJ794" s="9"/>
      <c r="NK794" s="9"/>
      <c r="NL794" s="9"/>
      <c r="NM794" s="9"/>
      <c r="NN794" s="9"/>
      <c r="NO794" s="9"/>
      <c r="NP794" s="9"/>
      <c r="NQ794" s="9"/>
      <c r="NR794" s="9"/>
      <c r="NS794" s="9"/>
      <c r="NT794" s="9"/>
      <c r="NU794" s="9"/>
      <c r="NV794" s="9"/>
      <c r="NW794" s="9"/>
      <c r="NX794" s="9"/>
      <c r="NY794" s="9"/>
      <c r="NZ794" s="9"/>
      <c r="OA794" s="9"/>
      <c r="OB794" s="9"/>
      <c r="OC794" s="9"/>
      <c r="OD794" s="9"/>
      <c r="OE794" s="9"/>
      <c r="OF794" s="9"/>
      <c r="OG794" s="9"/>
      <c r="OH794" s="9"/>
      <c r="OI794" s="9"/>
      <c r="OJ794" s="9"/>
      <c r="OK794" s="9"/>
      <c r="OL794" s="9"/>
      <c r="OM794" s="9"/>
      <c r="ON794" s="9"/>
      <c r="OO794" s="9"/>
      <c r="OP794" s="9"/>
      <c r="OQ794" s="9"/>
      <c r="OR794" s="9"/>
      <c r="OS794" s="9"/>
      <c r="OT794" s="9"/>
      <c r="OU794" s="9"/>
      <c r="OV794" s="9"/>
      <c r="OW794" s="9"/>
      <c r="OX794" s="9"/>
      <c r="OY794" s="9"/>
      <c r="OZ794" s="9"/>
      <c r="PA794" s="9"/>
      <c r="PB794" s="9"/>
      <c r="PC794" s="9"/>
      <c r="PD794" s="9"/>
      <c r="PE794" s="9"/>
      <c r="PF794" s="9"/>
      <c r="PG794" s="9"/>
      <c r="PH794" s="9"/>
      <c r="PI794" s="9"/>
      <c r="PJ794" s="9"/>
      <c r="PK794" s="9"/>
      <c r="PL794" s="9"/>
      <c r="PM794" s="9"/>
      <c r="PN794" s="9"/>
      <c r="PO794" s="9"/>
      <c r="PP794" s="9"/>
      <c r="PQ794" s="9"/>
      <c r="PR794" s="9"/>
      <c r="PS794" s="9"/>
      <c r="PT794" s="9"/>
      <c r="PU794" s="9"/>
      <c r="PV794" s="9"/>
      <c r="PW794" s="9"/>
      <c r="PX794" s="9"/>
      <c r="PY794" s="9"/>
      <c r="PZ794" s="9"/>
      <c r="QA794" s="9"/>
      <c r="QB794" s="9"/>
      <c r="QC794" s="9"/>
      <c r="QD794" s="9"/>
      <c r="QE794" s="9"/>
      <c r="QF794" s="9"/>
      <c r="QG794" s="9"/>
      <c r="QH794" s="9"/>
      <c r="QI794" s="9"/>
      <c r="QJ794" s="9"/>
      <c r="QK794" s="9"/>
      <c r="QL794" s="9"/>
      <c r="QM794" s="9"/>
      <c r="QN794" s="9"/>
      <c r="QO794" s="9"/>
      <c r="QP794" s="9"/>
      <c r="QQ794" s="9"/>
      <c r="QR794" s="9"/>
      <c r="QS794" s="9"/>
      <c r="QT794" s="9"/>
      <c r="QU794" s="9"/>
      <c r="QV794" s="9"/>
      <c r="QW794" s="9"/>
      <c r="QX794" s="9"/>
      <c r="QY794" s="9"/>
      <c r="QZ794" s="9"/>
      <c r="RA794" s="9"/>
      <c r="RB794" s="9"/>
      <c r="RC794" s="9"/>
      <c r="RD794" s="9"/>
      <c r="RE794" s="9"/>
      <c r="RF794" s="9"/>
      <c r="RG794" s="9"/>
      <c r="RH794" s="9"/>
      <c r="RI794" s="9"/>
      <c r="RJ794" s="9"/>
      <c r="RK794" s="9"/>
      <c r="RL794" s="9"/>
      <c r="RM794" s="9"/>
      <c r="RN794" s="9"/>
      <c r="RO794" s="9"/>
      <c r="RP794" s="9"/>
      <c r="RQ794" s="9"/>
      <c r="RR794" s="9"/>
      <c r="RS794" s="9"/>
      <c r="RT794" s="9"/>
      <c r="RU794" s="9"/>
      <c r="RV794" s="9"/>
      <c r="RW794" s="9"/>
      <c r="RX794" s="9"/>
      <c r="RY794" s="9"/>
      <c r="RZ794" s="9"/>
      <c r="SA794" s="9"/>
      <c r="SB794" s="9"/>
      <c r="SC794" s="9"/>
      <c r="SD794" s="9"/>
      <c r="SE794" s="9"/>
      <c r="SF794" s="9"/>
      <c r="SG794" s="9"/>
      <c r="SH794" s="9"/>
      <c r="SI794" s="9"/>
      <c r="SJ794" s="9"/>
      <c r="SK794" s="9"/>
      <c r="SL794" s="9"/>
      <c r="SM794" s="9"/>
      <c r="SN794" s="9"/>
      <c r="SO794" s="9"/>
      <c r="SP794" s="9"/>
      <c r="SQ794" s="9"/>
      <c r="SR794" s="9"/>
      <c r="SS794" s="9"/>
      <c r="ST794" s="9"/>
      <c r="SU794" s="9"/>
      <c r="SV794" s="9"/>
      <c r="SW794" s="9"/>
      <c r="SX794" s="9"/>
      <c r="SY794" s="9"/>
      <c r="SZ794" s="9"/>
      <c r="TA794" s="9"/>
      <c r="TB794" s="9"/>
      <c r="TC794" s="9"/>
      <c r="TD794" s="9"/>
      <c r="TE794" s="9"/>
      <c r="TF794" s="9"/>
      <c r="TG794" s="9"/>
      <c r="TH794" s="9"/>
      <c r="TI794" s="9"/>
      <c r="TJ794" s="9"/>
      <c r="TK794" s="9"/>
      <c r="TL794" s="9"/>
      <c r="TM794" s="9"/>
      <c r="TN794" s="9"/>
      <c r="TO794" s="9"/>
      <c r="TP794" s="9"/>
      <c r="TQ794" s="9"/>
      <c r="TR794" s="9"/>
      <c r="TS794" s="9"/>
      <c r="TT794" s="9"/>
      <c r="TU794" s="9"/>
      <c r="TV794" s="9"/>
      <c r="TW794" s="9"/>
      <c r="TX794" s="9"/>
      <c r="TY794" s="9"/>
      <c r="TZ794" s="9"/>
      <c r="UA794" s="9"/>
      <c r="UB794" s="9"/>
      <c r="UC794" s="9"/>
      <c r="UD794" s="9"/>
      <c r="UE794" s="9"/>
      <c r="UF794" s="9"/>
      <c r="UG794" s="9"/>
      <c r="UH794" s="9"/>
      <c r="UI794" s="9"/>
      <c r="UJ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  <c r="HO795" s="9"/>
      <c r="HP795" s="9"/>
      <c r="HQ795" s="9"/>
      <c r="HR795" s="9"/>
      <c r="HS795" s="9"/>
      <c r="HT795" s="9"/>
      <c r="HU795" s="9"/>
      <c r="HV795" s="9"/>
      <c r="HW795" s="9"/>
      <c r="HX795" s="9"/>
      <c r="HY795" s="9"/>
      <c r="HZ795" s="9"/>
      <c r="IA795" s="9"/>
      <c r="IB795" s="9"/>
      <c r="IC795" s="9"/>
      <c r="ID795" s="9"/>
      <c r="IE795" s="9"/>
      <c r="IF795" s="9"/>
      <c r="IG795" s="9"/>
      <c r="IH795" s="9"/>
      <c r="II795" s="9"/>
      <c r="IJ795" s="9"/>
      <c r="IK795" s="9"/>
      <c r="IL795" s="9"/>
      <c r="IM795" s="9"/>
      <c r="IN795" s="9"/>
      <c r="IO795" s="9"/>
      <c r="IP795" s="9"/>
      <c r="IQ795" s="9"/>
      <c r="IR795" s="9"/>
      <c r="IS795" s="9"/>
      <c r="IT795" s="9"/>
      <c r="IU795" s="9"/>
      <c r="IV795" s="9"/>
      <c r="IW795" s="9"/>
      <c r="IX795" s="9"/>
      <c r="IY795" s="9"/>
      <c r="IZ795" s="9"/>
      <c r="JA795" s="9"/>
      <c r="JB795" s="9"/>
      <c r="JC795" s="9"/>
      <c r="JD795" s="9"/>
      <c r="JE795" s="9"/>
      <c r="JF795" s="9"/>
      <c r="JG795" s="9"/>
      <c r="JH795" s="9"/>
      <c r="JI795" s="9"/>
      <c r="JJ795" s="9"/>
      <c r="JK795" s="9"/>
      <c r="JL795" s="9"/>
      <c r="JM795" s="9"/>
      <c r="JN795" s="9"/>
      <c r="JO795" s="9"/>
      <c r="JP795" s="9"/>
      <c r="JQ795" s="9"/>
      <c r="JR795" s="9"/>
      <c r="JS795" s="9"/>
      <c r="JT795" s="9"/>
      <c r="JU795" s="9"/>
      <c r="JV795" s="9"/>
      <c r="JW795" s="9"/>
      <c r="JX795" s="9"/>
      <c r="JY795" s="9"/>
      <c r="JZ795" s="9"/>
      <c r="KA795" s="9"/>
      <c r="KB795" s="9"/>
      <c r="KC795" s="9"/>
      <c r="KD795" s="9"/>
      <c r="KE795" s="9"/>
      <c r="KF795" s="9"/>
      <c r="KG795" s="9"/>
      <c r="KH795" s="9"/>
      <c r="KI795" s="9"/>
      <c r="KJ795" s="9"/>
      <c r="KK795" s="9"/>
      <c r="KL795" s="9"/>
      <c r="KM795" s="9"/>
      <c r="KN795" s="9"/>
      <c r="KO795" s="9"/>
      <c r="KP795" s="9"/>
      <c r="KQ795" s="9"/>
      <c r="KR795" s="9"/>
      <c r="KS795" s="9"/>
      <c r="KT795" s="9"/>
      <c r="KU795" s="9"/>
      <c r="KV795" s="9"/>
      <c r="KW795" s="9"/>
      <c r="KX795" s="9"/>
      <c r="KY795" s="9"/>
      <c r="KZ795" s="9"/>
      <c r="LA795" s="9"/>
      <c r="LB795" s="9"/>
      <c r="LC795" s="9"/>
      <c r="LD795" s="9"/>
      <c r="LE795" s="9"/>
      <c r="LF795" s="9"/>
      <c r="LG795" s="9"/>
      <c r="LH795" s="9"/>
      <c r="LI795" s="9"/>
      <c r="LJ795" s="9"/>
      <c r="LK795" s="9"/>
      <c r="LL795" s="9"/>
      <c r="LM795" s="9"/>
      <c r="LN795" s="9"/>
      <c r="LO795" s="9"/>
      <c r="LP795" s="9"/>
      <c r="LQ795" s="9"/>
      <c r="LR795" s="9"/>
      <c r="LS795" s="9"/>
      <c r="LT795" s="9"/>
      <c r="LU795" s="9"/>
      <c r="LV795" s="9"/>
      <c r="LW795" s="9"/>
      <c r="LX795" s="9"/>
      <c r="LY795" s="9"/>
      <c r="LZ795" s="9"/>
      <c r="MA795" s="9"/>
      <c r="MB795" s="9"/>
      <c r="MC795" s="9"/>
      <c r="MD795" s="9"/>
      <c r="ME795" s="9"/>
      <c r="MF795" s="9"/>
      <c r="MG795" s="9"/>
      <c r="MH795" s="9"/>
      <c r="MI795" s="9"/>
      <c r="MJ795" s="9"/>
      <c r="MK795" s="9"/>
      <c r="ML795" s="9"/>
      <c r="MM795" s="9"/>
      <c r="MN795" s="9"/>
      <c r="MO795" s="9"/>
      <c r="MP795" s="9"/>
      <c r="MQ795" s="9"/>
      <c r="MR795" s="9"/>
      <c r="MS795" s="9"/>
      <c r="MT795" s="9"/>
      <c r="MU795" s="9"/>
      <c r="MV795" s="9"/>
      <c r="MW795" s="9"/>
      <c r="MX795" s="9"/>
      <c r="MY795" s="9"/>
      <c r="MZ795" s="9"/>
      <c r="NA795" s="9"/>
      <c r="NB795" s="9"/>
      <c r="NC795" s="9"/>
      <c r="ND795" s="9"/>
      <c r="NE795" s="9"/>
      <c r="NF795" s="9"/>
      <c r="NG795" s="9"/>
      <c r="NH795" s="9"/>
      <c r="NI795" s="9"/>
      <c r="NJ795" s="9"/>
      <c r="NK795" s="9"/>
      <c r="NL795" s="9"/>
      <c r="NM795" s="9"/>
      <c r="NN795" s="9"/>
      <c r="NO795" s="9"/>
      <c r="NP795" s="9"/>
      <c r="NQ795" s="9"/>
      <c r="NR795" s="9"/>
      <c r="NS795" s="9"/>
      <c r="NT795" s="9"/>
      <c r="NU795" s="9"/>
      <c r="NV795" s="9"/>
      <c r="NW795" s="9"/>
      <c r="NX795" s="9"/>
      <c r="NY795" s="9"/>
      <c r="NZ795" s="9"/>
      <c r="OA795" s="9"/>
      <c r="OB795" s="9"/>
      <c r="OC795" s="9"/>
      <c r="OD795" s="9"/>
      <c r="OE795" s="9"/>
      <c r="OF795" s="9"/>
      <c r="OG795" s="9"/>
      <c r="OH795" s="9"/>
      <c r="OI795" s="9"/>
      <c r="OJ795" s="9"/>
      <c r="OK795" s="9"/>
      <c r="OL795" s="9"/>
      <c r="OM795" s="9"/>
      <c r="ON795" s="9"/>
      <c r="OO795" s="9"/>
      <c r="OP795" s="9"/>
      <c r="OQ795" s="9"/>
      <c r="OR795" s="9"/>
      <c r="OS795" s="9"/>
      <c r="OT795" s="9"/>
      <c r="OU795" s="9"/>
      <c r="OV795" s="9"/>
      <c r="OW795" s="9"/>
      <c r="OX795" s="9"/>
      <c r="OY795" s="9"/>
      <c r="OZ795" s="9"/>
      <c r="PA795" s="9"/>
      <c r="PB795" s="9"/>
      <c r="PC795" s="9"/>
      <c r="PD795" s="9"/>
      <c r="PE795" s="9"/>
      <c r="PF795" s="9"/>
      <c r="PG795" s="9"/>
      <c r="PH795" s="9"/>
      <c r="PI795" s="9"/>
      <c r="PJ795" s="9"/>
      <c r="PK795" s="9"/>
      <c r="PL795" s="9"/>
      <c r="PM795" s="9"/>
      <c r="PN795" s="9"/>
      <c r="PO795" s="9"/>
      <c r="PP795" s="9"/>
      <c r="PQ795" s="9"/>
      <c r="PR795" s="9"/>
      <c r="PS795" s="9"/>
      <c r="PT795" s="9"/>
      <c r="PU795" s="9"/>
      <c r="PV795" s="9"/>
      <c r="PW795" s="9"/>
      <c r="PX795" s="9"/>
      <c r="PY795" s="9"/>
      <c r="PZ795" s="9"/>
      <c r="QA795" s="9"/>
      <c r="QB795" s="9"/>
      <c r="QC795" s="9"/>
      <c r="QD795" s="9"/>
      <c r="QE795" s="9"/>
      <c r="QF795" s="9"/>
      <c r="QG795" s="9"/>
      <c r="QH795" s="9"/>
      <c r="QI795" s="9"/>
      <c r="QJ795" s="9"/>
      <c r="QK795" s="9"/>
      <c r="QL795" s="9"/>
      <c r="QM795" s="9"/>
      <c r="QN795" s="9"/>
      <c r="QO795" s="9"/>
      <c r="QP795" s="9"/>
      <c r="QQ795" s="9"/>
      <c r="QR795" s="9"/>
      <c r="QS795" s="9"/>
      <c r="QT795" s="9"/>
      <c r="QU795" s="9"/>
      <c r="QV795" s="9"/>
      <c r="QW795" s="9"/>
      <c r="QX795" s="9"/>
      <c r="QY795" s="9"/>
      <c r="QZ795" s="9"/>
      <c r="RA795" s="9"/>
      <c r="RB795" s="9"/>
      <c r="RC795" s="9"/>
      <c r="RD795" s="9"/>
      <c r="RE795" s="9"/>
      <c r="RF795" s="9"/>
      <c r="RG795" s="9"/>
      <c r="RH795" s="9"/>
      <c r="RI795" s="9"/>
      <c r="RJ795" s="9"/>
      <c r="RK795" s="9"/>
      <c r="RL795" s="9"/>
      <c r="RM795" s="9"/>
      <c r="RN795" s="9"/>
      <c r="RO795" s="9"/>
      <c r="RP795" s="9"/>
      <c r="RQ795" s="9"/>
      <c r="RR795" s="9"/>
      <c r="RS795" s="9"/>
      <c r="RT795" s="9"/>
      <c r="RU795" s="9"/>
      <c r="RV795" s="9"/>
      <c r="RW795" s="9"/>
      <c r="RX795" s="9"/>
      <c r="RY795" s="9"/>
      <c r="RZ795" s="9"/>
      <c r="SA795" s="9"/>
      <c r="SB795" s="9"/>
      <c r="SC795" s="9"/>
      <c r="SD795" s="9"/>
      <c r="SE795" s="9"/>
      <c r="SF795" s="9"/>
      <c r="SG795" s="9"/>
      <c r="SH795" s="9"/>
      <c r="SI795" s="9"/>
      <c r="SJ795" s="9"/>
      <c r="SK795" s="9"/>
      <c r="SL795" s="9"/>
      <c r="SM795" s="9"/>
      <c r="SN795" s="9"/>
      <c r="SO795" s="9"/>
      <c r="SP795" s="9"/>
      <c r="SQ795" s="9"/>
      <c r="SR795" s="9"/>
      <c r="SS795" s="9"/>
      <c r="ST795" s="9"/>
      <c r="SU795" s="9"/>
      <c r="SV795" s="9"/>
      <c r="SW795" s="9"/>
      <c r="SX795" s="9"/>
      <c r="SY795" s="9"/>
      <c r="SZ795" s="9"/>
      <c r="TA795" s="9"/>
      <c r="TB795" s="9"/>
      <c r="TC795" s="9"/>
      <c r="TD795" s="9"/>
      <c r="TE795" s="9"/>
      <c r="TF795" s="9"/>
      <c r="TG795" s="9"/>
      <c r="TH795" s="9"/>
      <c r="TI795" s="9"/>
      <c r="TJ795" s="9"/>
      <c r="TK795" s="9"/>
      <c r="TL795" s="9"/>
      <c r="TM795" s="9"/>
      <c r="TN795" s="9"/>
      <c r="TO795" s="9"/>
      <c r="TP795" s="9"/>
      <c r="TQ795" s="9"/>
      <c r="TR795" s="9"/>
      <c r="TS795" s="9"/>
      <c r="TT795" s="9"/>
      <c r="TU795" s="9"/>
      <c r="TV795" s="9"/>
      <c r="TW795" s="9"/>
      <c r="TX795" s="9"/>
      <c r="TY795" s="9"/>
      <c r="TZ795" s="9"/>
      <c r="UA795" s="9"/>
      <c r="UB795" s="9"/>
      <c r="UC795" s="9"/>
      <c r="UD795" s="9"/>
      <c r="UE795" s="9"/>
      <c r="UF795" s="9"/>
      <c r="UG795" s="9"/>
      <c r="UH795" s="9"/>
      <c r="UI795" s="9"/>
      <c r="UJ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9"/>
      <c r="FP796" s="9"/>
      <c r="FQ796" s="9"/>
      <c r="FR796" s="9"/>
      <c r="FS796" s="9"/>
      <c r="FT796" s="9"/>
      <c r="FU796" s="9"/>
      <c r="FV796" s="9"/>
      <c r="FW796" s="9"/>
      <c r="FX796" s="9"/>
      <c r="FY796" s="9"/>
      <c r="FZ796" s="9"/>
      <c r="GA796" s="9"/>
      <c r="GB796" s="9"/>
      <c r="GC796" s="9"/>
      <c r="GD796" s="9"/>
      <c r="GE796" s="9"/>
      <c r="GF796" s="9"/>
      <c r="GG796" s="9"/>
      <c r="GH796" s="9"/>
      <c r="GI796" s="9"/>
      <c r="GJ796" s="9"/>
      <c r="GK796" s="9"/>
      <c r="GL796" s="9"/>
      <c r="GM796" s="9"/>
      <c r="GN796" s="9"/>
      <c r="GO796" s="9"/>
      <c r="GP796" s="9"/>
      <c r="GQ796" s="9"/>
      <c r="GR796" s="9"/>
      <c r="GS796" s="9"/>
      <c r="GT796" s="9"/>
      <c r="GU796" s="9"/>
      <c r="GV796" s="9"/>
      <c r="GW796" s="9"/>
      <c r="GX796" s="9"/>
      <c r="GY796" s="9"/>
      <c r="GZ796" s="9"/>
      <c r="HA796" s="9"/>
      <c r="HB796" s="9"/>
      <c r="HC796" s="9"/>
      <c r="HD796" s="9"/>
      <c r="HE796" s="9"/>
      <c r="HF796" s="9"/>
      <c r="HG796" s="9"/>
      <c r="HH796" s="9"/>
      <c r="HI796" s="9"/>
      <c r="HJ796" s="9"/>
      <c r="HK796" s="9"/>
      <c r="HL796" s="9"/>
      <c r="HM796" s="9"/>
      <c r="HN796" s="9"/>
      <c r="HO796" s="9"/>
      <c r="HP796" s="9"/>
      <c r="HQ796" s="9"/>
      <c r="HR796" s="9"/>
      <c r="HS796" s="9"/>
      <c r="HT796" s="9"/>
      <c r="HU796" s="9"/>
      <c r="HV796" s="9"/>
      <c r="HW796" s="9"/>
      <c r="HX796" s="9"/>
      <c r="HY796" s="9"/>
      <c r="HZ796" s="9"/>
      <c r="IA796" s="9"/>
      <c r="IB796" s="9"/>
      <c r="IC796" s="9"/>
      <c r="ID796" s="9"/>
      <c r="IE796" s="9"/>
      <c r="IF796" s="9"/>
      <c r="IG796" s="9"/>
      <c r="IH796" s="9"/>
      <c r="II796" s="9"/>
      <c r="IJ796" s="9"/>
      <c r="IK796" s="9"/>
      <c r="IL796" s="9"/>
      <c r="IM796" s="9"/>
      <c r="IN796" s="9"/>
      <c r="IO796" s="9"/>
      <c r="IP796" s="9"/>
      <c r="IQ796" s="9"/>
      <c r="IR796" s="9"/>
      <c r="IS796" s="9"/>
      <c r="IT796" s="9"/>
      <c r="IU796" s="9"/>
      <c r="IV796" s="9"/>
      <c r="IW796" s="9"/>
      <c r="IX796" s="9"/>
      <c r="IY796" s="9"/>
      <c r="IZ796" s="9"/>
      <c r="JA796" s="9"/>
      <c r="JB796" s="9"/>
      <c r="JC796" s="9"/>
      <c r="JD796" s="9"/>
      <c r="JE796" s="9"/>
      <c r="JF796" s="9"/>
      <c r="JG796" s="9"/>
      <c r="JH796" s="9"/>
      <c r="JI796" s="9"/>
      <c r="JJ796" s="9"/>
      <c r="JK796" s="9"/>
      <c r="JL796" s="9"/>
      <c r="JM796" s="9"/>
      <c r="JN796" s="9"/>
      <c r="JO796" s="9"/>
      <c r="JP796" s="9"/>
      <c r="JQ796" s="9"/>
      <c r="JR796" s="9"/>
      <c r="JS796" s="9"/>
      <c r="JT796" s="9"/>
      <c r="JU796" s="9"/>
      <c r="JV796" s="9"/>
      <c r="JW796" s="9"/>
      <c r="JX796" s="9"/>
      <c r="JY796" s="9"/>
      <c r="JZ796" s="9"/>
      <c r="KA796" s="9"/>
      <c r="KB796" s="9"/>
      <c r="KC796" s="9"/>
      <c r="KD796" s="9"/>
      <c r="KE796" s="9"/>
      <c r="KF796" s="9"/>
      <c r="KG796" s="9"/>
      <c r="KH796" s="9"/>
      <c r="KI796" s="9"/>
      <c r="KJ796" s="9"/>
      <c r="KK796" s="9"/>
      <c r="KL796" s="9"/>
      <c r="KM796" s="9"/>
      <c r="KN796" s="9"/>
      <c r="KO796" s="9"/>
      <c r="KP796" s="9"/>
      <c r="KQ796" s="9"/>
      <c r="KR796" s="9"/>
      <c r="KS796" s="9"/>
      <c r="KT796" s="9"/>
      <c r="KU796" s="9"/>
      <c r="KV796" s="9"/>
      <c r="KW796" s="9"/>
      <c r="KX796" s="9"/>
      <c r="KY796" s="9"/>
      <c r="KZ796" s="9"/>
      <c r="LA796" s="9"/>
      <c r="LB796" s="9"/>
      <c r="LC796" s="9"/>
      <c r="LD796" s="9"/>
      <c r="LE796" s="9"/>
      <c r="LF796" s="9"/>
      <c r="LG796" s="9"/>
      <c r="LH796" s="9"/>
      <c r="LI796" s="9"/>
      <c r="LJ796" s="9"/>
      <c r="LK796" s="9"/>
      <c r="LL796" s="9"/>
      <c r="LM796" s="9"/>
      <c r="LN796" s="9"/>
      <c r="LO796" s="9"/>
      <c r="LP796" s="9"/>
      <c r="LQ796" s="9"/>
      <c r="LR796" s="9"/>
      <c r="LS796" s="9"/>
      <c r="LT796" s="9"/>
      <c r="LU796" s="9"/>
      <c r="LV796" s="9"/>
      <c r="LW796" s="9"/>
      <c r="LX796" s="9"/>
      <c r="LY796" s="9"/>
      <c r="LZ796" s="9"/>
      <c r="MA796" s="9"/>
      <c r="MB796" s="9"/>
      <c r="MC796" s="9"/>
      <c r="MD796" s="9"/>
      <c r="ME796" s="9"/>
      <c r="MF796" s="9"/>
      <c r="MG796" s="9"/>
      <c r="MH796" s="9"/>
      <c r="MI796" s="9"/>
      <c r="MJ796" s="9"/>
      <c r="MK796" s="9"/>
      <c r="ML796" s="9"/>
      <c r="MM796" s="9"/>
      <c r="MN796" s="9"/>
      <c r="MO796" s="9"/>
      <c r="MP796" s="9"/>
      <c r="MQ796" s="9"/>
      <c r="MR796" s="9"/>
      <c r="MS796" s="9"/>
      <c r="MT796" s="9"/>
      <c r="MU796" s="9"/>
      <c r="MV796" s="9"/>
      <c r="MW796" s="9"/>
      <c r="MX796" s="9"/>
      <c r="MY796" s="9"/>
      <c r="MZ796" s="9"/>
      <c r="NA796" s="9"/>
      <c r="NB796" s="9"/>
      <c r="NC796" s="9"/>
      <c r="ND796" s="9"/>
      <c r="NE796" s="9"/>
      <c r="NF796" s="9"/>
      <c r="NG796" s="9"/>
      <c r="NH796" s="9"/>
      <c r="NI796" s="9"/>
      <c r="NJ796" s="9"/>
      <c r="NK796" s="9"/>
      <c r="NL796" s="9"/>
      <c r="NM796" s="9"/>
      <c r="NN796" s="9"/>
      <c r="NO796" s="9"/>
      <c r="NP796" s="9"/>
      <c r="NQ796" s="9"/>
      <c r="NR796" s="9"/>
      <c r="NS796" s="9"/>
      <c r="NT796" s="9"/>
      <c r="NU796" s="9"/>
      <c r="NV796" s="9"/>
      <c r="NW796" s="9"/>
      <c r="NX796" s="9"/>
      <c r="NY796" s="9"/>
      <c r="NZ796" s="9"/>
      <c r="OA796" s="9"/>
      <c r="OB796" s="9"/>
      <c r="OC796" s="9"/>
      <c r="OD796" s="9"/>
      <c r="OE796" s="9"/>
      <c r="OF796" s="9"/>
      <c r="OG796" s="9"/>
      <c r="OH796" s="9"/>
      <c r="OI796" s="9"/>
      <c r="OJ796" s="9"/>
      <c r="OK796" s="9"/>
      <c r="OL796" s="9"/>
      <c r="OM796" s="9"/>
      <c r="ON796" s="9"/>
      <c r="OO796" s="9"/>
      <c r="OP796" s="9"/>
      <c r="OQ796" s="9"/>
      <c r="OR796" s="9"/>
      <c r="OS796" s="9"/>
      <c r="OT796" s="9"/>
      <c r="OU796" s="9"/>
      <c r="OV796" s="9"/>
      <c r="OW796" s="9"/>
      <c r="OX796" s="9"/>
      <c r="OY796" s="9"/>
      <c r="OZ796" s="9"/>
      <c r="PA796" s="9"/>
      <c r="PB796" s="9"/>
      <c r="PC796" s="9"/>
      <c r="PD796" s="9"/>
      <c r="PE796" s="9"/>
      <c r="PF796" s="9"/>
      <c r="PG796" s="9"/>
      <c r="PH796" s="9"/>
      <c r="PI796" s="9"/>
      <c r="PJ796" s="9"/>
      <c r="PK796" s="9"/>
      <c r="PL796" s="9"/>
      <c r="PM796" s="9"/>
      <c r="PN796" s="9"/>
      <c r="PO796" s="9"/>
      <c r="PP796" s="9"/>
      <c r="PQ796" s="9"/>
      <c r="PR796" s="9"/>
      <c r="PS796" s="9"/>
      <c r="PT796" s="9"/>
      <c r="PU796" s="9"/>
      <c r="PV796" s="9"/>
      <c r="PW796" s="9"/>
      <c r="PX796" s="9"/>
      <c r="PY796" s="9"/>
      <c r="PZ796" s="9"/>
      <c r="QA796" s="9"/>
      <c r="QB796" s="9"/>
      <c r="QC796" s="9"/>
      <c r="QD796" s="9"/>
      <c r="QE796" s="9"/>
      <c r="QF796" s="9"/>
      <c r="QG796" s="9"/>
      <c r="QH796" s="9"/>
      <c r="QI796" s="9"/>
      <c r="QJ796" s="9"/>
      <c r="QK796" s="9"/>
      <c r="QL796" s="9"/>
      <c r="QM796" s="9"/>
      <c r="QN796" s="9"/>
      <c r="QO796" s="9"/>
      <c r="QP796" s="9"/>
      <c r="QQ796" s="9"/>
      <c r="QR796" s="9"/>
      <c r="QS796" s="9"/>
      <c r="QT796" s="9"/>
      <c r="QU796" s="9"/>
      <c r="QV796" s="9"/>
      <c r="QW796" s="9"/>
      <c r="QX796" s="9"/>
      <c r="QY796" s="9"/>
      <c r="QZ796" s="9"/>
      <c r="RA796" s="9"/>
      <c r="RB796" s="9"/>
      <c r="RC796" s="9"/>
      <c r="RD796" s="9"/>
      <c r="RE796" s="9"/>
      <c r="RF796" s="9"/>
      <c r="RG796" s="9"/>
      <c r="RH796" s="9"/>
      <c r="RI796" s="9"/>
      <c r="RJ796" s="9"/>
      <c r="RK796" s="9"/>
      <c r="RL796" s="9"/>
      <c r="RM796" s="9"/>
      <c r="RN796" s="9"/>
      <c r="RO796" s="9"/>
      <c r="RP796" s="9"/>
      <c r="RQ796" s="9"/>
      <c r="RR796" s="9"/>
      <c r="RS796" s="9"/>
      <c r="RT796" s="9"/>
      <c r="RU796" s="9"/>
      <c r="RV796" s="9"/>
      <c r="RW796" s="9"/>
      <c r="RX796" s="9"/>
      <c r="RY796" s="9"/>
      <c r="RZ796" s="9"/>
      <c r="SA796" s="9"/>
      <c r="SB796" s="9"/>
      <c r="SC796" s="9"/>
      <c r="SD796" s="9"/>
      <c r="SE796" s="9"/>
      <c r="SF796" s="9"/>
      <c r="SG796" s="9"/>
      <c r="SH796" s="9"/>
      <c r="SI796" s="9"/>
      <c r="SJ796" s="9"/>
      <c r="SK796" s="9"/>
      <c r="SL796" s="9"/>
      <c r="SM796" s="9"/>
      <c r="SN796" s="9"/>
      <c r="SO796" s="9"/>
      <c r="SP796" s="9"/>
      <c r="SQ796" s="9"/>
      <c r="SR796" s="9"/>
      <c r="SS796" s="9"/>
      <c r="ST796" s="9"/>
      <c r="SU796" s="9"/>
      <c r="SV796" s="9"/>
      <c r="SW796" s="9"/>
      <c r="SX796" s="9"/>
      <c r="SY796" s="9"/>
      <c r="SZ796" s="9"/>
      <c r="TA796" s="9"/>
      <c r="TB796" s="9"/>
      <c r="TC796" s="9"/>
      <c r="TD796" s="9"/>
      <c r="TE796" s="9"/>
      <c r="TF796" s="9"/>
      <c r="TG796" s="9"/>
      <c r="TH796" s="9"/>
      <c r="TI796" s="9"/>
      <c r="TJ796" s="9"/>
      <c r="TK796" s="9"/>
      <c r="TL796" s="9"/>
      <c r="TM796" s="9"/>
      <c r="TN796" s="9"/>
      <c r="TO796" s="9"/>
      <c r="TP796" s="9"/>
      <c r="TQ796" s="9"/>
      <c r="TR796" s="9"/>
      <c r="TS796" s="9"/>
      <c r="TT796" s="9"/>
      <c r="TU796" s="9"/>
      <c r="TV796" s="9"/>
      <c r="TW796" s="9"/>
      <c r="TX796" s="9"/>
      <c r="TY796" s="9"/>
      <c r="TZ796" s="9"/>
      <c r="UA796" s="9"/>
      <c r="UB796" s="9"/>
      <c r="UC796" s="9"/>
      <c r="UD796" s="9"/>
      <c r="UE796" s="9"/>
      <c r="UF796" s="9"/>
      <c r="UG796" s="9"/>
      <c r="UH796" s="9"/>
      <c r="UI796" s="9"/>
      <c r="UJ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9"/>
      <c r="IA797" s="9"/>
      <c r="IB797" s="9"/>
      <c r="IC797" s="9"/>
      <c r="ID797" s="9"/>
      <c r="IE797" s="9"/>
      <c r="IF797" s="9"/>
      <c r="IG797" s="9"/>
      <c r="IH797" s="9"/>
      <c r="II797" s="9"/>
      <c r="IJ797" s="9"/>
      <c r="IK797" s="9"/>
      <c r="IL797" s="9"/>
      <c r="IM797" s="9"/>
      <c r="IN797" s="9"/>
      <c r="IO797" s="9"/>
      <c r="IP797" s="9"/>
      <c r="IQ797" s="9"/>
      <c r="IR797" s="9"/>
      <c r="IS797" s="9"/>
      <c r="IT797" s="9"/>
      <c r="IU797" s="9"/>
      <c r="IV797" s="9"/>
      <c r="IW797" s="9"/>
      <c r="IX797" s="9"/>
      <c r="IY797" s="9"/>
      <c r="IZ797" s="9"/>
      <c r="JA797" s="9"/>
      <c r="JB797" s="9"/>
      <c r="JC797" s="9"/>
      <c r="JD797" s="9"/>
      <c r="JE797" s="9"/>
      <c r="JF797" s="9"/>
      <c r="JG797" s="9"/>
      <c r="JH797" s="9"/>
      <c r="JI797" s="9"/>
      <c r="JJ797" s="9"/>
      <c r="JK797" s="9"/>
      <c r="JL797" s="9"/>
      <c r="JM797" s="9"/>
      <c r="JN797" s="9"/>
      <c r="JO797" s="9"/>
      <c r="JP797" s="9"/>
      <c r="JQ797" s="9"/>
      <c r="JR797" s="9"/>
      <c r="JS797" s="9"/>
      <c r="JT797" s="9"/>
      <c r="JU797" s="9"/>
      <c r="JV797" s="9"/>
      <c r="JW797" s="9"/>
      <c r="JX797" s="9"/>
      <c r="JY797" s="9"/>
      <c r="JZ797" s="9"/>
      <c r="KA797" s="9"/>
      <c r="KB797" s="9"/>
      <c r="KC797" s="9"/>
      <c r="KD797" s="9"/>
      <c r="KE797" s="9"/>
      <c r="KF797" s="9"/>
      <c r="KG797" s="9"/>
      <c r="KH797" s="9"/>
      <c r="KI797" s="9"/>
      <c r="KJ797" s="9"/>
      <c r="KK797" s="9"/>
      <c r="KL797" s="9"/>
      <c r="KM797" s="9"/>
      <c r="KN797" s="9"/>
      <c r="KO797" s="9"/>
      <c r="KP797" s="9"/>
      <c r="KQ797" s="9"/>
      <c r="KR797" s="9"/>
      <c r="KS797" s="9"/>
      <c r="KT797" s="9"/>
      <c r="KU797" s="9"/>
      <c r="KV797" s="9"/>
      <c r="KW797" s="9"/>
      <c r="KX797" s="9"/>
      <c r="KY797" s="9"/>
      <c r="KZ797" s="9"/>
      <c r="LA797" s="9"/>
      <c r="LB797" s="9"/>
      <c r="LC797" s="9"/>
      <c r="LD797" s="9"/>
      <c r="LE797" s="9"/>
      <c r="LF797" s="9"/>
      <c r="LG797" s="9"/>
      <c r="LH797" s="9"/>
      <c r="LI797" s="9"/>
      <c r="LJ797" s="9"/>
      <c r="LK797" s="9"/>
      <c r="LL797" s="9"/>
      <c r="LM797" s="9"/>
      <c r="LN797" s="9"/>
      <c r="LO797" s="9"/>
      <c r="LP797" s="9"/>
      <c r="LQ797" s="9"/>
      <c r="LR797" s="9"/>
      <c r="LS797" s="9"/>
      <c r="LT797" s="9"/>
      <c r="LU797" s="9"/>
      <c r="LV797" s="9"/>
      <c r="LW797" s="9"/>
      <c r="LX797" s="9"/>
      <c r="LY797" s="9"/>
      <c r="LZ797" s="9"/>
      <c r="MA797" s="9"/>
      <c r="MB797" s="9"/>
      <c r="MC797" s="9"/>
      <c r="MD797" s="9"/>
      <c r="ME797" s="9"/>
      <c r="MF797" s="9"/>
      <c r="MG797" s="9"/>
      <c r="MH797" s="9"/>
      <c r="MI797" s="9"/>
      <c r="MJ797" s="9"/>
      <c r="MK797" s="9"/>
      <c r="ML797" s="9"/>
      <c r="MM797" s="9"/>
      <c r="MN797" s="9"/>
      <c r="MO797" s="9"/>
      <c r="MP797" s="9"/>
      <c r="MQ797" s="9"/>
      <c r="MR797" s="9"/>
      <c r="MS797" s="9"/>
      <c r="MT797" s="9"/>
      <c r="MU797" s="9"/>
      <c r="MV797" s="9"/>
      <c r="MW797" s="9"/>
      <c r="MX797" s="9"/>
      <c r="MY797" s="9"/>
      <c r="MZ797" s="9"/>
      <c r="NA797" s="9"/>
      <c r="NB797" s="9"/>
      <c r="NC797" s="9"/>
      <c r="ND797" s="9"/>
      <c r="NE797" s="9"/>
      <c r="NF797" s="9"/>
      <c r="NG797" s="9"/>
      <c r="NH797" s="9"/>
      <c r="NI797" s="9"/>
      <c r="NJ797" s="9"/>
      <c r="NK797" s="9"/>
      <c r="NL797" s="9"/>
      <c r="NM797" s="9"/>
      <c r="NN797" s="9"/>
      <c r="NO797" s="9"/>
      <c r="NP797" s="9"/>
      <c r="NQ797" s="9"/>
      <c r="NR797" s="9"/>
      <c r="NS797" s="9"/>
      <c r="NT797" s="9"/>
      <c r="NU797" s="9"/>
      <c r="NV797" s="9"/>
      <c r="NW797" s="9"/>
      <c r="NX797" s="9"/>
      <c r="NY797" s="9"/>
      <c r="NZ797" s="9"/>
      <c r="OA797" s="9"/>
      <c r="OB797" s="9"/>
      <c r="OC797" s="9"/>
      <c r="OD797" s="9"/>
      <c r="OE797" s="9"/>
      <c r="OF797" s="9"/>
      <c r="OG797" s="9"/>
      <c r="OH797" s="9"/>
      <c r="OI797" s="9"/>
      <c r="OJ797" s="9"/>
      <c r="OK797" s="9"/>
      <c r="OL797" s="9"/>
      <c r="OM797" s="9"/>
      <c r="ON797" s="9"/>
      <c r="OO797" s="9"/>
      <c r="OP797" s="9"/>
      <c r="OQ797" s="9"/>
      <c r="OR797" s="9"/>
      <c r="OS797" s="9"/>
      <c r="OT797" s="9"/>
      <c r="OU797" s="9"/>
      <c r="OV797" s="9"/>
      <c r="OW797" s="9"/>
      <c r="OX797" s="9"/>
      <c r="OY797" s="9"/>
      <c r="OZ797" s="9"/>
      <c r="PA797" s="9"/>
      <c r="PB797" s="9"/>
      <c r="PC797" s="9"/>
      <c r="PD797" s="9"/>
      <c r="PE797" s="9"/>
      <c r="PF797" s="9"/>
      <c r="PG797" s="9"/>
      <c r="PH797" s="9"/>
      <c r="PI797" s="9"/>
      <c r="PJ797" s="9"/>
      <c r="PK797" s="9"/>
      <c r="PL797" s="9"/>
      <c r="PM797" s="9"/>
      <c r="PN797" s="9"/>
      <c r="PO797" s="9"/>
      <c r="PP797" s="9"/>
      <c r="PQ797" s="9"/>
      <c r="PR797" s="9"/>
      <c r="PS797" s="9"/>
      <c r="PT797" s="9"/>
      <c r="PU797" s="9"/>
      <c r="PV797" s="9"/>
      <c r="PW797" s="9"/>
      <c r="PX797" s="9"/>
      <c r="PY797" s="9"/>
      <c r="PZ797" s="9"/>
      <c r="QA797" s="9"/>
      <c r="QB797" s="9"/>
      <c r="QC797" s="9"/>
      <c r="QD797" s="9"/>
      <c r="QE797" s="9"/>
      <c r="QF797" s="9"/>
      <c r="QG797" s="9"/>
      <c r="QH797" s="9"/>
      <c r="QI797" s="9"/>
      <c r="QJ797" s="9"/>
      <c r="QK797" s="9"/>
      <c r="QL797" s="9"/>
      <c r="QM797" s="9"/>
      <c r="QN797" s="9"/>
      <c r="QO797" s="9"/>
      <c r="QP797" s="9"/>
      <c r="QQ797" s="9"/>
      <c r="QR797" s="9"/>
      <c r="QS797" s="9"/>
      <c r="QT797" s="9"/>
      <c r="QU797" s="9"/>
      <c r="QV797" s="9"/>
      <c r="QW797" s="9"/>
      <c r="QX797" s="9"/>
      <c r="QY797" s="9"/>
      <c r="QZ797" s="9"/>
      <c r="RA797" s="9"/>
      <c r="RB797" s="9"/>
      <c r="RC797" s="9"/>
      <c r="RD797" s="9"/>
      <c r="RE797" s="9"/>
      <c r="RF797" s="9"/>
      <c r="RG797" s="9"/>
      <c r="RH797" s="9"/>
      <c r="RI797" s="9"/>
      <c r="RJ797" s="9"/>
      <c r="RK797" s="9"/>
      <c r="RL797" s="9"/>
      <c r="RM797" s="9"/>
      <c r="RN797" s="9"/>
      <c r="RO797" s="9"/>
      <c r="RP797" s="9"/>
      <c r="RQ797" s="9"/>
      <c r="RR797" s="9"/>
      <c r="RS797" s="9"/>
      <c r="RT797" s="9"/>
      <c r="RU797" s="9"/>
      <c r="RV797" s="9"/>
      <c r="RW797" s="9"/>
      <c r="RX797" s="9"/>
      <c r="RY797" s="9"/>
      <c r="RZ797" s="9"/>
      <c r="SA797" s="9"/>
      <c r="SB797" s="9"/>
      <c r="SC797" s="9"/>
      <c r="SD797" s="9"/>
      <c r="SE797" s="9"/>
      <c r="SF797" s="9"/>
      <c r="SG797" s="9"/>
      <c r="SH797" s="9"/>
      <c r="SI797" s="9"/>
      <c r="SJ797" s="9"/>
      <c r="SK797" s="9"/>
      <c r="SL797" s="9"/>
      <c r="SM797" s="9"/>
      <c r="SN797" s="9"/>
      <c r="SO797" s="9"/>
      <c r="SP797" s="9"/>
      <c r="SQ797" s="9"/>
      <c r="SR797" s="9"/>
      <c r="SS797" s="9"/>
      <c r="ST797" s="9"/>
      <c r="SU797" s="9"/>
      <c r="SV797" s="9"/>
      <c r="SW797" s="9"/>
      <c r="SX797" s="9"/>
      <c r="SY797" s="9"/>
      <c r="SZ797" s="9"/>
      <c r="TA797" s="9"/>
      <c r="TB797" s="9"/>
      <c r="TC797" s="9"/>
      <c r="TD797" s="9"/>
      <c r="TE797" s="9"/>
      <c r="TF797" s="9"/>
      <c r="TG797" s="9"/>
      <c r="TH797" s="9"/>
      <c r="TI797" s="9"/>
      <c r="TJ797" s="9"/>
      <c r="TK797" s="9"/>
      <c r="TL797" s="9"/>
      <c r="TM797" s="9"/>
      <c r="TN797" s="9"/>
      <c r="TO797" s="9"/>
      <c r="TP797" s="9"/>
      <c r="TQ797" s="9"/>
      <c r="TR797" s="9"/>
      <c r="TS797" s="9"/>
      <c r="TT797" s="9"/>
      <c r="TU797" s="9"/>
      <c r="TV797" s="9"/>
      <c r="TW797" s="9"/>
      <c r="TX797" s="9"/>
      <c r="TY797" s="9"/>
      <c r="TZ797" s="9"/>
      <c r="UA797" s="9"/>
      <c r="UB797" s="9"/>
      <c r="UC797" s="9"/>
      <c r="UD797" s="9"/>
      <c r="UE797" s="9"/>
      <c r="UF797" s="9"/>
      <c r="UG797" s="9"/>
      <c r="UH797" s="9"/>
      <c r="UI797" s="9"/>
      <c r="UJ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9"/>
      <c r="FS798" s="9"/>
      <c r="FT798" s="9"/>
      <c r="FU798" s="9"/>
      <c r="FV798" s="9"/>
      <c r="FW798" s="9"/>
      <c r="FX798" s="9"/>
      <c r="FY798" s="9"/>
      <c r="FZ798" s="9"/>
      <c r="GA798" s="9"/>
      <c r="GB798" s="9"/>
      <c r="GC798" s="9"/>
      <c r="GD798" s="9"/>
      <c r="GE798" s="9"/>
      <c r="GF798" s="9"/>
      <c r="GG798" s="9"/>
      <c r="GH798" s="9"/>
      <c r="GI798" s="9"/>
      <c r="GJ798" s="9"/>
      <c r="GK798" s="9"/>
      <c r="GL798" s="9"/>
      <c r="GM798" s="9"/>
      <c r="GN798" s="9"/>
      <c r="GO798" s="9"/>
      <c r="GP798" s="9"/>
      <c r="GQ798" s="9"/>
      <c r="GR798" s="9"/>
      <c r="GS798" s="9"/>
      <c r="GT798" s="9"/>
      <c r="GU798" s="9"/>
      <c r="GV798" s="9"/>
      <c r="GW798" s="9"/>
      <c r="GX798" s="9"/>
      <c r="GY798" s="9"/>
      <c r="GZ798" s="9"/>
      <c r="HA798" s="9"/>
      <c r="HB798" s="9"/>
      <c r="HC798" s="9"/>
      <c r="HD798" s="9"/>
      <c r="HE798" s="9"/>
      <c r="HF798" s="9"/>
      <c r="HG798" s="9"/>
      <c r="HH798" s="9"/>
      <c r="HI798" s="9"/>
      <c r="HJ798" s="9"/>
      <c r="HK798" s="9"/>
      <c r="HL798" s="9"/>
      <c r="HM798" s="9"/>
      <c r="HN798" s="9"/>
      <c r="HO798" s="9"/>
      <c r="HP798" s="9"/>
      <c r="HQ798" s="9"/>
      <c r="HR798" s="9"/>
      <c r="HS798" s="9"/>
      <c r="HT798" s="9"/>
      <c r="HU798" s="9"/>
      <c r="HV798" s="9"/>
      <c r="HW798" s="9"/>
      <c r="HX798" s="9"/>
      <c r="HY798" s="9"/>
      <c r="HZ798" s="9"/>
      <c r="IA798" s="9"/>
      <c r="IB798" s="9"/>
      <c r="IC798" s="9"/>
      <c r="ID798" s="9"/>
      <c r="IE798" s="9"/>
      <c r="IF798" s="9"/>
      <c r="IG798" s="9"/>
      <c r="IH798" s="9"/>
      <c r="II798" s="9"/>
      <c r="IJ798" s="9"/>
      <c r="IK798" s="9"/>
      <c r="IL798" s="9"/>
      <c r="IM798" s="9"/>
      <c r="IN798" s="9"/>
      <c r="IO798" s="9"/>
      <c r="IP798" s="9"/>
      <c r="IQ798" s="9"/>
      <c r="IR798" s="9"/>
      <c r="IS798" s="9"/>
      <c r="IT798" s="9"/>
      <c r="IU798" s="9"/>
      <c r="IV798" s="9"/>
      <c r="IW798" s="9"/>
      <c r="IX798" s="9"/>
      <c r="IY798" s="9"/>
      <c r="IZ798" s="9"/>
      <c r="JA798" s="9"/>
      <c r="JB798" s="9"/>
      <c r="JC798" s="9"/>
      <c r="JD798" s="9"/>
      <c r="JE798" s="9"/>
      <c r="JF798" s="9"/>
      <c r="JG798" s="9"/>
      <c r="JH798" s="9"/>
      <c r="JI798" s="9"/>
      <c r="JJ798" s="9"/>
      <c r="JK798" s="9"/>
      <c r="JL798" s="9"/>
      <c r="JM798" s="9"/>
      <c r="JN798" s="9"/>
      <c r="JO798" s="9"/>
      <c r="JP798" s="9"/>
      <c r="JQ798" s="9"/>
      <c r="JR798" s="9"/>
      <c r="JS798" s="9"/>
      <c r="JT798" s="9"/>
      <c r="JU798" s="9"/>
      <c r="JV798" s="9"/>
      <c r="JW798" s="9"/>
      <c r="JX798" s="9"/>
      <c r="JY798" s="9"/>
      <c r="JZ798" s="9"/>
      <c r="KA798" s="9"/>
      <c r="KB798" s="9"/>
      <c r="KC798" s="9"/>
      <c r="KD798" s="9"/>
      <c r="KE798" s="9"/>
      <c r="KF798" s="9"/>
      <c r="KG798" s="9"/>
      <c r="KH798" s="9"/>
      <c r="KI798" s="9"/>
      <c r="KJ798" s="9"/>
      <c r="KK798" s="9"/>
      <c r="KL798" s="9"/>
      <c r="KM798" s="9"/>
      <c r="KN798" s="9"/>
      <c r="KO798" s="9"/>
      <c r="KP798" s="9"/>
      <c r="KQ798" s="9"/>
      <c r="KR798" s="9"/>
      <c r="KS798" s="9"/>
      <c r="KT798" s="9"/>
      <c r="KU798" s="9"/>
      <c r="KV798" s="9"/>
      <c r="KW798" s="9"/>
      <c r="KX798" s="9"/>
      <c r="KY798" s="9"/>
      <c r="KZ798" s="9"/>
      <c r="LA798" s="9"/>
      <c r="LB798" s="9"/>
      <c r="LC798" s="9"/>
      <c r="LD798" s="9"/>
      <c r="LE798" s="9"/>
      <c r="LF798" s="9"/>
      <c r="LG798" s="9"/>
      <c r="LH798" s="9"/>
      <c r="LI798" s="9"/>
      <c r="LJ798" s="9"/>
      <c r="LK798" s="9"/>
      <c r="LL798" s="9"/>
      <c r="LM798" s="9"/>
      <c r="LN798" s="9"/>
      <c r="LO798" s="9"/>
      <c r="LP798" s="9"/>
      <c r="LQ798" s="9"/>
      <c r="LR798" s="9"/>
      <c r="LS798" s="9"/>
      <c r="LT798" s="9"/>
      <c r="LU798" s="9"/>
      <c r="LV798" s="9"/>
      <c r="LW798" s="9"/>
      <c r="LX798" s="9"/>
      <c r="LY798" s="9"/>
      <c r="LZ798" s="9"/>
      <c r="MA798" s="9"/>
      <c r="MB798" s="9"/>
      <c r="MC798" s="9"/>
      <c r="MD798" s="9"/>
      <c r="ME798" s="9"/>
      <c r="MF798" s="9"/>
      <c r="MG798" s="9"/>
      <c r="MH798" s="9"/>
      <c r="MI798" s="9"/>
      <c r="MJ798" s="9"/>
      <c r="MK798" s="9"/>
      <c r="ML798" s="9"/>
      <c r="MM798" s="9"/>
      <c r="MN798" s="9"/>
      <c r="MO798" s="9"/>
      <c r="MP798" s="9"/>
      <c r="MQ798" s="9"/>
      <c r="MR798" s="9"/>
      <c r="MS798" s="9"/>
      <c r="MT798" s="9"/>
      <c r="MU798" s="9"/>
      <c r="MV798" s="9"/>
      <c r="MW798" s="9"/>
      <c r="MX798" s="9"/>
      <c r="MY798" s="9"/>
      <c r="MZ798" s="9"/>
      <c r="NA798" s="9"/>
      <c r="NB798" s="9"/>
      <c r="NC798" s="9"/>
      <c r="ND798" s="9"/>
      <c r="NE798" s="9"/>
      <c r="NF798" s="9"/>
      <c r="NG798" s="9"/>
      <c r="NH798" s="9"/>
      <c r="NI798" s="9"/>
      <c r="NJ798" s="9"/>
      <c r="NK798" s="9"/>
      <c r="NL798" s="9"/>
      <c r="NM798" s="9"/>
      <c r="NN798" s="9"/>
      <c r="NO798" s="9"/>
      <c r="NP798" s="9"/>
      <c r="NQ798" s="9"/>
      <c r="NR798" s="9"/>
      <c r="NS798" s="9"/>
      <c r="NT798" s="9"/>
      <c r="NU798" s="9"/>
      <c r="NV798" s="9"/>
      <c r="NW798" s="9"/>
      <c r="NX798" s="9"/>
      <c r="NY798" s="9"/>
      <c r="NZ798" s="9"/>
      <c r="OA798" s="9"/>
      <c r="OB798" s="9"/>
      <c r="OC798" s="9"/>
      <c r="OD798" s="9"/>
      <c r="OE798" s="9"/>
      <c r="OF798" s="9"/>
      <c r="OG798" s="9"/>
      <c r="OH798" s="9"/>
      <c r="OI798" s="9"/>
      <c r="OJ798" s="9"/>
      <c r="OK798" s="9"/>
      <c r="OL798" s="9"/>
      <c r="OM798" s="9"/>
      <c r="ON798" s="9"/>
      <c r="OO798" s="9"/>
      <c r="OP798" s="9"/>
      <c r="OQ798" s="9"/>
      <c r="OR798" s="9"/>
      <c r="OS798" s="9"/>
      <c r="OT798" s="9"/>
      <c r="OU798" s="9"/>
      <c r="OV798" s="9"/>
      <c r="OW798" s="9"/>
      <c r="OX798" s="9"/>
      <c r="OY798" s="9"/>
      <c r="OZ798" s="9"/>
      <c r="PA798" s="9"/>
      <c r="PB798" s="9"/>
      <c r="PC798" s="9"/>
      <c r="PD798" s="9"/>
      <c r="PE798" s="9"/>
      <c r="PF798" s="9"/>
      <c r="PG798" s="9"/>
      <c r="PH798" s="9"/>
      <c r="PI798" s="9"/>
      <c r="PJ798" s="9"/>
      <c r="PK798" s="9"/>
      <c r="PL798" s="9"/>
      <c r="PM798" s="9"/>
      <c r="PN798" s="9"/>
      <c r="PO798" s="9"/>
      <c r="PP798" s="9"/>
      <c r="PQ798" s="9"/>
      <c r="PR798" s="9"/>
      <c r="PS798" s="9"/>
      <c r="PT798" s="9"/>
      <c r="PU798" s="9"/>
      <c r="PV798" s="9"/>
      <c r="PW798" s="9"/>
      <c r="PX798" s="9"/>
      <c r="PY798" s="9"/>
      <c r="PZ798" s="9"/>
      <c r="QA798" s="9"/>
      <c r="QB798" s="9"/>
      <c r="QC798" s="9"/>
      <c r="QD798" s="9"/>
      <c r="QE798" s="9"/>
      <c r="QF798" s="9"/>
      <c r="QG798" s="9"/>
      <c r="QH798" s="9"/>
      <c r="QI798" s="9"/>
      <c r="QJ798" s="9"/>
      <c r="QK798" s="9"/>
      <c r="QL798" s="9"/>
      <c r="QM798" s="9"/>
      <c r="QN798" s="9"/>
      <c r="QO798" s="9"/>
      <c r="QP798" s="9"/>
      <c r="QQ798" s="9"/>
      <c r="QR798" s="9"/>
      <c r="QS798" s="9"/>
      <c r="QT798" s="9"/>
      <c r="QU798" s="9"/>
      <c r="QV798" s="9"/>
      <c r="QW798" s="9"/>
      <c r="QX798" s="9"/>
      <c r="QY798" s="9"/>
      <c r="QZ798" s="9"/>
      <c r="RA798" s="9"/>
      <c r="RB798" s="9"/>
      <c r="RC798" s="9"/>
      <c r="RD798" s="9"/>
      <c r="RE798" s="9"/>
      <c r="RF798" s="9"/>
      <c r="RG798" s="9"/>
      <c r="RH798" s="9"/>
      <c r="RI798" s="9"/>
      <c r="RJ798" s="9"/>
      <c r="RK798" s="9"/>
      <c r="RL798" s="9"/>
      <c r="RM798" s="9"/>
      <c r="RN798" s="9"/>
      <c r="RO798" s="9"/>
      <c r="RP798" s="9"/>
      <c r="RQ798" s="9"/>
      <c r="RR798" s="9"/>
      <c r="RS798" s="9"/>
      <c r="RT798" s="9"/>
      <c r="RU798" s="9"/>
      <c r="RV798" s="9"/>
      <c r="RW798" s="9"/>
      <c r="RX798" s="9"/>
      <c r="RY798" s="9"/>
      <c r="RZ798" s="9"/>
      <c r="SA798" s="9"/>
      <c r="SB798" s="9"/>
      <c r="SC798" s="9"/>
      <c r="SD798" s="9"/>
      <c r="SE798" s="9"/>
      <c r="SF798" s="9"/>
      <c r="SG798" s="9"/>
      <c r="SH798" s="9"/>
      <c r="SI798" s="9"/>
      <c r="SJ798" s="9"/>
      <c r="SK798" s="9"/>
      <c r="SL798" s="9"/>
      <c r="SM798" s="9"/>
      <c r="SN798" s="9"/>
      <c r="SO798" s="9"/>
      <c r="SP798" s="9"/>
      <c r="SQ798" s="9"/>
      <c r="SR798" s="9"/>
      <c r="SS798" s="9"/>
      <c r="ST798" s="9"/>
      <c r="SU798" s="9"/>
      <c r="SV798" s="9"/>
      <c r="SW798" s="9"/>
      <c r="SX798" s="9"/>
      <c r="SY798" s="9"/>
      <c r="SZ798" s="9"/>
      <c r="TA798" s="9"/>
      <c r="TB798" s="9"/>
      <c r="TC798" s="9"/>
      <c r="TD798" s="9"/>
      <c r="TE798" s="9"/>
      <c r="TF798" s="9"/>
      <c r="TG798" s="9"/>
      <c r="TH798" s="9"/>
      <c r="TI798" s="9"/>
      <c r="TJ798" s="9"/>
      <c r="TK798" s="9"/>
      <c r="TL798" s="9"/>
      <c r="TM798" s="9"/>
      <c r="TN798" s="9"/>
      <c r="TO798" s="9"/>
      <c r="TP798" s="9"/>
      <c r="TQ798" s="9"/>
      <c r="TR798" s="9"/>
      <c r="TS798" s="9"/>
      <c r="TT798" s="9"/>
      <c r="TU798" s="9"/>
      <c r="TV798" s="9"/>
      <c r="TW798" s="9"/>
      <c r="TX798" s="9"/>
      <c r="TY798" s="9"/>
      <c r="TZ798" s="9"/>
      <c r="UA798" s="9"/>
      <c r="UB798" s="9"/>
      <c r="UC798" s="9"/>
      <c r="UD798" s="9"/>
      <c r="UE798" s="9"/>
      <c r="UF798" s="9"/>
      <c r="UG798" s="9"/>
      <c r="UH798" s="9"/>
      <c r="UI798" s="9"/>
      <c r="UJ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9"/>
      <c r="IA799" s="9"/>
      <c r="IB799" s="9"/>
      <c r="IC799" s="9"/>
      <c r="ID799" s="9"/>
      <c r="IE799" s="9"/>
      <c r="IF799" s="9"/>
      <c r="IG799" s="9"/>
      <c r="IH799" s="9"/>
      <c r="II799" s="9"/>
      <c r="IJ799" s="9"/>
      <c r="IK799" s="9"/>
      <c r="IL799" s="9"/>
      <c r="IM799" s="9"/>
      <c r="IN799" s="9"/>
      <c r="IO799" s="9"/>
      <c r="IP799" s="9"/>
      <c r="IQ799" s="9"/>
      <c r="IR799" s="9"/>
      <c r="IS799" s="9"/>
      <c r="IT799" s="9"/>
      <c r="IU799" s="9"/>
      <c r="IV799" s="9"/>
      <c r="IW799" s="9"/>
      <c r="IX799" s="9"/>
      <c r="IY799" s="9"/>
      <c r="IZ799" s="9"/>
      <c r="JA799" s="9"/>
      <c r="JB799" s="9"/>
      <c r="JC799" s="9"/>
      <c r="JD799" s="9"/>
      <c r="JE799" s="9"/>
      <c r="JF799" s="9"/>
      <c r="JG799" s="9"/>
      <c r="JH799" s="9"/>
      <c r="JI799" s="9"/>
      <c r="JJ799" s="9"/>
      <c r="JK799" s="9"/>
      <c r="JL799" s="9"/>
      <c r="JM799" s="9"/>
      <c r="JN799" s="9"/>
      <c r="JO799" s="9"/>
      <c r="JP799" s="9"/>
      <c r="JQ799" s="9"/>
      <c r="JR799" s="9"/>
      <c r="JS799" s="9"/>
      <c r="JT799" s="9"/>
      <c r="JU799" s="9"/>
      <c r="JV799" s="9"/>
      <c r="JW799" s="9"/>
      <c r="JX799" s="9"/>
      <c r="JY799" s="9"/>
      <c r="JZ799" s="9"/>
      <c r="KA799" s="9"/>
      <c r="KB799" s="9"/>
      <c r="KC799" s="9"/>
      <c r="KD799" s="9"/>
      <c r="KE799" s="9"/>
      <c r="KF799" s="9"/>
      <c r="KG799" s="9"/>
      <c r="KH799" s="9"/>
      <c r="KI799" s="9"/>
      <c r="KJ799" s="9"/>
      <c r="KK799" s="9"/>
      <c r="KL799" s="9"/>
      <c r="KM799" s="9"/>
      <c r="KN799" s="9"/>
      <c r="KO799" s="9"/>
      <c r="KP799" s="9"/>
      <c r="KQ799" s="9"/>
      <c r="KR799" s="9"/>
      <c r="KS799" s="9"/>
      <c r="KT799" s="9"/>
      <c r="KU799" s="9"/>
      <c r="KV799" s="9"/>
      <c r="KW799" s="9"/>
      <c r="KX799" s="9"/>
      <c r="KY799" s="9"/>
      <c r="KZ799" s="9"/>
      <c r="LA799" s="9"/>
      <c r="LB799" s="9"/>
      <c r="LC799" s="9"/>
      <c r="LD799" s="9"/>
      <c r="LE799" s="9"/>
      <c r="LF799" s="9"/>
      <c r="LG799" s="9"/>
      <c r="LH799" s="9"/>
      <c r="LI799" s="9"/>
      <c r="LJ799" s="9"/>
      <c r="LK799" s="9"/>
      <c r="LL799" s="9"/>
      <c r="LM799" s="9"/>
      <c r="LN799" s="9"/>
      <c r="LO799" s="9"/>
      <c r="LP799" s="9"/>
      <c r="LQ799" s="9"/>
      <c r="LR799" s="9"/>
      <c r="LS799" s="9"/>
      <c r="LT799" s="9"/>
      <c r="LU799" s="9"/>
      <c r="LV799" s="9"/>
      <c r="LW799" s="9"/>
      <c r="LX799" s="9"/>
      <c r="LY799" s="9"/>
      <c r="LZ799" s="9"/>
      <c r="MA799" s="9"/>
      <c r="MB799" s="9"/>
      <c r="MC799" s="9"/>
      <c r="MD799" s="9"/>
      <c r="ME799" s="9"/>
      <c r="MF799" s="9"/>
      <c r="MG799" s="9"/>
      <c r="MH799" s="9"/>
      <c r="MI799" s="9"/>
      <c r="MJ799" s="9"/>
      <c r="MK799" s="9"/>
      <c r="ML799" s="9"/>
      <c r="MM799" s="9"/>
      <c r="MN799" s="9"/>
      <c r="MO799" s="9"/>
      <c r="MP799" s="9"/>
      <c r="MQ799" s="9"/>
      <c r="MR799" s="9"/>
      <c r="MS799" s="9"/>
      <c r="MT799" s="9"/>
      <c r="MU799" s="9"/>
      <c r="MV799" s="9"/>
      <c r="MW799" s="9"/>
      <c r="MX799" s="9"/>
      <c r="MY799" s="9"/>
      <c r="MZ799" s="9"/>
      <c r="NA799" s="9"/>
      <c r="NB799" s="9"/>
      <c r="NC799" s="9"/>
      <c r="ND799" s="9"/>
      <c r="NE799" s="9"/>
      <c r="NF799" s="9"/>
      <c r="NG799" s="9"/>
      <c r="NH799" s="9"/>
      <c r="NI799" s="9"/>
      <c r="NJ799" s="9"/>
      <c r="NK799" s="9"/>
      <c r="NL799" s="9"/>
      <c r="NM799" s="9"/>
      <c r="NN799" s="9"/>
      <c r="NO799" s="9"/>
      <c r="NP799" s="9"/>
      <c r="NQ799" s="9"/>
      <c r="NR799" s="9"/>
      <c r="NS799" s="9"/>
      <c r="NT799" s="9"/>
      <c r="NU799" s="9"/>
      <c r="NV799" s="9"/>
      <c r="NW799" s="9"/>
      <c r="NX799" s="9"/>
      <c r="NY799" s="9"/>
      <c r="NZ799" s="9"/>
      <c r="OA799" s="9"/>
      <c r="OB799" s="9"/>
      <c r="OC799" s="9"/>
      <c r="OD799" s="9"/>
      <c r="OE799" s="9"/>
      <c r="OF799" s="9"/>
      <c r="OG799" s="9"/>
      <c r="OH799" s="9"/>
      <c r="OI799" s="9"/>
      <c r="OJ799" s="9"/>
      <c r="OK799" s="9"/>
      <c r="OL799" s="9"/>
      <c r="OM799" s="9"/>
      <c r="ON799" s="9"/>
      <c r="OO799" s="9"/>
      <c r="OP799" s="9"/>
      <c r="OQ799" s="9"/>
      <c r="OR799" s="9"/>
      <c r="OS799" s="9"/>
      <c r="OT799" s="9"/>
      <c r="OU799" s="9"/>
      <c r="OV799" s="9"/>
      <c r="OW799" s="9"/>
      <c r="OX799" s="9"/>
      <c r="OY799" s="9"/>
      <c r="OZ799" s="9"/>
      <c r="PA799" s="9"/>
      <c r="PB799" s="9"/>
      <c r="PC799" s="9"/>
      <c r="PD799" s="9"/>
      <c r="PE799" s="9"/>
      <c r="PF799" s="9"/>
      <c r="PG799" s="9"/>
      <c r="PH799" s="9"/>
      <c r="PI799" s="9"/>
      <c r="PJ799" s="9"/>
      <c r="PK799" s="9"/>
      <c r="PL799" s="9"/>
      <c r="PM799" s="9"/>
      <c r="PN799" s="9"/>
      <c r="PO799" s="9"/>
      <c r="PP799" s="9"/>
      <c r="PQ799" s="9"/>
      <c r="PR799" s="9"/>
      <c r="PS799" s="9"/>
      <c r="PT799" s="9"/>
      <c r="PU799" s="9"/>
      <c r="PV799" s="9"/>
      <c r="PW799" s="9"/>
      <c r="PX799" s="9"/>
      <c r="PY799" s="9"/>
      <c r="PZ799" s="9"/>
      <c r="QA799" s="9"/>
      <c r="QB799" s="9"/>
      <c r="QC799" s="9"/>
      <c r="QD799" s="9"/>
      <c r="QE799" s="9"/>
      <c r="QF799" s="9"/>
      <c r="QG799" s="9"/>
      <c r="QH799" s="9"/>
      <c r="QI799" s="9"/>
      <c r="QJ799" s="9"/>
      <c r="QK799" s="9"/>
      <c r="QL799" s="9"/>
      <c r="QM799" s="9"/>
      <c r="QN799" s="9"/>
      <c r="QO799" s="9"/>
      <c r="QP799" s="9"/>
      <c r="QQ799" s="9"/>
      <c r="QR799" s="9"/>
      <c r="QS799" s="9"/>
      <c r="QT799" s="9"/>
      <c r="QU799" s="9"/>
      <c r="QV799" s="9"/>
      <c r="QW799" s="9"/>
      <c r="QX799" s="9"/>
      <c r="QY799" s="9"/>
      <c r="QZ799" s="9"/>
      <c r="RA799" s="9"/>
      <c r="RB799" s="9"/>
      <c r="RC799" s="9"/>
      <c r="RD799" s="9"/>
      <c r="RE799" s="9"/>
      <c r="RF799" s="9"/>
      <c r="RG799" s="9"/>
      <c r="RH799" s="9"/>
      <c r="RI799" s="9"/>
      <c r="RJ799" s="9"/>
      <c r="RK799" s="9"/>
      <c r="RL799" s="9"/>
      <c r="RM799" s="9"/>
      <c r="RN799" s="9"/>
      <c r="RO799" s="9"/>
      <c r="RP799" s="9"/>
      <c r="RQ799" s="9"/>
      <c r="RR799" s="9"/>
      <c r="RS799" s="9"/>
      <c r="RT799" s="9"/>
      <c r="RU799" s="9"/>
      <c r="RV799" s="9"/>
      <c r="RW799" s="9"/>
      <c r="RX799" s="9"/>
      <c r="RY799" s="9"/>
      <c r="RZ799" s="9"/>
      <c r="SA799" s="9"/>
      <c r="SB799" s="9"/>
      <c r="SC799" s="9"/>
      <c r="SD799" s="9"/>
      <c r="SE799" s="9"/>
      <c r="SF799" s="9"/>
      <c r="SG799" s="9"/>
      <c r="SH799" s="9"/>
      <c r="SI799" s="9"/>
      <c r="SJ799" s="9"/>
      <c r="SK799" s="9"/>
      <c r="SL799" s="9"/>
      <c r="SM799" s="9"/>
      <c r="SN799" s="9"/>
      <c r="SO799" s="9"/>
      <c r="SP799" s="9"/>
      <c r="SQ799" s="9"/>
      <c r="SR799" s="9"/>
      <c r="SS799" s="9"/>
      <c r="ST799" s="9"/>
      <c r="SU799" s="9"/>
      <c r="SV799" s="9"/>
      <c r="SW799" s="9"/>
      <c r="SX799" s="9"/>
      <c r="SY799" s="9"/>
      <c r="SZ799" s="9"/>
      <c r="TA799" s="9"/>
      <c r="TB799" s="9"/>
      <c r="TC799" s="9"/>
      <c r="TD799" s="9"/>
      <c r="TE799" s="9"/>
      <c r="TF799" s="9"/>
      <c r="TG799" s="9"/>
      <c r="TH799" s="9"/>
      <c r="TI799" s="9"/>
      <c r="TJ799" s="9"/>
      <c r="TK799" s="9"/>
      <c r="TL799" s="9"/>
      <c r="TM799" s="9"/>
      <c r="TN799" s="9"/>
      <c r="TO799" s="9"/>
      <c r="TP799" s="9"/>
      <c r="TQ799" s="9"/>
      <c r="TR799" s="9"/>
      <c r="TS799" s="9"/>
      <c r="TT799" s="9"/>
      <c r="TU799" s="9"/>
      <c r="TV799" s="9"/>
      <c r="TW799" s="9"/>
      <c r="TX799" s="9"/>
      <c r="TY799" s="9"/>
      <c r="TZ799" s="9"/>
      <c r="UA799" s="9"/>
      <c r="UB799" s="9"/>
      <c r="UC799" s="9"/>
      <c r="UD799" s="9"/>
      <c r="UE799" s="9"/>
      <c r="UF799" s="9"/>
      <c r="UG799" s="9"/>
      <c r="UH799" s="9"/>
      <c r="UI799" s="9"/>
      <c r="UJ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  <c r="GA800" s="9"/>
      <c r="GB800" s="9"/>
      <c r="GC800" s="9"/>
      <c r="GD800" s="9"/>
      <c r="GE800" s="9"/>
      <c r="GF800" s="9"/>
      <c r="GG800" s="9"/>
      <c r="GH800" s="9"/>
      <c r="GI800" s="9"/>
      <c r="GJ800" s="9"/>
      <c r="GK800" s="9"/>
      <c r="GL800" s="9"/>
      <c r="GM800" s="9"/>
      <c r="GN800" s="9"/>
      <c r="GO800" s="9"/>
      <c r="GP800" s="9"/>
      <c r="GQ800" s="9"/>
      <c r="GR800" s="9"/>
      <c r="GS800" s="9"/>
      <c r="GT800" s="9"/>
      <c r="GU800" s="9"/>
      <c r="GV800" s="9"/>
      <c r="GW800" s="9"/>
      <c r="GX800" s="9"/>
      <c r="GY800" s="9"/>
      <c r="GZ800" s="9"/>
      <c r="HA800" s="9"/>
      <c r="HB800" s="9"/>
      <c r="HC800" s="9"/>
      <c r="HD800" s="9"/>
      <c r="HE800" s="9"/>
      <c r="HF800" s="9"/>
      <c r="HG800" s="9"/>
      <c r="HH800" s="9"/>
      <c r="HI800" s="9"/>
      <c r="HJ800" s="9"/>
      <c r="HK800" s="9"/>
      <c r="HL800" s="9"/>
      <c r="HM800" s="9"/>
      <c r="HN800" s="9"/>
      <c r="HO800" s="9"/>
      <c r="HP800" s="9"/>
      <c r="HQ800" s="9"/>
      <c r="HR800" s="9"/>
      <c r="HS800" s="9"/>
      <c r="HT800" s="9"/>
      <c r="HU800" s="9"/>
      <c r="HV800" s="9"/>
      <c r="HW800" s="9"/>
      <c r="HX800" s="9"/>
      <c r="HY800" s="9"/>
      <c r="HZ800" s="9"/>
      <c r="IA800" s="9"/>
      <c r="IB800" s="9"/>
      <c r="IC800" s="9"/>
      <c r="ID800" s="9"/>
      <c r="IE800" s="9"/>
      <c r="IF800" s="9"/>
      <c r="IG800" s="9"/>
      <c r="IH800" s="9"/>
      <c r="II800" s="9"/>
      <c r="IJ800" s="9"/>
      <c r="IK800" s="9"/>
      <c r="IL800" s="9"/>
      <c r="IM800" s="9"/>
      <c r="IN800" s="9"/>
      <c r="IO800" s="9"/>
      <c r="IP800" s="9"/>
      <c r="IQ800" s="9"/>
      <c r="IR800" s="9"/>
      <c r="IS800" s="9"/>
      <c r="IT800" s="9"/>
      <c r="IU800" s="9"/>
      <c r="IV800" s="9"/>
      <c r="IW800" s="9"/>
      <c r="IX800" s="9"/>
      <c r="IY800" s="9"/>
      <c r="IZ800" s="9"/>
      <c r="JA800" s="9"/>
      <c r="JB800" s="9"/>
      <c r="JC800" s="9"/>
      <c r="JD800" s="9"/>
      <c r="JE800" s="9"/>
      <c r="JF800" s="9"/>
      <c r="JG800" s="9"/>
      <c r="JH800" s="9"/>
      <c r="JI800" s="9"/>
      <c r="JJ800" s="9"/>
      <c r="JK800" s="9"/>
      <c r="JL800" s="9"/>
      <c r="JM800" s="9"/>
      <c r="JN800" s="9"/>
      <c r="JO800" s="9"/>
      <c r="JP800" s="9"/>
      <c r="JQ800" s="9"/>
      <c r="JR800" s="9"/>
      <c r="JS800" s="9"/>
      <c r="JT800" s="9"/>
      <c r="JU800" s="9"/>
      <c r="JV800" s="9"/>
      <c r="JW800" s="9"/>
      <c r="JX800" s="9"/>
      <c r="JY800" s="9"/>
      <c r="JZ800" s="9"/>
      <c r="KA800" s="9"/>
      <c r="KB800" s="9"/>
      <c r="KC800" s="9"/>
      <c r="KD800" s="9"/>
      <c r="KE800" s="9"/>
      <c r="KF800" s="9"/>
      <c r="KG800" s="9"/>
      <c r="KH800" s="9"/>
      <c r="KI800" s="9"/>
      <c r="KJ800" s="9"/>
      <c r="KK800" s="9"/>
      <c r="KL800" s="9"/>
      <c r="KM800" s="9"/>
      <c r="KN800" s="9"/>
      <c r="KO800" s="9"/>
      <c r="KP800" s="9"/>
      <c r="KQ800" s="9"/>
      <c r="KR800" s="9"/>
      <c r="KS800" s="9"/>
      <c r="KT800" s="9"/>
      <c r="KU800" s="9"/>
      <c r="KV800" s="9"/>
      <c r="KW800" s="9"/>
      <c r="KX800" s="9"/>
      <c r="KY800" s="9"/>
      <c r="KZ800" s="9"/>
      <c r="LA800" s="9"/>
      <c r="LB800" s="9"/>
      <c r="LC800" s="9"/>
      <c r="LD800" s="9"/>
      <c r="LE800" s="9"/>
      <c r="LF800" s="9"/>
      <c r="LG800" s="9"/>
      <c r="LH800" s="9"/>
      <c r="LI800" s="9"/>
      <c r="LJ800" s="9"/>
      <c r="LK800" s="9"/>
      <c r="LL800" s="9"/>
      <c r="LM800" s="9"/>
      <c r="LN800" s="9"/>
      <c r="LO800" s="9"/>
      <c r="LP800" s="9"/>
      <c r="LQ800" s="9"/>
      <c r="LR800" s="9"/>
      <c r="LS800" s="9"/>
      <c r="LT800" s="9"/>
      <c r="LU800" s="9"/>
      <c r="LV800" s="9"/>
      <c r="LW800" s="9"/>
      <c r="LX800" s="9"/>
      <c r="LY800" s="9"/>
      <c r="LZ800" s="9"/>
      <c r="MA800" s="9"/>
      <c r="MB800" s="9"/>
      <c r="MC800" s="9"/>
      <c r="MD800" s="9"/>
      <c r="ME800" s="9"/>
      <c r="MF800" s="9"/>
      <c r="MG800" s="9"/>
      <c r="MH800" s="9"/>
      <c r="MI800" s="9"/>
      <c r="MJ800" s="9"/>
      <c r="MK800" s="9"/>
      <c r="ML800" s="9"/>
      <c r="MM800" s="9"/>
      <c r="MN800" s="9"/>
      <c r="MO800" s="9"/>
      <c r="MP800" s="9"/>
      <c r="MQ800" s="9"/>
      <c r="MR800" s="9"/>
      <c r="MS800" s="9"/>
      <c r="MT800" s="9"/>
      <c r="MU800" s="9"/>
      <c r="MV800" s="9"/>
      <c r="MW800" s="9"/>
      <c r="MX800" s="9"/>
      <c r="MY800" s="9"/>
      <c r="MZ800" s="9"/>
      <c r="NA800" s="9"/>
      <c r="NB800" s="9"/>
      <c r="NC800" s="9"/>
      <c r="ND800" s="9"/>
      <c r="NE800" s="9"/>
      <c r="NF800" s="9"/>
      <c r="NG800" s="9"/>
      <c r="NH800" s="9"/>
      <c r="NI800" s="9"/>
      <c r="NJ800" s="9"/>
      <c r="NK800" s="9"/>
      <c r="NL800" s="9"/>
      <c r="NM800" s="9"/>
      <c r="NN800" s="9"/>
      <c r="NO800" s="9"/>
      <c r="NP800" s="9"/>
      <c r="NQ800" s="9"/>
      <c r="NR800" s="9"/>
      <c r="NS800" s="9"/>
      <c r="NT800" s="9"/>
      <c r="NU800" s="9"/>
      <c r="NV800" s="9"/>
      <c r="NW800" s="9"/>
      <c r="NX800" s="9"/>
      <c r="NY800" s="9"/>
      <c r="NZ800" s="9"/>
      <c r="OA800" s="9"/>
      <c r="OB800" s="9"/>
      <c r="OC800" s="9"/>
      <c r="OD800" s="9"/>
      <c r="OE800" s="9"/>
      <c r="OF800" s="9"/>
      <c r="OG800" s="9"/>
      <c r="OH800" s="9"/>
      <c r="OI800" s="9"/>
      <c r="OJ800" s="9"/>
      <c r="OK800" s="9"/>
      <c r="OL800" s="9"/>
      <c r="OM800" s="9"/>
      <c r="ON800" s="9"/>
      <c r="OO800" s="9"/>
      <c r="OP800" s="9"/>
      <c r="OQ800" s="9"/>
      <c r="OR800" s="9"/>
      <c r="OS800" s="9"/>
      <c r="OT800" s="9"/>
      <c r="OU800" s="9"/>
      <c r="OV800" s="9"/>
      <c r="OW800" s="9"/>
      <c r="OX800" s="9"/>
      <c r="OY800" s="9"/>
      <c r="OZ800" s="9"/>
      <c r="PA800" s="9"/>
      <c r="PB800" s="9"/>
      <c r="PC800" s="9"/>
      <c r="PD800" s="9"/>
      <c r="PE800" s="9"/>
      <c r="PF800" s="9"/>
      <c r="PG800" s="9"/>
      <c r="PH800" s="9"/>
      <c r="PI800" s="9"/>
      <c r="PJ800" s="9"/>
      <c r="PK800" s="9"/>
      <c r="PL800" s="9"/>
      <c r="PM800" s="9"/>
      <c r="PN800" s="9"/>
      <c r="PO800" s="9"/>
      <c r="PP800" s="9"/>
      <c r="PQ800" s="9"/>
      <c r="PR800" s="9"/>
      <c r="PS800" s="9"/>
      <c r="PT800" s="9"/>
      <c r="PU800" s="9"/>
      <c r="PV800" s="9"/>
      <c r="PW800" s="9"/>
      <c r="PX800" s="9"/>
      <c r="PY800" s="9"/>
      <c r="PZ800" s="9"/>
      <c r="QA800" s="9"/>
      <c r="QB800" s="9"/>
      <c r="QC800" s="9"/>
      <c r="QD800" s="9"/>
      <c r="QE800" s="9"/>
      <c r="QF800" s="9"/>
      <c r="QG800" s="9"/>
      <c r="QH800" s="9"/>
      <c r="QI800" s="9"/>
      <c r="QJ800" s="9"/>
      <c r="QK800" s="9"/>
      <c r="QL800" s="9"/>
      <c r="QM800" s="9"/>
      <c r="QN800" s="9"/>
      <c r="QO800" s="9"/>
      <c r="QP800" s="9"/>
      <c r="QQ800" s="9"/>
      <c r="QR800" s="9"/>
      <c r="QS800" s="9"/>
      <c r="QT800" s="9"/>
      <c r="QU800" s="9"/>
      <c r="QV800" s="9"/>
      <c r="QW800" s="9"/>
      <c r="QX800" s="9"/>
      <c r="QY800" s="9"/>
      <c r="QZ800" s="9"/>
      <c r="RA800" s="9"/>
      <c r="RB800" s="9"/>
      <c r="RC800" s="9"/>
      <c r="RD800" s="9"/>
      <c r="RE800" s="9"/>
      <c r="RF800" s="9"/>
      <c r="RG800" s="9"/>
      <c r="RH800" s="9"/>
      <c r="RI800" s="9"/>
      <c r="RJ800" s="9"/>
      <c r="RK800" s="9"/>
      <c r="RL800" s="9"/>
      <c r="RM800" s="9"/>
      <c r="RN800" s="9"/>
      <c r="RO800" s="9"/>
      <c r="RP800" s="9"/>
      <c r="RQ800" s="9"/>
      <c r="RR800" s="9"/>
      <c r="RS800" s="9"/>
      <c r="RT800" s="9"/>
      <c r="RU800" s="9"/>
      <c r="RV800" s="9"/>
      <c r="RW800" s="9"/>
      <c r="RX800" s="9"/>
      <c r="RY800" s="9"/>
      <c r="RZ800" s="9"/>
      <c r="SA800" s="9"/>
      <c r="SB800" s="9"/>
      <c r="SC800" s="9"/>
      <c r="SD800" s="9"/>
      <c r="SE800" s="9"/>
      <c r="SF800" s="9"/>
      <c r="SG800" s="9"/>
      <c r="SH800" s="9"/>
      <c r="SI800" s="9"/>
      <c r="SJ800" s="9"/>
      <c r="SK800" s="9"/>
      <c r="SL800" s="9"/>
      <c r="SM800" s="9"/>
      <c r="SN800" s="9"/>
      <c r="SO800" s="9"/>
      <c r="SP800" s="9"/>
      <c r="SQ800" s="9"/>
      <c r="SR800" s="9"/>
      <c r="SS800" s="9"/>
      <c r="ST800" s="9"/>
      <c r="SU800" s="9"/>
      <c r="SV800" s="9"/>
      <c r="SW800" s="9"/>
      <c r="SX800" s="9"/>
      <c r="SY800" s="9"/>
      <c r="SZ800" s="9"/>
      <c r="TA800" s="9"/>
      <c r="TB800" s="9"/>
      <c r="TC800" s="9"/>
      <c r="TD800" s="9"/>
      <c r="TE800" s="9"/>
      <c r="TF800" s="9"/>
      <c r="TG800" s="9"/>
      <c r="TH800" s="9"/>
      <c r="TI800" s="9"/>
      <c r="TJ800" s="9"/>
      <c r="TK800" s="9"/>
      <c r="TL800" s="9"/>
      <c r="TM800" s="9"/>
      <c r="TN800" s="9"/>
      <c r="TO800" s="9"/>
      <c r="TP800" s="9"/>
      <c r="TQ800" s="9"/>
      <c r="TR800" s="9"/>
      <c r="TS800" s="9"/>
      <c r="TT800" s="9"/>
      <c r="TU800" s="9"/>
      <c r="TV800" s="9"/>
      <c r="TW800" s="9"/>
      <c r="TX800" s="9"/>
      <c r="TY800" s="9"/>
      <c r="TZ800" s="9"/>
      <c r="UA800" s="9"/>
      <c r="UB800" s="9"/>
      <c r="UC800" s="9"/>
      <c r="UD800" s="9"/>
      <c r="UE800" s="9"/>
      <c r="UF800" s="9"/>
      <c r="UG800" s="9"/>
      <c r="UH800" s="9"/>
      <c r="UI800" s="9"/>
      <c r="UJ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9"/>
      <c r="GV801" s="9"/>
      <c r="GW801" s="9"/>
      <c r="GX801" s="9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  <c r="HO801" s="9"/>
      <c r="HP801" s="9"/>
      <c r="HQ801" s="9"/>
      <c r="HR801" s="9"/>
      <c r="HS801" s="9"/>
      <c r="HT801" s="9"/>
      <c r="HU801" s="9"/>
      <c r="HV801" s="9"/>
      <c r="HW801" s="9"/>
      <c r="HX801" s="9"/>
      <c r="HY801" s="9"/>
      <c r="HZ801" s="9"/>
      <c r="IA801" s="9"/>
      <c r="IB801" s="9"/>
      <c r="IC801" s="9"/>
      <c r="ID801" s="9"/>
      <c r="IE801" s="9"/>
      <c r="IF801" s="9"/>
      <c r="IG801" s="9"/>
      <c r="IH801" s="9"/>
      <c r="II801" s="9"/>
      <c r="IJ801" s="9"/>
      <c r="IK801" s="9"/>
      <c r="IL801" s="9"/>
      <c r="IM801" s="9"/>
      <c r="IN801" s="9"/>
      <c r="IO801" s="9"/>
      <c r="IP801" s="9"/>
      <c r="IQ801" s="9"/>
      <c r="IR801" s="9"/>
      <c r="IS801" s="9"/>
      <c r="IT801" s="9"/>
      <c r="IU801" s="9"/>
      <c r="IV801" s="9"/>
      <c r="IW801" s="9"/>
      <c r="IX801" s="9"/>
      <c r="IY801" s="9"/>
      <c r="IZ801" s="9"/>
      <c r="JA801" s="9"/>
      <c r="JB801" s="9"/>
      <c r="JC801" s="9"/>
      <c r="JD801" s="9"/>
      <c r="JE801" s="9"/>
      <c r="JF801" s="9"/>
      <c r="JG801" s="9"/>
      <c r="JH801" s="9"/>
      <c r="JI801" s="9"/>
      <c r="JJ801" s="9"/>
      <c r="JK801" s="9"/>
      <c r="JL801" s="9"/>
      <c r="JM801" s="9"/>
      <c r="JN801" s="9"/>
      <c r="JO801" s="9"/>
      <c r="JP801" s="9"/>
      <c r="JQ801" s="9"/>
      <c r="JR801" s="9"/>
      <c r="JS801" s="9"/>
      <c r="JT801" s="9"/>
      <c r="JU801" s="9"/>
      <c r="JV801" s="9"/>
      <c r="JW801" s="9"/>
      <c r="JX801" s="9"/>
      <c r="JY801" s="9"/>
      <c r="JZ801" s="9"/>
      <c r="KA801" s="9"/>
      <c r="KB801" s="9"/>
      <c r="KC801" s="9"/>
      <c r="KD801" s="9"/>
      <c r="KE801" s="9"/>
      <c r="KF801" s="9"/>
      <c r="KG801" s="9"/>
      <c r="KH801" s="9"/>
      <c r="KI801" s="9"/>
      <c r="KJ801" s="9"/>
      <c r="KK801" s="9"/>
      <c r="KL801" s="9"/>
      <c r="KM801" s="9"/>
      <c r="KN801" s="9"/>
      <c r="KO801" s="9"/>
      <c r="KP801" s="9"/>
      <c r="KQ801" s="9"/>
      <c r="KR801" s="9"/>
      <c r="KS801" s="9"/>
      <c r="KT801" s="9"/>
      <c r="KU801" s="9"/>
      <c r="KV801" s="9"/>
      <c r="KW801" s="9"/>
      <c r="KX801" s="9"/>
      <c r="KY801" s="9"/>
      <c r="KZ801" s="9"/>
      <c r="LA801" s="9"/>
      <c r="LB801" s="9"/>
      <c r="LC801" s="9"/>
      <c r="LD801" s="9"/>
      <c r="LE801" s="9"/>
      <c r="LF801" s="9"/>
      <c r="LG801" s="9"/>
      <c r="LH801" s="9"/>
      <c r="LI801" s="9"/>
      <c r="LJ801" s="9"/>
      <c r="LK801" s="9"/>
      <c r="LL801" s="9"/>
      <c r="LM801" s="9"/>
      <c r="LN801" s="9"/>
      <c r="LO801" s="9"/>
      <c r="LP801" s="9"/>
      <c r="LQ801" s="9"/>
      <c r="LR801" s="9"/>
      <c r="LS801" s="9"/>
      <c r="LT801" s="9"/>
      <c r="LU801" s="9"/>
      <c r="LV801" s="9"/>
      <c r="LW801" s="9"/>
      <c r="LX801" s="9"/>
      <c r="LY801" s="9"/>
      <c r="LZ801" s="9"/>
      <c r="MA801" s="9"/>
      <c r="MB801" s="9"/>
      <c r="MC801" s="9"/>
      <c r="MD801" s="9"/>
      <c r="ME801" s="9"/>
      <c r="MF801" s="9"/>
      <c r="MG801" s="9"/>
      <c r="MH801" s="9"/>
      <c r="MI801" s="9"/>
      <c r="MJ801" s="9"/>
      <c r="MK801" s="9"/>
      <c r="ML801" s="9"/>
      <c r="MM801" s="9"/>
      <c r="MN801" s="9"/>
      <c r="MO801" s="9"/>
      <c r="MP801" s="9"/>
      <c r="MQ801" s="9"/>
      <c r="MR801" s="9"/>
      <c r="MS801" s="9"/>
      <c r="MT801" s="9"/>
      <c r="MU801" s="9"/>
      <c r="MV801" s="9"/>
      <c r="MW801" s="9"/>
      <c r="MX801" s="9"/>
      <c r="MY801" s="9"/>
      <c r="MZ801" s="9"/>
      <c r="NA801" s="9"/>
      <c r="NB801" s="9"/>
      <c r="NC801" s="9"/>
      <c r="ND801" s="9"/>
      <c r="NE801" s="9"/>
      <c r="NF801" s="9"/>
      <c r="NG801" s="9"/>
      <c r="NH801" s="9"/>
      <c r="NI801" s="9"/>
      <c r="NJ801" s="9"/>
      <c r="NK801" s="9"/>
      <c r="NL801" s="9"/>
      <c r="NM801" s="9"/>
      <c r="NN801" s="9"/>
      <c r="NO801" s="9"/>
      <c r="NP801" s="9"/>
      <c r="NQ801" s="9"/>
      <c r="NR801" s="9"/>
      <c r="NS801" s="9"/>
      <c r="NT801" s="9"/>
      <c r="NU801" s="9"/>
      <c r="NV801" s="9"/>
      <c r="NW801" s="9"/>
      <c r="NX801" s="9"/>
      <c r="NY801" s="9"/>
      <c r="NZ801" s="9"/>
      <c r="OA801" s="9"/>
      <c r="OB801" s="9"/>
      <c r="OC801" s="9"/>
      <c r="OD801" s="9"/>
      <c r="OE801" s="9"/>
      <c r="OF801" s="9"/>
      <c r="OG801" s="9"/>
      <c r="OH801" s="9"/>
      <c r="OI801" s="9"/>
      <c r="OJ801" s="9"/>
      <c r="OK801" s="9"/>
      <c r="OL801" s="9"/>
      <c r="OM801" s="9"/>
      <c r="ON801" s="9"/>
      <c r="OO801" s="9"/>
      <c r="OP801" s="9"/>
      <c r="OQ801" s="9"/>
      <c r="OR801" s="9"/>
      <c r="OS801" s="9"/>
      <c r="OT801" s="9"/>
      <c r="OU801" s="9"/>
      <c r="OV801" s="9"/>
      <c r="OW801" s="9"/>
      <c r="OX801" s="9"/>
      <c r="OY801" s="9"/>
      <c r="OZ801" s="9"/>
      <c r="PA801" s="9"/>
      <c r="PB801" s="9"/>
      <c r="PC801" s="9"/>
      <c r="PD801" s="9"/>
      <c r="PE801" s="9"/>
      <c r="PF801" s="9"/>
      <c r="PG801" s="9"/>
      <c r="PH801" s="9"/>
      <c r="PI801" s="9"/>
      <c r="PJ801" s="9"/>
      <c r="PK801" s="9"/>
      <c r="PL801" s="9"/>
      <c r="PM801" s="9"/>
      <c r="PN801" s="9"/>
      <c r="PO801" s="9"/>
      <c r="PP801" s="9"/>
      <c r="PQ801" s="9"/>
      <c r="PR801" s="9"/>
      <c r="PS801" s="9"/>
      <c r="PT801" s="9"/>
      <c r="PU801" s="9"/>
      <c r="PV801" s="9"/>
      <c r="PW801" s="9"/>
      <c r="PX801" s="9"/>
      <c r="PY801" s="9"/>
      <c r="PZ801" s="9"/>
      <c r="QA801" s="9"/>
      <c r="QB801" s="9"/>
      <c r="QC801" s="9"/>
      <c r="QD801" s="9"/>
      <c r="QE801" s="9"/>
      <c r="QF801" s="9"/>
      <c r="QG801" s="9"/>
      <c r="QH801" s="9"/>
      <c r="QI801" s="9"/>
      <c r="QJ801" s="9"/>
      <c r="QK801" s="9"/>
      <c r="QL801" s="9"/>
      <c r="QM801" s="9"/>
      <c r="QN801" s="9"/>
      <c r="QO801" s="9"/>
      <c r="QP801" s="9"/>
      <c r="QQ801" s="9"/>
      <c r="QR801" s="9"/>
      <c r="QS801" s="9"/>
      <c r="QT801" s="9"/>
      <c r="QU801" s="9"/>
      <c r="QV801" s="9"/>
      <c r="QW801" s="9"/>
      <c r="QX801" s="9"/>
      <c r="QY801" s="9"/>
      <c r="QZ801" s="9"/>
      <c r="RA801" s="9"/>
      <c r="RB801" s="9"/>
      <c r="RC801" s="9"/>
      <c r="RD801" s="9"/>
      <c r="RE801" s="9"/>
      <c r="RF801" s="9"/>
      <c r="RG801" s="9"/>
      <c r="RH801" s="9"/>
      <c r="RI801" s="9"/>
      <c r="RJ801" s="9"/>
      <c r="RK801" s="9"/>
      <c r="RL801" s="9"/>
      <c r="RM801" s="9"/>
      <c r="RN801" s="9"/>
      <c r="RO801" s="9"/>
      <c r="RP801" s="9"/>
      <c r="RQ801" s="9"/>
      <c r="RR801" s="9"/>
      <c r="RS801" s="9"/>
      <c r="RT801" s="9"/>
      <c r="RU801" s="9"/>
      <c r="RV801" s="9"/>
      <c r="RW801" s="9"/>
      <c r="RX801" s="9"/>
      <c r="RY801" s="9"/>
      <c r="RZ801" s="9"/>
      <c r="SA801" s="9"/>
      <c r="SB801" s="9"/>
      <c r="SC801" s="9"/>
      <c r="SD801" s="9"/>
      <c r="SE801" s="9"/>
      <c r="SF801" s="9"/>
      <c r="SG801" s="9"/>
      <c r="SH801" s="9"/>
      <c r="SI801" s="9"/>
      <c r="SJ801" s="9"/>
      <c r="SK801" s="9"/>
      <c r="SL801" s="9"/>
      <c r="SM801" s="9"/>
      <c r="SN801" s="9"/>
      <c r="SO801" s="9"/>
      <c r="SP801" s="9"/>
      <c r="SQ801" s="9"/>
      <c r="SR801" s="9"/>
      <c r="SS801" s="9"/>
      <c r="ST801" s="9"/>
      <c r="SU801" s="9"/>
      <c r="SV801" s="9"/>
      <c r="SW801" s="9"/>
      <c r="SX801" s="9"/>
      <c r="SY801" s="9"/>
      <c r="SZ801" s="9"/>
      <c r="TA801" s="9"/>
      <c r="TB801" s="9"/>
      <c r="TC801" s="9"/>
      <c r="TD801" s="9"/>
      <c r="TE801" s="9"/>
      <c r="TF801" s="9"/>
      <c r="TG801" s="9"/>
      <c r="TH801" s="9"/>
      <c r="TI801" s="9"/>
      <c r="TJ801" s="9"/>
      <c r="TK801" s="9"/>
      <c r="TL801" s="9"/>
      <c r="TM801" s="9"/>
      <c r="TN801" s="9"/>
      <c r="TO801" s="9"/>
      <c r="TP801" s="9"/>
      <c r="TQ801" s="9"/>
      <c r="TR801" s="9"/>
      <c r="TS801" s="9"/>
      <c r="TT801" s="9"/>
      <c r="TU801" s="9"/>
      <c r="TV801" s="9"/>
      <c r="TW801" s="9"/>
      <c r="TX801" s="9"/>
      <c r="TY801" s="9"/>
      <c r="TZ801" s="9"/>
      <c r="UA801" s="9"/>
      <c r="UB801" s="9"/>
      <c r="UC801" s="9"/>
      <c r="UD801" s="9"/>
      <c r="UE801" s="9"/>
      <c r="UF801" s="9"/>
      <c r="UG801" s="9"/>
      <c r="UH801" s="9"/>
      <c r="UI801" s="9"/>
      <c r="UJ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9"/>
      <c r="IA802" s="9"/>
      <c r="IB802" s="9"/>
      <c r="IC802" s="9"/>
      <c r="ID802" s="9"/>
      <c r="IE802" s="9"/>
      <c r="IF802" s="9"/>
      <c r="IG802" s="9"/>
      <c r="IH802" s="9"/>
      <c r="II802" s="9"/>
      <c r="IJ802" s="9"/>
      <c r="IK802" s="9"/>
      <c r="IL802" s="9"/>
      <c r="IM802" s="9"/>
      <c r="IN802" s="9"/>
      <c r="IO802" s="9"/>
      <c r="IP802" s="9"/>
      <c r="IQ802" s="9"/>
      <c r="IR802" s="9"/>
      <c r="IS802" s="9"/>
      <c r="IT802" s="9"/>
      <c r="IU802" s="9"/>
      <c r="IV802" s="9"/>
      <c r="IW802" s="9"/>
      <c r="IX802" s="9"/>
      <c r="IY802" s="9"/>
      <c r="IZ802" s="9"/>
      <c r="JA802" s="9"/>
      <c r="JB802" s="9"/>
      <c r="JC802" s="9"/>
      <c r="JD802" s="9"/>
      <c r="JE802" s="9"/>
      <c r="JF802" s="9"/>
      <c r="JG802" s="9"/>
      <c r="JH802" s="9"/>
      <c r="JI802" s="9"/>
      <c r="JJ802" s="9"/>
      <c r="JK802" s="9"/>
      <c r="JL802" s="9"/>
      <c r="JM802" s="9"/>
      <c r="JN802" s="9"/>
      <c r="JO802" s="9"/>
      <c r="JP802" s="9"/>
      <c r="JQ802" s="9"/>
      <c r="JR802" s="9"/>
      <c r="JS802" s="9"/>
      <c r="JT802" s="9"/>
      <c r="JU802" s="9"/>
      <c r="JV802" s="9"/>
      <c r="JW802" s="9"/>
      <c r="JX802" s="9"/>
      <c r="JY802" s="9"/>
      <c r="JZ802" s="9"/>
      <c r="KA802" s="9"/>
      <c r="KB802" s="9"/>
      <c r="KC802" s="9"/>
      <c r="KD802" s="9"/>
      <c r="KE802" s="9"/>
      <c r="KF802" s="9"/>
      <c r="KG802" s="9"/>
      <c r="KH802" s="9"/>
      <c r="KI802" s="9"/>
      <c r="KJ802" s="9"/>
      <c r="KK802" s="9"/>
      <c r="KL802" s="9"/>
      <c r="KM802" s="9"/>
      <c r="KN802" s="9"/>
      <c r="KO802" s="9"/>
      <c r="KP802" s="9"/>
      <c r="KQ802" s="9"/>
      <c r="KR802" s="9"/>
      <c r="KS802" s="9"/>
      <c r="KT802" s="9"/>
      <c r="KU802" s="9"/>
      <c r="KV802" s="9"/>
      <c r="KW802" s="9"/>
      <c r="KX802" s="9"/>
      <c r="KY802" s="9"/>
      <c r="KZ802" s="9"/>
      <c r="LA802" s="9"/>
      <c r="LB802" s="9"/>
      <c r="LC802" s="9"/>
      <c r="LD802" s="9"/>
      <c r="LE802" s="9"/>
      <c r="LF802" s="9"/>
      <c r="LG802" s="9"/>
      <c r="LH802" s="9"/>
      <c r="LI802" s="9"/>
      <c r="LJ802" s="9"/>
      <c r="LK802" s="9"/>
      <c r="LL802" s="9"/>
      <c r="LM802" s="9"/>
      <c r="LN802" s="9"/>
      <c r="LO802" s="9"/>
      <c r="LP802" s="9"/>
      <c r="LQ802" s="9"/>
      <c r="LR802" s="9"/>
      <c r="LS802" s="9"/>
      <c r="LT802" s="9"/>
      <c r="LU802" s="9"/>
      <c r="LV802" s="9"/>
      <c r="LW802" s="9"/>
      <c r="LX802" s="9"/>
      <c r="LY802" s="9"/>
      <c r="LZ802" s="9"/>
      <c r="MA802" s="9"/>
      <c r="MB802" s="9"/>
      <c r="MC802" s="9"/>
      <c r="MD802" s="9"/>
      <c r="ME802" s="9"/>
      <c r="MF802" s="9"/>
      <c r="MG802" s="9"/>
      <c r="MH802" s="9"/>
      <c r="MI802" s="9"/>
      <c r="MJ802" s="9"/>
      <c r="MK802" s="9"/>
      <c r="ML802" s="9"/>
      <c r="MM802" s="9"/>
      <c r="MN802" s="9"/>
      <c r="MO802" s="9"/>
      <c r="MP802" s="9"/>
      <c r="MQ802" s="9"/>
      <c r="MR802" s="9"/>
      <c r="MS802" s="9"/>
      <c r="MT802" s="9"/>
      <c r="MU802" s="9"/>
      <c r="MV802" s="9"/>
      <c r="MW802" s="9"/>
      <c r="MX802" s="9"/>
      <c r="MY802" s="9"/>
      <c r="MZ802" s="9"/>
      <c r="NA802" s="9"/>
      <c r="NB802" s="9"/>
      <c r="NC802" s="9"/>
      <c r="ND802" s="9"/>
      <c r="NE802" s="9"/>
      <c r="NF802" s="9"/>
      <c r="NG802" s="9"/>
      <c r="NH802" s="9"/>
      <c r="NI802" s="9"/>
      <c r="NJ802" s="9"/>
      <c r="NK802" s="9"/>
      <c r="NL802" s="9"/>
      <c r="NM802" s="9"/>
      <c r="NN802" s="9"/>
      <c r="NO802" s="9"/>
      <c r="NP802" s="9"/>
      <c r="NQ802" s="9"/>
      <c r="NR802" s="9"/>
      <c r="NS802" s="9"/>
      <c r="NT802" s="9"/>
      <c r="NU802" s="9"/>
      <c r="NV802" s="9"/>
      <c r="NW802" s="9"/>
      <c r="NX802" s="9"/>
      <c r="NY802" s="9"/>
      <c r="NZ802" s="9"/>
      <c r="OA802" s="9"/>
      <c r="OB802" s="9"/>
      <c r="OC802" s="9"/>
      <c r="OD802" s="9"/>
      <c r="OE802" s="9"/>
      <c r="OF802" s="9"/>
      <c r="OG802" s="9"/>
      <c r="OH802" s="9"/>
      <c r="OI802" s="9"/>
      <c r="OJ802" s="9"/>
      <c r="OK802" s="9"/>
      <c r="OL802" s="9"/>
      <c r="OM802" s="9"/>
      <c r="ON802" s="9"/>
      <c r="OO802" s="9"/>
      <c r="OP802" s="9"/>
      <c r="OQ802" s="9"/>
      <c r="OR802" s="9"/>
      <c r="OS802" s="9"/>
      <c r="OT802" s="9"/>
      <c r="OU802" s="9"/>
      <c r="OV802" s="9"/>
      <c r="OW802" s="9"/>
      <c r="OX802" s="9"/>
      <c r="OY802" s="9"/>
      <c r="OZ802" s="9"/>
      <c r="PA802" s="9"/>
      <c r="PB802" s="9"/>
      <c r="PC802" s="9"/>
      <c r="PD802" s="9"/>
      <c r="PE802" s="9"/>
      <c r="PF802" s="9"/>
      <c r="PG802" s="9"/>
      <c r="PH802" s="9"/>
      <c r="PI802" s="9"/>
      <c r="PJ802" s="9"/>
      <c r="PK802" s="9"/>
      <c r="PL802" s="9"/>
      <c r="PM802" s="9"/>
      <c r="PN802" s="9"/>
      <c r="PO802" s="9"/>
      <c r="PP802" s="9"/>
      <c r="PQ802" s="9"/>
      <c r="PR802" s="9"/>
      <c r="PS802" s="9"/>
      <c r="PT802" s="9"/>
      <c r="PU802" s="9"/>
      <c r="PV802" s="9"/>
      <c r="PW802" s="9"/>
      <c r="PX802" s="9"/>
      <c r="PY802" s="9"/>
      <c r="PZ802" s="9"/>
      <c r="QA802" s="9"/>
      <c r="QB802" s="9"/>
      <c r="QC802" s="9"/>
      <c r="QD802" s="9"/>
      <c r="QE802" s="9"/>
      <c r="QF802" s="9"/>
      <c r="QG802" s="9"/>
      <c r="QH802" s="9"/>
      <c r="QI802" s="9"/>
      <c r="QJ802" s="9"/>
      <c r="QK802" s="9"/>
      <c r="QL802" s="9"/>
      <c r="QM802" s="9"/>
      <c r="QN802" s="9"/>
      <c r="QO802" s="9"/>
      <c r="QP802" s="9"/>
      <c r="QQ802" s="9"/>
      <c r="QR802" s="9"/>
      <c r="QS802" s="9"/>
      <c r="QT802" s="9"/>
      <c r="QU802" s="9"/>
      <c r="QV802" s="9"/>
      <c r="QW802" s="9"/>
      <c r="QX802" s="9"/>
      <c r="QY802" s="9"/>
      <c r="QZ802" s="9"/>
      <c r="RA802" s="9"/>
      <c r="RB802" s="9"/>
      <c r="RC802" s="9"/>
      <c r="RD802" s="9"/>
      <c r="RE802" s="9"/>
      <c r="RF802" s="9"/>
      <c r="RG802" s="9"/>
      <c r="RH802" s="9"/>
      <c r="RI802" s="9"/>
      <c r="RJ802" s="9"/>
      <c r="RK802" s="9"/>
      <c r="RL802" s="9"/>
      <c r="RM802" s="9"/>
      <c r="RN802" s="9"/>
      <c r="RO802" s="9"/>
      <c r="RP802" s="9"/>
      <c r="RQ802" s="9"/>
      <c r="RR802" s="9"/>
      <c r="RS802" s="9"/>
      <c r="RT802" s="9"/>
      <c r="RU802" s="9"/>
      <c r="RV802" s="9"/>
      <c r="RW802" s="9"/>
      <c r="RX802" s="9"/>
      <c r="RY802" s="9"/>
      <c r="RZ802" s="9"/>
      <c r="SA802" s="9"/>
      <c r="SB802" s="9"/>
      <c r="SC802" s="9"/>
      <c r="SD802" s="9"/>
      <c r="SE802" s="9"/>
      <c r="SF802" s="9"/>
      <c r="SG802" s="9"/>
      <c r="SH802" s="9"/>
      <c r="SI802" s="9"/>
      <c r="SJ802" s="9"/>
      <c r="SK802" s="9"/>
      <c r="SL802" s="9"/>
      <c r="SM802" s="9"/>
      <c r="SN802" s="9"/>
      <c r="SO802" s="9"/>
      <c r="SP802" s="9"/>
      <c r="SQ802" s="9"/>
      <c r="SR802" s="9"/>
      <c r="SS802" s="9"/>
      <c r="ST802" s="9"/>
      <c r="SU802" s="9"/>
      <c r="SV802" s="9"/>
      <c r="SW802" s="9"/>
      <c r="SX802" s="9"/>
      <c r="SY802" s="9"/>
      <c r="SZ802" s="9"/>
      <c r="TA802" s="9"/>
      <c r="TB802" s="9"/>
      <c r="TC802" s="9"/>
      <c r="TD802" s="9"/>
      <c r="TE802" s="9"/>
      <c r="TF802" s="9"/>
      <c r="TG802" s="9"/>
      <c r="TH802" s="9"/>
      <c r="TI802" s="9"/>
      <c r="TJ802" s="9"/>
      <c r="TK802" s="9"/>
      <c r="TL802" s="9"/>
      <c r="TM802" s="9"/>
      <c r="TN802" s="9"/>
      <c r="TO802" s="9"/>
      <c r="TP802" s="9"/>
      <c r="TQ802" s="9"/>
      <c r="TR802" s="9"/>
      <c r="TS802" s="9"/>
      <c r="TT802" s="9"/>
      <c r="TU802" s="9"/>
      <c r="TV802" s="9"/>
      <c r="TW802" s="9"/>
      <c r="TX802" s="9"/>
      <c r="TY802" s="9"/>
      <c r="TZ802" s="9"/>
      <c r="UA802" s="9"/>
      <c r="UB802" s="9"/>
      <c r="UC802" s="9"/>
      <c r="UD802" s="9"/>
      <c r="UE802" s="9"/>
      <c r="UF802" s="9"/>
      <c r="UG802" s="9"/>
      <c r="UH802" s="9"/>
      <c r="UI802" s="9"/>
      <c r="UJ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9"/>
      <c r="IA803" s="9"/>
      <c r="IB803" s="9"/>
      <c r="IC803" s="9"/>
      <c r="ID803" s="9"/>
      <c r="IE803" s="9"/>
      <c r="IF803" s="9"/>
      <c r="IG803" s="9"/>
      <c r="IH803" s="9"/>
      <c r="II803" s="9"/>
      <c r="IJ803" s="9"/>
      <c r="IK803" s="9"/>
      <c r="IL803" s="9"/>
      <c r="IM803" s="9"/>
      <c r="IN803" s="9"/>
      <c r="IO803" s="9"/>
      <c r="IP803" s="9"/>
      <c r="IQ803" s="9"/>
      <c r="IR803" s="9"/>
      <c r="IS803" s="9"/>
      <c r="IT803" s="9"/>
      <c r="IU803" s="9"/>
      <c r="IV803" s="9"/>
      <c r="IW803" s="9"/>
      <c r="IX803" s="9"/>
      <c r="IY803" s="9"/>
      <c r="IZ803" s="9"/>
      <c r="JA803" s="9"/>
      <c r="JB803" s="9"/>
      <c r="JC803" s="9"/>
      <c r="JD803" s="9"/>
      <c r="JE803" s="9"/>
      <c r="JF803" s="9"/>
      <c r="JG803" s="9"/>
      <c r="JH803" s="9"/>
      <c r="JI803" s="9"/>
      <c r="JJ803" s="9"/>
      <c r="JK803" s="9"/>
      <c r="JL803" s="9"/>
      <c r="JM803" s="9"/>
      <c r="JN803" s="9"/>
      <c r="JO803" s="9"/>
      <c r="JP803" s="9"/>
      <c r="JQ803" s="9"/>
      <c r="JR803" s="9"/>
      <c r="JS803" s="9"/>
      <c r="JT803" s="9"/>
      <c r="JU803" s="9"/>
      <c r="JV803" s="9"/>
      <c r="JW803" s="9"/>
      <c r="JX803" s="9"/>
      <c r="JY803" s="9"/>
      <c r="JZ803" s="9"/>
      <c r="KA803" s="9"/>
      <c r="KB803" s="9"/>
      <c r="KC803" s="9"/>
      <c r="KD803" s="9"/>
      <c r="KE803" s="9"/>
      <c r="KF803" s="9"/>
      <c r="KG803" s="9"/>
      <c r="KH803" s="9"/>
      <c r="KI803" s="9"/>
      <c r="KJ803" s="9"/>
      <c r="KK803" s="9"/>
      <c r="KL803" s="9"/>
      <c r="KM803" s="9"/>
      <c r="KN803" s="9"/>
      <c r="KO803" s="9"/>
      <c r="KP803" s="9"/>
      <c r="KQ803" s="9"/>
      <c r="KR803" s="9"/>
      <c r="KS803" s="9"/>
      <c r="KT803" s="9"/>
      <c r="KU803" s="9"/>
      <c r="KV803" s="9"/>
      <c r="KW803" s="9"/>
      <c r="KX803" s="9"/>
      <c r="KY803" s="9"/>
      <c r="KZ803" s="9"/>
      <c r="LA803" s="9"/>
      <c r="LB803" s="9"/>
      <c r="LC803" s="9"/>
      <c r="LD803" s="9"/>
      <c r="LE803" s="9"/>
      <c r="LF803" s="9"/>
      <c r="LG803" s="9"/>
      <c r="LH803" s="9"/>
      <c r="LI803" s="9"/>
      <c r="LJ803" s="9"/>
      <c r="LK803" s="9"/>
      <c r="LL803" s="9"/>
      <c r="LM803" s="9"/>
      <c r="LN803" s="9"/>
      <c r="LO803" s="9"/>
      <c r="LP803" s="9"/>
      <c r="LQ803" s="9"/>
      <c r="LR803" s="9"/>
      <c r="LS803" s="9"/>
      <c r="LT803" s="9"/>
      <c r="LU803" s="9"/>
      <c r="LV803" s="9"/>
      <c r="LW803" s="9"/>
      <c r="LX803" s="9"/>
      <c r="LY803" s="9"/>
      <c r="LZ803" s="9"/>
      <c r="MA803" s="9"/>
      <c r="MB803" s="9"/>
      <c r="MC803" s="9"/>
      <c r="MD803" s="9"/>
      <c r="ME803" s="9"/>
      <c r="MF803" s="9"/>
      <c r="MG803" s="9"/>
      <c r="MH803" s="9"/>
      <c r="MI803" s="9"/>
      <c r="MJ803" s="9"/>
      <c r="MK803" s="9"/>
      <c r="ML803" s="9"/>
      <c r="MM803" s="9"/>
      <c r="MN803" s="9"/>
      <c r="MO803" s="9"/>
      <c r="MP803" s="9"/>
      <c r="MQ803" s="9"/>
      <c r="MR803" s="9"/>
      <c r="MS803" s="9"/>
      <c r="MT803" s="9"/>
      <c r="MU803" s="9"/>
      <c r="MV803" s="9"/>
      <c r="MW803" s="9"/>
      <c r="MX803" s="9"/>
      <c r="MY803" s="9"/>
      <c r="MZ803" s="9"/>
      <c r="NA803" s="9"/>
      <c r="NB803" s="9"/>
      <c r="NC803" s="9"/>
      <c r="ND803" s="9"/>
      <c r="NE803" s="9"/>
      <c r="NF803" s="9"/>
      <c r="NG803" s="9"/>
      <c r="NH803" s="9"/>
      <c r="NI803" s="9"/>
      <c r="NJ803" s="9"/>
      <c r="NK803" s="9"/>
      <c r="NL803" s="9"/>
      <c r="NM803" s="9"/>
      <c r="NN803" s="9"/>
      <c r="NO803" s="9"/>
      <c r="NP803" s="9"/>
      <c r="NQ803" s="9"/>
      <c r="NR803" s="9"/>
      <c r="NS803" s="9"/>
      <c r="NT803" s="9"/>
      <c r="NU803" s="9"/>
      <c r="NV803" s="9"/>
      <c r="NW803" s="9"/>
      <c r="NX803" s="9"/>
      <c r="NY803" s="9"/>
      <c r="NZ803" s="9"/>
      <c r="OA803" s="9"/>
      <c r="OB803" s="9"/>
      <c r="OC803" s="9"/>
      <c r="OD803" s="9"/>
      <c r="OE803" s="9"/>
      <c r="OF803" s="9"/>
      <c r="OG803" s="9"/>
      <c r="OH803" s="9"/>
      <c r="OI803" s="9"/>
      <c r="OJ803" s="9"/>
      <c r="OK803" s="9"/>
      <c r="OL803" s="9"/>
      <c r="OM803" s="9"/>
      <c r="ON803" s="9"/>
      <c r="OO803" s="9"/>
      <c r="OP803" s="9"/>
      <c r="OQ803" s="9"/>
      <c r="OR803" s="9"/>
      <c r="OS803" s="9"/>
      <c r="OT803" s="9"/>
      <c r="OU803" s="9"/>
      <c r="OV803" s="9"/>
      <c r="OW803" s="9"/>
      <c r="OX803" s="9"/>
      <c r="OY803" s="9"/>
      <c r="OZ803" s="9"/>
      <c r="PA803" s="9"/>
      <c r="PB803" s="9"/>
      <c r="PC803" s="9"/>
      <c r="PD803" s="9"/>
      <c r="PE803" s="9"/>
      <c r="PF803" s="9"/>
      <c r="PG803" s="9"/>
      <c r="PH803" s="9"/>
      <c r="PI803" s="9"/>
      <c r="PJ803" s="9"/>
      <c r="PK803" s="9"/>
      <c r="PL803" s="9"/>
      <c r="PM803" s="9"/>
      <c r="PN803" s="9"/>
      <c r="PO803" s="9"/>
      <c r="PP803" s="9"/>
      <c r="PQ803" s="9"/>
      <c r="PR803" s="9"/>
      <c r="PS803" s="9"/>
      <c r="PT803" s="9"/>
      <c r="PU803" s="9"/>
      <c r="PV803" s="9"/>
      <c r="PW803" s="9"/>
      <c r="PX803" s="9"/>
      <c r="PY803" s="9"/>
      <c r="PZ803" s="9"/>
      <c r="QA803" s="9"/>
      <c r="QB803" s="9"/>
      <c r="QC803" s="9"/>
      <c r="QD803" s="9"/>
      <c r="QE803" s="9"/>
      <c r="QF803" s="9"/>
      <c r="QG803" s="9"/>
      <c r="QH803" s="9"/>
      <c r="QI803" s="9"/>
      <c r="QJ803" s="9"/>
      <c r="QK803" s="9"/>
      <c r="QL803" s="9"/>
      <c r="QM803" s="9"/>
      <c r="QN803" s="9"/>
      <c r="QO803" s="9"/>
      <c r="QP803" s="9"/>
      <c r="QQ803" s="9"/>
      <c r="QR803" s="9"/>
      <c r="QS803" s="9"/>
      <c r="QT803" s="9"/>
      <c r="QU803" s="9"/>
      <c r="QV803" s="9"/>
      <c r="QW803" s="9"/>
      <c r="QX803" s="9"/>
      <c r="QY803" s="9"/>
      <c r="QZ803" s="9"/>
      <c r="RA803" s="9"/>
      <c r="RB803" s="9"/>
      <c r="RC803" s="9"/>
      <c r="RD803" s="9"/>
      <c r="RE803" s="9"/>
      <c r="RF803" s="9"/>
      <c r="RG803" s="9"/>
      <c r="RH803" s="9"/>
      <c r="RI803" s="9"/>
      <c r="RJ803" s="9"/>
      <c r="RK803" s="9"/>
      <c r="RL803" s="9"/>
      <c r="RM803" s="9"/>
      <c r="RN803" s="9"/>
      <c r="RO803" s="9"/>
      <c r="RP803" s="9"/>
      <c r="RQ803" s="9"/>
      <c r="RR803" s="9"/>
      <c r="RS803" s="9"/>
      <c r="RT803" s="9"/>
      <c r="RU803" s="9"/>
      <c r="RV803" s="9"/>
      <c r="RW803" s="9"/>
      <c r="RX803" s="9"/>
      <c r="RY803" s="9"/>
      <c r="RZ803" s="9"/>
      <c r="SA803" s="9"/>
      <c r="SB803" s="9"/>
      <c r="SC803" s="9"/>
      <c r="SD803" s="9"/>
      <c r="SE803" s="9"/>
      <c r="SF803" s="9"/>
      <c r="SG803" s="9"/>
      <c r="SH803" s="9"/>
      <c r="SI803" s="9"/>
      <c r="SJ803" s="9"/>
      <c r="SK803" s="9"/>
      <c r="SL803" s="9"/>
      <c r="SM803" s="9"/>
      <c r="SN803" s="9"/>
      <c r="SO803" s="9"/>
      <c r="SP803" s="9"/>
      <c r="SQ803" s="9"/>
      <c r="SR803" s="9"/>
      <c r="SS803" s="9"/>
      <c r="ST803" s="9"/>
      <c r="SU803" s="9"/>
      <c r="SV803" s="9"/>
      <c r="SW803" s="9"/>
      <c r="SX803" s="9"/>
      <c r="SY803" s="9"/>
      <c r="SZ803" s="9"/>
      <c r="TA803" s="9"/>
      <c r="TB803" s="9"/>
      <c r="TC803" s="9"/>
      <c r="TD803" s="9"/>
      <c r="TE803" s="9"/>
      <c r="TF803" s="9"/>
      <c r="TG803" s="9"/>
      <c r="TH803" s="9"/>
      <c r="TI803" s="9"/>
      <c r="TJ803" s="9"/>
      <c r="TK803" s="9"/>
      <c r="TL803" s="9"/>
      <c r="TM803" s="9"/>
      <c r="TN803" s="9"/>
      <c r="TO803" s="9"/>
      <c r="TP803" s="9"/>
      <c r="TQ803" s="9"/>
      <c r="TR803" s="9"/>
      <c r="TS803" s="9"/>
      <c r="TT803" s="9"/>
      <c r="TU803" s="9"/>
      <c r="TV803" s="9"/>
      <c r="TW803" s="9"/>
      <c r="TX803" s="9"/>
      <c r="TY803" s="9"/>
      <c r="TZ803" s="9"/>
      <c r="UA803" s="9"/>
      <c r="UB803" s="9"/>
      <c r="UC803" s="9"/>
      <c r="UD803" s="9"/>
      <c r="UE803" s="9"/>
      <c r="UF803" s="9"/>
      <c r="UG803" s="9"/>
      <c r="UH803" s="9"/>
      <c r="UI803" s="9"/>
      <c r="UJ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  <c r="HO804" s="9"/>
      <c r="HP804" s="9"/>
      <c r="HQ804" s="9"/>
      <c r="HR804" s="9"/>
      <c r="HS804" s="9"/>
      <c r="HT804" s="9"/>
      <c r="HU804" s="9"/>
      <c r="HV804" s="9"/>
      <c r="HW804" s="9"/>
      <c r="HX804" s="9"/>
      <c r="HY804" s="9"/>
      <c r="HZ804" s="9"/>
      <c r="IA804" s="9"/>
      <c r="IB804" s="9"/>
      <c r="IC804" s="9"/>
      <c r="ID804" s="9"/>
      <c r="IE804" s="9"/>
      <c r="IF804" s="9"/>
      <c r="IG804" s="9"/>
      <c r="IH804" s="9"/>
      <c r="II804" s="9"/>
      <c r="IJ804" s="9"/>
      <c r="IK804" s="9"/>
      <c r="IL804" s="9"/>
      <c r="IM804" s="9"/>
      <c r="IN804" s="9"/>
      <c r="IO804" s="9"/>
      <c r="IP804" s="9"/>
      <c r="IQ804" s="9"/>
      <c r="IR804" s="9"/>
      <c r="IS804" s="9"/>
      <c r="IT804" s="9"/>
      <c r="IU804" s="9"/>
      <c r="IV804" s="9"/>
      <c r="IW804" s="9"/>
      <c r="IX804" s="9"/>
      <c r="IY804" s="9"/>
      <c r="IZ804" s="9"/>
      <c r="JA804" s="9"/>
      <c r="JB804" s="9"/>
      <c r="JC804" s="9"/>
      <c r="JD804" s="9"/>
      <c r="JE804" s="9"/>
      <c r="JF804" s="9"/>
      <c r="JG804" s="9"/>
      <c r="JH804" s="9"/>
      <c r="JI804" s="9"/>
      <c r="JJ804" s="9"/>
      <c r="JK804" s="9"/>
      <c r="JL804" s="9"/>
      <c r="JM804" s="9"/>
      <c r="JN804" s="9"/>
      <c r="JO804" s="9"/>
      <c r="JP804" s="9"/>
      <c r="JQ804" s="9"/>
      <c r="JR804" s="9"/>
      <c r="JS804" s="9"/>
      <c r="JT804" s="9"/>
      <c r="JU804" s="9"/>
      <c r="JV804" s="9"/>
      <c r="JW804" s="9"/>
      <c r="JX804" s="9"/>
      <c r="JY804" s="9"/>
      <c r="JZ804" s="9"/>
      <c r="KA804" s="9"/>
      <c r="KB804" s="9"/>
      <c r="KC804" s="9"/>
      <c r="KD804" s="9"/>
      <c r="KE804" s="9"/>
      <c r="KF804" s="9"/>
      <c r="KG804" s="9"/>
      <c r="KH804" s="9"/>
      <c r="KI804" s="9"/>
      <c r="KJ804" s="9"/>
      <c r="KK804" s="9"/>
      <c r="KL804" s="9"/>
      <c r="KM804" s="9"/>
      <c r="KN804" s="9"/>
      <c r="KO804" s="9"/>
      <c r="KP804" s="9"/>
      <c r="KQ804" s="9"/>
      <c r="KR804" s="9"/>
      <c r="KS804" s="9"/>
      <c r="KT804" s="9"/>
      <c r="KU804" s="9"/>
      <c r="KV804" s="9"/>
      <c r="KW804" s="9"/>
      <c r="KX804" s="9"/>
      <c r="KY804" s="9"/>
      <c r="KZ804" s="9"/>
      <c r="LA804" s="9"/>
      <c r="LB804" s="9"/>
      <c r="LC804" s="9"/>
      <c r="LD804" s="9"/>
      <c r="LE804" s="9"/>
      <c r="LF804" s="9"/>
      <c r="LG804" s="9"/>
      <c r="LH804" s="9"/>
      <c r="LI804" s="9"/>
      <c r="LJ804" s="9"/>
      <c r="LK804" s="9"/>
      <c r="LL804" s="9"/>
      <c r="LM804" s="9"/>
      <c r="LN804" s="9"/>
      <c r="LO804" s="9"/>
      <c r="LP804" s="9"/>
      <c r="LQ804" s="9"/>
      <c r="LR804" s="9"/>
      <c r="LS804" s="9"/>
      <c r="LT804" s="9"/>
      <c r="LU804" s="9"/>
      <c r="LV804" s="9"/>
      <c r="LW804" s="9"/>
      <c r="LX804" s="9"/>
      <c r="LY804" s="9"/>
      <c r="LZ804" s="9"/>
      <c r="MA804" s="9"/>
      <c r="MB804" s="9"/>
      <c r="MC804" s="9"/>
      <c r="MD804" s="9"/>
      <c r="ME804" s="9"/>
      <c r="MF804" s="9"/>
      <c r="MG804" s="9"/>
      <c r="MH804" s="9"/>
      <c r="MI804" s="9"/>
      <c r="MJ804" s="9"/>
      <c r="MK804" s="9"/>
      <c r="ML804" s="9"/>
      <c r="MM804" s="9"/>
      <c r="MN804" s="9"/>
      <c r="MO804" s="9"/>
      <c r="MP804" s="9"/>
      <c r="MQ804" s="9"/>
      <c r="MR804" s="9"/>
      <c r="MS804" s="9"/>
      <c r="MT804" s="9"/>
      <c r="MU804" s="9"/>
      <c r="MV804" s="9"/>
      <c r="MW804" s="9"/>
      <c r="MX804" s="9"/>
      <c r="MY804" s="9"/>
      <c r="MZ804" s="9"/>
      <c r="NA804" s="9"/>
      <c r="NB804" s="9"/>
      <c r="NC804" s="9"/>
      <c r="ND804" s="9"/>
      <c r="NE804" s="9"/>
      <c r="NF804" s="9"/>
      <c r="NG804" s="9"/>
      <c r="NH804" s="9"/>
      <c r="NI804" s="9"/>
      <c r="NJ804" s="9"/>
      <c r="NK804" s="9"/>
      <c r="NL804" s="9"/>
      <c r="NM804" s="9"/>
      <c r="NN804" s="9"/>
      <c r="NO804" s="9"/>
      <c r="NP804" s="9"/>
      <c r="NQ804" s="9"/>
      <c r="NR804" s="9"/>
      <c r="NS804" s="9"/>
      <c r="NT804" s="9"/>
      <c r="NU804" s="9"/>
      <c r="NV804" s="9"/>
      <c r="NW804" s="9"/>
      <c r="NX804" s="9"/>
      <c r="NY804" s="9"/>
      <c r="NZ804" s="9"/>
      <c r="OA804" s="9"/>
      <c r="OB804" s="9"/>
      <c r="OC804" s="9"/>
      <c r="OD804" s="9"/>
      <c r="OE804" s="9"/>
      <c r="OF804" s="9"/>
      <c r="OG804" s="9"/>
      <c r="OH804" s="9"/>
      <c r="OI804" s="9"/>
      <c r="OJ804" s="9"/>
      <c r="OK804" s="9"/>
      <c r="OL804" s="9"/>
      <c r="OM804" s="9"/>
      <c r="ON804" s="9"/>
      <c r="OO804" s="9"/>
      <c r="OP804" s="9"/>
      <c r="OQ804" s="9"/>
      <c r="OR804" s="9"/>
      <c r="OS804" s="9"/>
      <c r="OT804" s="9"/>
      <c r="OU804" s="9"/>
      <c r="OV804" s="9"/>
      <c r="OW804" s="9"/>
      <c r="OX804" s="9"/>
      <c r="OY804" s="9"/>
      <c r="OZ804" s="9"/>
      <c r="PA804" s="9"/>
      <c r="PB804" s="9"/>
      <c r="PC804" s="9"/>
      <c r="PD804" s="9"/>
      <c r="PE804" s="9"/>
      <c r="PF804" s="9"/>
      <c r="PG804" s="9"/>
      <c r="PH804" s="9"/>
      <c r="PI804" s="9"/>
      <c r="PJ804" s="9"/>
      <c r="PK804" s="9"/>
      <c r="PL804" s="9"/>
      <c r="PM804" s="9"/>
      <c r="PN804" s="9"/>
      <c r="PO804" s="9"/>
      <c r="PP804" s="9"/>
      <c r="PQ804" s="9"/>
      <c r="PR804" s="9"/>
      <c r="PS804" s="9"/>
      <c r="PT804" s="9"/>
      <c r="PU804" s="9"/>
      <c r="PV804" s="9"/>
      <c r="PW804" s="9"/>
      <c r="PX804" s="9"/>
      <c r="PY804" s="9"/>
      <c r="PZ804" s="9"/>
      <c r="QA804" s="9"/>
      <c r="QB804" s="9"/>
      <c r="QC804" s="9"/>
      <c r="QD804" s="9"/>
      <c r="QE804" s="9"/>
      <c r="QF804" s="9"/>
      <c r="QG804" s="9"/>
      <c r="QH804" s="9"/>
      <c r="QI804" s="9"/>
      <c r="QJ804" s="9"/>
      <c r="QK804" s="9"/>
      <c r="QL804" s="9"/>
      <c r="QM804" s="9"/>
      <c r="QN804" s="9"/>
      <c r="QO804" s="9"/>
      <c r="QP804" s="9"/>
      <c r="QQ804" s="9"/>
      <c r="QR804" s="9"/>
      <c r="QS804" s="9"/>
      <c r="QT804" s="9"/>
      <c r="QU804" s="9"/>
      <c r="QV804" s="9"/>
      <c r="QW804" s="9"/>
      <c r="QX804" s="9"/>
      <c r="QY804" s="9"/>
      <c r="QZ804" s="9"/>
      <c r="RA804" s="9"/>
      <c r="RB804" s="9"/>
      <c r="RC804" s="9"/>
      <c r="RD804" s="9"/>
      <c r="RE804" s="9"/>
      <c r="RF804" s="9"/>
      <c r="RG804" s="9"/>
      <c r="RH804" s="9"/>
      <c r="RI804" s="9"/>
      <c r="RJ804" s="9"/>
      <c r="RK804" s="9"/>
      <c r="RL804" s="9"/>
      <c r="RM804" s="9"/>
      <c r="RN804" s="9"/>
      <c r="RO804" s="9"/>
      <c r="RP804" s="9"/>
      <c r="RQ804" s="9"/>
      <c r="RR804" s="9"/>
      <c r="RS804" s="9"/>
      <c r="RT804" s="9"/>
      <c r="RU804" s="9"/>
      <c r="RV804" s="9"/>
      <c r="RW804" s="9"/>
      <c r="RX804" s="9"/>
      <c r="RY804" s="9"/>
      <c r="RZ804" s="9"/>
      <c r="SA804" s="9"/>
      <c r="SB804" s="9"/>
      <c r="SC804" s="9"/>
      <c r="SD804" s="9"/>
      <c r="SE804" s="9"/>
      <c r="SF804" s="9"/>
      <c r="SG804" s="9"/>
      <c r="SH804" s="9"/>
      <c r="SI804" s="9"/>
      <c r="SJ804" s="9"/>
      <c r="SK804" s="9"/>
      <c r="SL804" s="9"/>
      <c r="SM804" s="9"/>
      <c r="SN804" s="9"/>
      <c r="SO804" s="9"/>
      <c r="SP804" s="9"/>
      <c r="SQ804" s="9"/>
      <c r="SR804" s="9"/>
      <c r="SS804" s="9"/>
      <c r="ST804" s="9"/>
      <c r="SU804" s="9"/>
      <c r="SV804" s="9"/>
      <c r="SW804" s="9"/>
      <c r="SX804" s="9"/>
      <c r="SY804" s="9"/>
      <c r="SZ804" s="9"/>
      <c r="TA804" s="9"/>
      <c r="TB804" s="9"/>
      <c r="TC804" s="9"/>
      <c r="TD804" s="9"/>
      <c r="TE804" s="9"/>
      <c r="TF804" s="9"/>
      <c r="TG804" s="9"/>
      <c r="TH804" s="9"/>
      <c r="TI804" s="9"/>
      <c r="TJ804" s="9"/>
      <c r="TK804" s="9"/>
      <c r="TL804" s="9"/>
      <c r="TM804" s="9"/>
      <c r="TN804" s="9"/>
      <c r="TO804" s="9"/>
      <c r="TP804" s="9"/>
      <c r="TQ804" s="9"/>
      <c r="TR804" s="9"/>
      <c r="TS804" s="9"/>
      <c r="TT804" s="9"/>
      <c r="TU804" s="9"/>
      <c r="TV804" s="9"/>
      <c r="TW804" s="9"/>
      <c r="TX804" s="9"/>
      <c r="TY804" s="9"/>
      <c r="TZ804" s="9"/>
      <c r="UA804" s="9"/>
      <c r="UB804" s="9"/>
      <c r="UC804" s="9"/>
      <c r="UD804" s="9"/>
      <c r="UE804" s="9"/>
      <c r="UF804" s="9"/>
      <c r="UG804" s="9"/>
      <c r="UH804" s="9"/>
      <c r="UI804" s="9"/>
      <c r="UJ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  <c r="HO805" s="9"/>
      <c r="HP805" s="9"/>
      <c r="HQ805" s="9"/>
      <c r="HR805" s="9"/>
      <c r="HS805" s="9"/>
      <c r="HT805" s="9"/>
      <c r="HU805" s="9"/>
      <c r="HV805" s="9"/>
      <c r="HW805" s="9"/>
      <c r="HX805" s="9"/>
      <c r="HY805" s="9"/>
      <c r="HZ805" s="9"/>
      <c r="IA805" s="9"/>
      <c r="IB805" s="9"/>
      <c r="IC805" s="9"/>
      <c r="ID805" s="9"/>
      <c r="IE805" s="9"/>
      <c r="IF805" s="9"/>
      <c r="IG805" s="9"/>
      <c r="IH805" s="9"/>
      <c r="II805" s="9"/>
      <c r="IJ805" s="9"/>
      <c r="IK805" s="9"/>
      <c r="IL805" s="9"/>
      <c r="IM805" s="9"/>
      <c r="IN805" s="9"/>
      <c r="IO805" s="9"/>
      <c r="IP805" s="9"/>
      <c r="IQ805" s="9"/>
      <c r="IR805" s="9"/>
      <c r="IS805" s="9"/>
      <c r="IT805" s="9"/>
      <c r="IU805" s="9"/>
      <c r="IV805" s="9"/>
      <c r="IW805" s="9"/>
      <c r="IX805" s="9"/>
      <c r="IY805" s="9"/>
      <c r="IZ805" s="9"/>
      <c r="JA805" s="9"/>
      <c r="JB805" s="9"/>
      <c r="JC805" s="9"/>
      <c r="JD805" s="9"/>
      <c r="JE805" s="9"/>
      <c r="JF805" s="9"/>
      <c r="JG805" s="9"/>
      <c r="JH805" s="9"/>
      <c r="JI805" s="9"/>
      <c r="JJ805" s="9"/>
      <c r="JK805" s="9"/>
      <c r="JL805" s="9"/>
      <c r="JM805" s="9"/>
      <c r="JN805" s="9"/>
      <c r="JO805" s="9"/>
      <c r="JP805" s="9"/>
      <c r="JQ805" s="9"/>
      <c r="JR805" s="9"/>
      <c r="JS805" s="9"/>
      <c r="JT805" s="9"/>
      <c r="JU805" s="9"/>
      <c r="JV805" s="9"/>
      <c r="JW805" s="9"/>
      <c r="JX805" s="9"/>
      <c r="JY805" s="9"/>
      <c r="JZ805" s="9"/>
      <c r="KA805" s="9"/>
      <c r="KB805" s="9"/>
      <c r="KC805" s="9"/>
      <c r="KD805" s="9"/>
      <c r="KE805" s="9"/>
      <c r="KF805" s="9"/>
      <c r="KG805" s="9"/>
      <c r="KH805" s="9"/>
      <c r="KI805" s="9"/>
      <c r="KJ805" s="9"/>
      <c r="KK805" s="9"/>
      <c r="KL805" s="9"/>
      <c r="KM805" s="9"/>
      <c r="KN805" s="9"/>
      <c r="KO805" s="9"/>
      <c r="KP805" s="9"/>
      <c r="KQ805" s="9"/>
      <c r="KR805" s="9"/>
      <c r="KS805" s="9"/>
      <c r="KT805" s="9"/>
      <c r="KU805" s="9"/>
      <c r="KV805" s="9"/>
      <c r="KW805" s="9"/>
      <c r="KX805" s="9"/>
      <c r="KY805" s="9"/>
      <c r="KZ805" s="9"/>
      <c r="LA805" s="9"/>
      <c r="LB805" s="9"/>
      <c r="LC805" s="9"/>
      <c r="LD805" s="9"/>
      <c r="LE805" s="9"/>
      <c r="LF805" s="9"/>
      <c r="LG805" s="9"/>
      <c r="LH805" s="9"/>
      <c r="LI805" s="9"/>
      <c r="LJ805" s="9"/>
      <c r="LK805" s="9"/>
      <c r="LL805" s="9"/>
      <c r="LM805" s="9"/>
      <c r="LN805" s="9"/>
      <c r="LO805" s="9"/>
      <c r="LP805" s="9"/>
      <c r="LQ805" s="9"/>
      <c r="LR805" s="9"/>
      <c r="LS805" s="9"/>
      <c r="LT805" s="9"/>
      <c r="LU805" s="9"/>
      <c r="LV805" s="9"/>
      <c r="LW805" s="9"/>
      <c r="LX805" s="9"/>
      <c r="LY805" s="9"/>
      <c r="LZ805" s="9"/>
      <c r="MA805" s="9"/>
      <c r="MB805" s="9"/>
      <c r="MC805" s="9"/>
      <c r="MD805" s="9"/>
      <c r="ME805" s="9"/>
      <c r="MF805" s="9"/>
      <c r="MG805" s="9"/>
      <c r="MH805" s="9"/>
      <c r="MI805" s="9"/>
      <c r="MJ805" s="9"/>
      <c r="MK805" s="9"/>
      <c r="ML805" s="9"/>
      <c r="MM805" s="9"/>
      <c r="MN805" s="9"/>
      <c r="MO805" s="9"/>
      <c r="MP805" s="9"/>
      <c r="MQ805" s="9"/>
      <c r="MR805" s="9"/>
      <c r="MS805" s="9"/>
      <c r="MT805" s="9"/>
      <c r="MU805" s="9"/>
      <c r="MV805" s="9"/>
      <c r="MW805" s="9"/>
      <c r="MX805" s="9"/>
      <c r="MY805" s="9"/>
      <c r="MZ805" s="9"/>
      <c r="NA805" s="9"/>
      <c r="NB805" s="9"/>
      <c r="NC805" s="9"/>
      <c r="ND805" s="9"/>
      <c r="NE805" s="9"/>
      <c r="NF805" s="9"/>
      <c r="NG805" s="9"/>
      <c r="NH805" s="9"/>
      <c r="NI805" s="9"/>
      <c r="NJ805" s="9"/>
      <c r="NK805" s="9"/>
      <c r="NL805" s="9"/>
      <c r="NM805" s="9"/>
      <c r="NN805" s="9"/>
      <c r="NO805" s="9"/>
      <c r="NP805" s="9"/>
      <c r="NQ805" s="9"/>
      <c r="NR805" s="9"/>
      <c r="NS805" s="9"/>
      <c r="NT805" s="9"/>
      <c r="NU805" s="9"/>
      <c r="NV805" s="9"/>
      <c r="NW805" s="9"/>
      <c r="NX805" s="9"/>
      <c r="NY805" s="9"/>
      <c r="NZ805" s="9"/>
      <c r="OA805" s="9"/>
      <c r="OB805" s="9"/>
      <c r="OC805" s="9"/>
      <c r="OD805" s="9"/>
      <c r="OE805" s="9"/>
      <c r="OF805" s="9"/>
      <c r="OG805" s="9"/>
      <c r="OH805" s="9"/>
      <c r="OI805" s="9"/>
      <c r="OJ805" s="9"/>
      <c r="OK805" s="9"/>
      <c r="OL805" s="9"/>
      <c r="OM805" s="9"/>
      <c r="ON805" s="9"/>
      <c r="OO805" s="9"/>
      <c r="OP805" s="9"/>
      <c r="OQ805" s="9"/>
      <c r="OR805" s="9"/>
      <c r="OS805" s="9"/>
      <c r="OT805" s="9"/>
      <c r="OU805" s="9"/>
      <c r="OV805" s="9"/>
      <c r="OW805" s="9"/>
      <c r="OX805" s="9"/>
      <c r="OY805" s="9"/>
      <c r="OZ805" s="9"/>
      <c r="PA805" s="9"/>
      <c r="PB805" s="9"/>
      <c r="PC805" s="9"/>
      <c r="PD805" s="9"/>
      <c r="PE805" s="9"/>
      <c r="PF805" s="9"/>
      <c r="PG805" s="9"/>
      <c r="PH805" s="9"/>
      <c r="PI805" s="9"/>
      <c r="PJ805" s="9"/>
      <c r="PK805" s="9"/>
      <c r="PL805" s="9"/>
      <c r="PM805" s="9"/>
      <c r="PN805" s="9"/>
      <c r="PO805" s="9"/>
      <c r="PP805" s="9"/>
      <c r="PQ805" s="9"/>
      <c r="PR805" s="9"/>
      <c r="PS805" s="9"/>
      <c r="PT805" s="9"/>
      <c r="PU805" s="9"/>
      <c r="PV805" s="9"/>
      <c r="PW805" s="9"/>
      <c r="PX805" s="9"/>
      <c r="PY805" s="9"/>
      <c r="PZ805" s="9"/>
      <c r="QA805" s="9"/>
      <c r="QB805" s="9"/>
      <c r="QC805" s="9"/>
      <c r="QD805" s="9"/>
      <c r="QE805" s="9"/>
      <c r="QF805" s="9"/>
      <c r="QG805" s="9"/>
      <c r="QH805" s="9"/>
      <c r="QI805" s="9"/>
      <c r="QJ805" s="9"/>
      <c r="QK805" s="9"/>
      <c r="QL805" s="9"/>
      <c r="QM805" s="9"/>
      <c r="QN805" s="9"/>
      <c r="QO805" s="9"/>
      <c r="QP805" s="9"/>
      <c r="QQ805" s="9"/>
      <c r="QR805" s="9"/>
      <c r="QS805" s="9"/>
      <c r="QT805" s="9"/>
      <c r="QU805" s="9"/>
      <c r="QV805" s="9"/>
      <c r="QW805" s="9"/>
      <c r="QX805" s="9"/>
      <c r="QY805" s="9"/>
      <c r="QZ805" s="9"/>
      <c r="RA805" s="9"/>
      <c r="RB805" s="9"/>
      <c r="RC805" s="9"/>
      <c r="RD805" s="9"/>
      <c r="RE805" s="9"/>
      <c r="RF805" s="9"/>
      <c r="RG805" s="9"/>
      <c r="RH805" s="9"/>
      <c r="RI805" s="9"/>
      <c r="RJ805" s="9"/>
      <c r="RK805" s="9"/>
      <c r="RL805" s="9"/>
      <c r="RM805" s="9"/>
      <c r="RN805" s="9"/>
      <c r="RO805" s="9"/>
      <c r="RP805" s="9"/>
      <c r="RQ805" s="9"/>
      <c r="RR805" s="9"/>
      <c r="RS805" s="9"/>
      <c r="RT805" s="9"/>
      <c r="RU805" s="9"/>
      <c r="RV805" s="9"/>
      <c r="RW805" s="9"/>
      <c r="RX805" s="9"/>
      <c r="RY805" s="9"/>
      <c r="RZ805" s="9"/>
      <c r="SA805" s="9"/>
      <c r="SB805" s="9"/>
      <c r="SC805" s="9"/>
      <c r="SD805" s="9"/>
      <c r="SE805" s="9"/>
      <c r="SF805" s="9"/>
      <c r="SG805" s="9"/>
      <c r="SH805" s="9"/>
      <c r="SI805" s="9"/>
      <c r="SJ805" s="9"/>
      <c r="SK805" s="9"/>
      <c r="SL805" s="9"/>
      <c r="SM805" s="9"/>
      <c r="SN805" s="9"/>
      <c r="SO805" s="9"/>
      <c r="SP805" s="9"/>
      <c r="SQ805" s="9"/>
      <c r="SR805" s="9"/>
      <c r="SS805" s="9"/>
      <c r="ST805" s="9"/>
      <c r="SU805" s="9"/>
      <c r="SV805" s="9"/>
      <c r="SW805" s="9"/>
      <c r="SX805" s="9"/>
      <c r="SY805" s="9"/>
      <c r="SZ805" s="9"/>
      <c r="TA805" s="9"/>
      <c r="TB805" s="9"/>
      <c r="TC805" s="9"/>
      <c r="TD805" s="9"/>
      <c r="TE805" s="9"/>
      <c r="TF805" s="9"/>
      <c r="TG805" s="9"/>
      <c r="TH805" s="9"/>
      <c r="TI805" s="9"/>
      <c r="TJ805" s="9"/>
      <c r="TK805" s="9"/>
      <c r="TL805" s="9"/>
      <c r="TM805" s="9"/>
      <c r="TN805" s="9"/>
      <c r="TO805" s="9"/>
      <c r="TP805" s="9"/>
      <c r="TQ805" s="9"/>
      <c r="TR805" s="9"/>
      <c r="TS805" s="9"/>
      <c r="TT805" s="9"/>
      <c r="TU805" s="9"/>
      <c r="TV805" s="9"/>
      <c r="TW805" s="9"/>
      <c r="TX805" s="9"/>
      <c r="TY805" s="9"/>
      <c r="TZ805" s="9"/>
      <c r="UA805" s="9"/>
      <c r="UB805" s="9"/>
      <c r="UC805" s="9"/>
      <c r="UD805" s="9"/>
      <c r="UE805" s="9"/>
      <c r="UF805" s="9"/>
      <c r="UG805" s="9"/>
      <c r="UH805" s="9"/>
      <c r="UI805" s="9"/>
      <c r="UJ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  <c r="HO806" s="9"/>
      <c r="HP806" s="9"/>
      <c r="HQ806" s="9"/>
      <c r="HR806" s="9"/>
      <c r="HS806" s="9"/>
      <c r="HT806" s="9"/>
      <c r="HU806" s="9"/>
      <c r="HV806" s="9"/>
      <c r="HW806" s="9"/>
      <c r="HX806" s="9"/>
      <c r="HY806" s="9"/>
      <c r="HZ806" s="9"/>
      <c r="IA806" s="9"/>
      <c r="IB806" s="9"/>
      <c r="IC806" s="9"/>
      <c r="ID806" s="9"/>
      <c r="IE806" s="9"/>
      <c r="IF806" s="9"/>
      <c r="IG806" s="9"/>
      <c r="IH806" s="9"/>
      <c r="II806" s="9"/>
      <c r="IJ806" s="9"/>
      <c r="IK806" s="9"/>
      <c r="IL806" s="9"/>
      <c r="IM806" s="9"/>
      <c r="IN806" s="9"/>
      <c r="IO806" s="9"/>
      <c r="IP806" s="9"/>
      <c r="IQ806" s="9"/>
      <c r="IR806" s="9"/>
      <c r="IS806" s="9"/>
      <c r="IT806" s="9"/>
      <c r="IU806" s="9"/>
      <c r="IV806" s="9"/>
      <c r="IW806" s="9"/>
      <c r="IX806" s="9"/>
      <c r="IY806" s="9"/>
      <c r="IZ806" s="9"/>
      <c r="JA806" s="9"/>
      <c r="JB806" s="9"/>
      <c r="JC806" s="9"/>
      <c r="JD806" s="9"/>
      <c r="JE806" s="9"/>
      <c r="JF806" s="9"/>
      <c r="JG806" s="9"/>
      <c r="JH806" s="9"/>
      <c r="JI806" s="9"/>
      <c r="JJ806" s="9"/>
      <c r="JK806" s="9"/>
      <c r="JL806" s="9"/>
      <c r="JM806" s="9"/>
      <c r="JN806" s="9"/>
      <c r="JO806" s="9"/>
      <c r="JP806" s="9"/>
      <c r="JQ806" s="9"/>
      <c r="JR806" s="9"/>
      <c r="JS806" s="9"/>
      <c r="JT806" s="9"/>
      <c r="JU806" s="9"/>
      <c r="JV806" s="9"/>
      <c r="JW806" s="9"/>
      <c r="JX806" s="9"/>
      <c r="JY806" s="9"/>
      <c r="JZ806" s="9"/>
      <c r="KA806" s="9"/>
      <c r="KB806" s="9"/>
      <c r="KC806" s="9"/>
      <c r="KD806" s="9"/>
      <c r="KE806" s="9"/>
      <c r="KF806" s="9"/>
      <c r="KG806" s="9"/>
      <c r="KH806" s="9"/>
      <c r="KI806" s="9"/>
      <c r="KJ806" s="9"/>
      <c r="KK806" s="9"/>
      <c r="KL806" s="9"/>
      <c r="KM806" s="9"/>
      <c r="KN806" s="9"/>
      <c r="KO806" s="9"/>
      <c r="KP806" s="9"/>
      <c r="KQ806" s="9"/>
      <c r="KR806" s="9"/>
      <c r="KS806" s="9"/>
      <c r="KT806" s="9"/>
      <c r="KU806" s="9"/>
      <c r="KV806" s="9"/>
      <c r="KW806" s="9"/>
      <c r="KX806" s="9"/>
      <c r="KY806" s="9"/>
      <c r="KZ806" s="9"/>
      <c r="LA806" s="9"/>
      <c r="LB806" s="9"/>
      <c r="LC806" s="9"/>
      <c r="LD806" s="9"/>
      <c r="LE806" s="9"/>
      <c r="LF806" s="9"/>
      <c r="LG806" s="9"/>
      <c r="LH806" s="9"/>
      <c r="LI806" s="9"/>
      <c r="LJ806" s="9"/>
      <c r="LK806" s="9"/>
      <c r="LL806" s="9"/>
      <c r="LM806" s="9"/>
      <c r="LN806" s="9"/>
      <c r="LO806" s="9"/>
      <c r="LP806" s="9"/>
      <c r="LQ806" s="9"/>
      <c r="LR806" s="9"/>
      <c r="LS806" s="9"/>
      <c r="LT806" s="9"/>
      <c r="LU806" s="9"/>
      <c r="LV806" s="9"/>
      <c r="LW806" s="9"/>
      <c r="LX806" s="9"/>
      <c r="LY806" s="9"/>
      <c r="LZ806" s="9"/>
      <c r="MA806" s="9"/>
      <c r="MB806" s="9"/>
      <c r="MC806" s="9"/>
      <c r="MD806" s="9"/>
      <c r="ME806" s="9"/>
      <c r="MF806" s="9"/>
      <c r="MG806" s="9"/>
      <c r="MH806" s="9"/>
      <c r="MI806" s="9"/>
      <c r="MJ806" s="9"/>
      <c r="MK806" s="9"/>
      <c r="ML806" s="9"/>
      <c r="MM806" s="9"/>
      <c r="MN806" s="9"/>
      <c r="MO806" s="9"/>
      <c r="MP806" s="9"/>
      <c r="MQ806" s="9"/>
      <c r="MR806" s="9"/>
      <c r="MS806" s="9"/>
      <c r="MT806" s="9"/>
      <c r="MU806" s="9"/>
      <c r="MV806" s="9"/>
      <c r="MW806" s="9"/>
      <c r="MX806" s="9"/>
      <c r="MY806" s="9"/>
      <c r="MZ806" s="9"/>
      <c r="NA806" s="9"/>
      <c r="NB806" s="9"/>
      <c r="NC806" s="9"/>
      <c r="ND806" s="9"/>
      <c r="NE806" s="9"/>
      <c r="NF806" s="9"/>
      <c r="NG806" s="9"/>
      <c r="NH806" s="9"/>
      <c r="NI806" s="9"/>
      <c r="NJ806" s="9"/>
      <c r="NK806" s="9"/>
      <c r="NL806" s="9"/>
      <c r="NM806" s="9"/>
      <c r="NN806" s="9"/>
      <c r="NO806" s="9"/>
      <c r="NP806" s="9"/>
      <c r="NQ806" s="9"/>
      <c r="NR806" s="9"/>
      <c r="NS806" s="9"/>
      <c r="NT806" s="9"/>
      <c r="NU806" s="9"/>
      <c r="NV806" s="9"/>
      <c r="NW806" s="9"/>
      <c r="NX806" s="9"/>
      <c r="NY806" s="9"/>
      <c r="NZ806" s="9"/>
      <c r="OA806" s="9"/>
      <c r="OB806" s="9"/>
      <c r="OC806" s="9"/>
      <c r="OD806" s="9"/>
      <c r="OE806" s="9"/>
      <c r="OF806" s="9"/>
      <c r="OG806" s="9"/>
      <c r="OH806" s="9"/>
      <c r="OI806" s="9"/>
      <c r="OJ806" s="9"/>
      <c r="OK806" s="9"/>
      <c r="OL806" s="9"/>
      <c r="OM806" s="9"/>
      <c r="ON806" s="9"/>
      <c r="OO806" s="9"/>
      <c r="OP806" s="9"/>
      <c r="OQ806" s="9"/>
      <c r="OR806" s="9"/>
      <c r="OS806" s="9"/>
      <c r="OT806" s="9"/>
      <c r="OU806" s="9"/>
      <c r="OV806" s="9"/>
      <c r="OW806" s="9"/>
      <c r="OX806" s="9"/>
      <c r="OY806" s="9"/>
      <c r="OZ806" s="9"/>
      <c r="PA806" s="9"/>
      <c r="PB806" s="9"/>
      <c r="PC806" s="9"/>
      <c r="PD806" s="9"/>
      <c r="PE806" s="9"/>
      <c r="PF806" s="9"/>
      <c r="PG806" s="9"/>
      <c r="PH806" s="9"/>
      <c r="PI806" s="9"/>
      <c r="PJ806" s="9"/>
      <c r="PK806" s="9"/>
      <c r="PL806" s="9"/>
      <c r="PM806" s="9"/>
      <c r="PN806" s="9"/>
      <c r="PO806" s="9"/>
      <c r="PP806" s="9"/>
      <c r="PQ806" s="9"/>
      <c r="PR806" s="9"/>
      <c r="PS806" s="9"/>
      <c r="PT806" s="9"/>
      <c r="PU806" s="9"/>
      <c r="PV806" s="9"/>
      <c r="PW806" s="9"/>
      <c r="PX806" s="9"/>
      <c r="PY806" s="9"/>
      <c r="PZ806" s="9"/>
      <c r="QA806" s="9"/>
      <c r="QB806" s="9"/>
      <c r="QC806" s="9"/>
      <c r="QD806" s="9"/>
      <c r="QE806" s="9"/>
      <c r="QF806" s="9"/>
      <c r="QG806" s="9"/>
      <c r="QH806" s="9"/>
      <c r="QI806" s="9"/>
      <c r="QJ806" s="9"/>
      <c r="QK806" s="9"/>
      <c r="QL806" s="9"/>
      <c r="QM806" s="9"/>
      <c r="QN806" s="9"/>
      <c r="QO806" s="9"/>
      <c r="QP806" s="9"/>
      <c r="QQ806" s="9"/>
      <c r="QR806" s="9"/>
      <c r="QS806" s="9"/>
      <c r="QT806" s="9"/>
      <c r="QU806" s="9"/>
      <c r="QV806" s="9"/>
      <c r="QW806" s="9"/>
      <c r="QX806" s="9"/>
      <c r="QY806" s="9"/>
      <c r="QZ806" s="9"/>
      <c r="RA806" s="9"/>
      <c r="RB806" s="9"/>
      <c r="RC806" s="9"/>
      <c r="RD806" s="9"/>
      <c r="RE806" s="9"/>
      <c r="RF806" s="9"/>
      <c r="RG806" s="9"/>
      <c r="RH806" s="9"/>
      <c r="RI806" s="9"/>
      <c r="RJ806" s="9"/>
      <c r="RK806" s="9"/>
      <c r="RL806" s="9"/>
      <c r="RM806" s="9"/>
      <c r="RN806" s="9"/>
      <c r="RO806" s="9"/>
      <c r="RP806" s="9"/>
      <c r="RQ806" s="9"/>
      <c r="RR806" s="9"/>
      <c r="RS806" s="9"/>
      <c r="RT806" s="9"/>
      <c r="RU806" s="9"/>
      <c r="RV806" s="9"/>
      <c r="RW806" s="9"/>
      <c r="RX806" s="9"/>
      <c r="RY806" s="9"/>
      <c r="RZ806" s="9"/>
      <c r="SA806" s="9"/>
      <c r="SB806" s="9"/>
      <c r="SC806" s="9"/>
      <c r="SD806" s="9"/>
      <c r="SE806" s="9"/>
      <c r="SF806" s="9"/>
      <c r="SG806" s="9"/>
      <c r="SH806" s="9"/>
      <c r="SI806" s="9"/>
      <c r="SJ806" s="9"/>
      <c r="SK806" s="9"/>
      <c r="SL806" s="9"/>
      <c r="SM806" s="9"/>
      <c r="SN806" s="9"/>
      <c r="SO806" s="9"/>
      <c r="SP806" s="9"/>
      <c r="SQ806" s="9"/>
      <c r="SR806" s="9"/>
      <c r="SS806" s="9"/>
      <c r="ST806" s="9"/>
      <c r="SU806" s="9"/>
      <c r="SV806" s="9"/>
      <c r="SW806" s="9"/>
      <c r="SX806" s="9"/>
      <c r="SY806" s="9"/>
      <c r="SZ806" s="9"/>
      <c r="TA806" s="9"/>
      <c r="TB806" s="9"/>
      <c r="TC806" s="9"/>
      <c r="TD806" s="9"/>
      <c r="TE806" s="9"/>
      <c r="TF806" s="9"/>
      <c r="TG806" s="9"/>
      <c r="TH806" s="9"/>
      <c r="TI806" s="9"/>
      <c r="TJ806" s="9"/>
      <c r="TK806" s="9"/>
      <c r="TL806" s="9"/>
      <c r="TM806" s="9"/>
      <c r="TN806" s="9"/>
      <c r="TO806" s="9"/>
      <c r="TP806" s="9"/>
      <c r="TQ806" s="9"/>
      <c r="TR806" s="9"/>
      <c r="TS806" s="9"/>
      <c r="TT806" s="9"/>
      <c r="TU806" s="9"/>
      <c r="TV806" s="9"/>
      <c r="TW806" s="9"/>
      <c r="TX806" s="9"/>
      <c r="TY806" s="9"/>
      <c r="TZ806" s="9"/>
      <c r="UA806" s="9"/>
      <c r="UB806" s="9"/>
      <c r="UC806" s="9"/>
      <c r="UD806" s="9"/>
      <c r="UE806" s="9"/>
      <c r="UF806" s="9"/>
      <c r="UG806" s="9"/>
      <c r="UH806" s="9"/>
      <c r="UI806" s="9"/>
      <c r="UJ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  <c r="GA807" s="9"/>
      <c r="GB807" s="9"/>
      <c r="GC807" s="9"/>
      <c r="GD807" s="9"/>
      <c r="GE807" s="9"/>
      <c r="GF807" s="9"/>
      <c r="GG807" s="9"/>
      <c r="GH807" s="9"/>
      <c r="GI807" s="9"/>
      <c r="GJ807" s="9"/>
      <c r="GK807" s="9"/>
      <c r="GL807" s="9"/>
      <c r="GM807" s="9"/>
      <c r="GN807" s="9"/>
      <c r="GO807" s="9"/>
      <c r="GP807" s="9"/>
      <c r="GQ807" s="9"/>
      <c r="GR807" s="9"/>
      <c r="GS807" s="9"/>
      <c r="GT807" s="9"/>
      <c r="GU807" s="9"/>
      <c r="GV807" s="9"/>
      <c r="GW807" s="9"/>
      <c r="GX807" s="9"/>
      <c r="GY807" s="9"/>
      <c r="GZ807" s="9"/>
      <c r="HA807" s="9"/>
      <c r="HB807" s="9"/>
      <c r="HC807" s="9"/>
      <c r="HD807" s="9"/>
      <c r="HE807" s="9"/>
      <c r="HF807" s="9"/>
      <c r="HG807" s="9"/>
      <c r="HH807" s="9"/>
      <c r="HI807" s="9"/>
      <c r="HJ807" s="9"/>
      <c r="HK807" s="9"/>
      <c r="HL807" s="9"/>
      <c r="HM807" s="9"/>
      <c r="HN807" s="9"/>
      <c r="HO807" s="9"/>
      <c r="HP807" s="9"/>
      <c r="HQ807" s="9"/>
      <c r="HR807" s="9"/>
      <c r="HS807" s="9"/>
      <c r="HT807" s="9"/>
      <c r="HU807" s="9"/>
      <c r="HV807" s="9"/>
      <c r="HW807" s="9"/>
      <c r="HX807" s="9"/>
      <c r="HY807" s="9"/>
      <c r="HZ807" s="9"/>
      <c r="IA807" s="9"/>
      <c r="IB807" s="9"/>
      <c r="IC807" s="9"/>
      <c r="ID807" s="9"/>
      <c r="IE807" s="9"/>
      <c r="IF807" s="9"/>
      <c r="IG807" s="9"/>
      <c r="IH807" s="9"/>
      <c r="II807" s="9"/>
      <c r="IJ807" s="9"/>
      <c r="IK807" s="9"/>
      <c r="IL807" s="9"/>
      <c r="IM807" s="9"/>
      <c r="IN807" s="9"/>
      <c r="IO807" s="9"/>
      <c r="IP807" s="9"/>
      <c r="IQ807" s="9"/>
      <c r="IR807" s="9"/>
      <c r="IS807" s="9"/>
      <c r="IT807" s="9"/>
      <c r="IU807" s="9"/>
      <c r="IV807" s="9"/>
      <c r="IW807" s="9"/>
      <c r="IX807" s="9"/>
      <c r="IY807" s="9"/>
      <c r="IZ807" s="9"/>
      <c r="JA807" s="9"/>
      <c r="JB807" s="9"/>
      <c r="JC807" s="9"/>
      <c r="JD807" s="9"/>
      <c r="JE807" s="9"/>
      <c r="JF807" s="9"/>
      <c r="JG807" s="9"/>
      <c r="JH807" s="9"/>
      <c r="JI807" s="9"/>
      <c r="JJ807" s="9"/>
      <c r="JK807" s="9"/>
      <c r="JL807" s="9"/>
      <c r="JM807" s="9"/>
      <c r="JN807" s="9"/>
      <c r="JO807" s="9"/>
      <c r="JP807" s="9"/>
      <c r="JQ807" s="9"/>
      <c r="JR807" s="9"/>
      <c r="JS807" s="9"/>
      <c r="JT807" s="9"/>
      <c r="JU807" s="9"/>
      <c r="JV807" s="9"/>
      <c r="JW807" s="9"/>
      <c r="JX807" s="9"/>
      <c r="JY807" s="9"/>
      <c r="JZ807" s="9"/>
      <c r="KA807" s="9"/>
      <c r="KB807" s="9"/>
      <c r="KC807" s="9"/>
      <c r="KD807" s="9"/>
      <c r="KE807" s="9"/>
      <c r="KF807" s="9"/>
      <c r="KG807" s="9"/>
      <c r="KH807" s="9"/>
      <c r="KI807" s="9"/>
      <c r="KJ807" s="9"/>
      <c r="KK807" s="9"/>
      <c r="KL807" s="9"/>
      <c r="KM807" s="9"/>
      <c r="KN807" s="9"/>
      <c r="KO807" s="9"/>
      <c r="KP807" s="9"/>
      <c r="KQ807" s="9"/>
      <c r="KR807" s="9"/>
      <c r="KS807" s="9"/>
      <c r="KT807" s="9"/>
      <c r="KU807" s="9"/>
      <c r="KV807" s="9"/>
      <c r="KW807" s="9"/>
      <c r="KX807" s="9"/>
      <c r="KY807" s="9"/>
      <c r="KZ807" s="9"/>
      <c r="LA807" s="9"/>
      <c r="LB807" s="9"/>
      <c r="LC807" s="9"/>
      <c r="LD807" s="9"/>
      <c r="LE807" s="9"/>
      <c r="LF807" s="9"/>
      <c r="LG807" s="9"/>
      <c r="LH807" s="9"/>
      <c r="LI807" s="9"/>
      <c r="LJ807" s="9"/>
      <c r="LK807" s="9"/>
      <c r="LL807" s="9"/>
      <c r="LM807" s="9"/>
      <c r="LN807" s="9"/>
      <c r="LO807" s="9"/>
      <c r="LP807" s="9"/>
      <c r="LQ807" s="9"/>
      <c r="LR807" s="9"/>
      <c r="LS807" s="9"/>
      <c r="LT807" s="9"/>
      <c r="LU807" s="9"/>
      <c r="LV807" s="9"/>
      <c r="LW807" s="9"/>
      <c r="LX807" s="9"/>
      <c r="LY807" s="9"/>
      <c r="LZ807" s="9"/>
      <c r="MA807" s="9"/>
      <c r="MB807" s="9"/>
      <c r="MC807" s="9"/>
      <c r="MD807" s="9"/>
      <c r="ME807" s="9"/>
      <c r="MF807" s="9"/>
      <c r="MG807" s="9"/>
      <c r="MH807" s="9"/>
      <c r="MI807" s="9"/>
      <c r="MJ807" s="9"/>
      <c r="MK807" s="9"/>
      <c r="ML807" s="9"/>
      <c r="MM807" s="9"/>
      <c r="MN807" s="9"/>
      <c r="MO807" s="9"/>
      <c r="MP807" s="9"/>
      <c r="MQ807" s="9"/>
      <c r="MR807" s="9"/>
      <c r="MS807" s="9"/>
      <c r="MT807" s="9"/>
      <c r="MU807" s="9"/>
      <c r="MV807" s="9"/>
      <c r="MW807" s="9"/>
      <c r="MX807" s="9"/>
      <c r="MY807" s="9"/>
      <c r="MZ807" s="9"/>
      <c r="NA807" s="9"/>
      <c r="NB807" s="9"/>
      <c r="NC807" s="9"/>
      <c r="ND807" s="9"/>
      <c r="NE807" s="9"/>
      <c r="NF807" s="9"/>
      <c r="NG807" s="9"/>
      <c r="NH807" s="9"/>
      <c r="NI807" s="9"/>
      <c r="NJ807" s="9"/>
      <c r="NK807" s="9"/>
      <c r="NL807" s="9"/>
      <c r="NM807" s="9"/>
      <c r="NN807" s="9"/>
      <c r="NO807" s="9"/>
      <c r="NP807" s="9"/>
      <c r="NQ807" s="9"/>
      <c r="NR807" s="9"/>
      <c r="NS807" s="9"/>
      <c r="NT807" s="9"/>
      <c r="NU807" s="9"/>
      <c r="NV807" s="9"/>
      <c r="NW807" s="9"/>
      <c r="NX807" s="9"/>
      <c r="NY807" s="9"/>
      <c r="NZ807" s="9"/>
      <c r="OA807" s="9"/>
      <c r="OB807" s="9"/>
      <c r="OC807" s="9"/>
      <c r="OD807" s="9"/>
      <c r="OE807" s="9"/>
      <c r="OF807" s="9"/>
      <c r="OG807" s="9"/>
      <c r="OH807" s="9"/>
      <c r="OI807" s="9"/>
      <c r="OJ807" s="9"/>
      <c r="OK807" s="9"/>
      <c r="OL807" s="9"/>
      <c r="OM807" s="9"/>
      <c r="ON807" s="9"/>
      <c r="OO807" s="9"/>
      <c r="OP807" s="9"/>
      <c r="OQ807" s="9"/>
      <c r="OR807" s="9"/>
      <c r="OS807" s="9"/>
      <c r="OT807" s="9"/>
      <c r="OU807" s="9"/>
      <c r="OV807" s="9"/>
      <c r="OW807" s="9"/>
      <c r="OX807" s="9"/>
      <c r="OY807" s="9"/>
      <c r="OZ807" s="9"/>
      <c r="PA807" s="9"/>
      <c r="PB807" s="9"/>
      <c r="PC807" s="9"/>
      <c r="PD807" s="9"/>
      <c r="PE807" s="9"/>
      <c r="PF807" s="9"/>
      <c r="PG807" s="9"/>
      <c r="PH807" s="9"/>
      <c r="PI807" s="9"/>
      <c r="PJ807" s="9"/>
      <c r="PK807" s="9"/>
      <c r="PL807" s="9"/>
      <c r="PM807" s="9"/>
      <c r="PN807" s="9"/>
      <c r="PO807" s="9"/>
      <c r="PP807" s="9"/>
      <c r="PQ807" s="9"/>
      <c r="PR807" s="9"/>
      <c r="PS807" s="9"/>
      <c r="PT807" s="9"/>
      <c r="PU807" s="9"/>
      <c r="PV807" s="9"/>
      <c r="PW807" s="9"/>
      <c r="PX807" s="9"/>
      <c r="PY807" s="9"/>
      <c r="PZ807" s="9"/>
      <c r="QA807" s="9"/>
      <c r="QB807" s="9"/>
      <c r="QC807" s="9"/>
      <c r="QD807" s="9"/>
      <c r="QE807" s="9"/>
      <c r="QF807" s="9"/>
      <c r="QG807" s="9"/>
      <c r="QH807" s="9"/>
      <c r="QI807" s="9"/>
      <c r="QJ807" s="9"/>
      <c r="QK807" s="9"/>
      <c r="QL807" s="9"/>
      <c r="QM807" s="9"/>
      <c r="QN807" s="9"/>
      <c r="QO807" s="9"/>
      <c r="QP807" s="9"/>
      <c r="QQ807" s="9"/>
      <c r="QR807" s="9"/>
      <c r="QS807" s="9"/>
      <c r="QT807" s="9"/>
      <c r="QU807" s="9"/>
      <c r="QV807" s="9"/>
      <c r="QW807" s="9"/>
      <c r="QX807" s="9"/>
      <c r="QY807" s="9"/>
      <c r="QZ807" s="9"/>
      <c r="RA807" s="9"/>
      <c r="RB807" s="9"/>
      <c r="RC807" s="9"/>
      <c r="RD807" s="9"/>
      <c r="RE807" s="9"/>
      <c r="RF807" s="9"/>
      <c r="RG807" s="9"/>
      <c r="RH807" s="9"/>
      <c r="RI807" s="9"/>
      <c r="RJ807" s="9"/>
      <c r="RK807" s="9"/>
      <c r="RL807" s="9"/>
      <c r="RM807" s="9"/>
      <c r="RN807" s="9"/>
      <c r="RO807" s="9"/>
      <c r="RP807" s="9"/>
      <c r="RQ807" s="9"/>
      <c r="RR807" s="9"/>
      <c r="RS807" s="9"/>
      <c r="RT807" s="9"/>
      <c r="RU807" s="9"/>
      <c r="RV807" s="9"/>
      <c r="RW807" s="9"/>
      <c r="RX807" s="9"/>
      <c r="RY807" s="9"/>
      <c r="RZ807" s="9"/>
      <c r="SA807" s="9"/>
      <c r="SB807" s="9"/>
      <c r="SC807" s="9"/>
      <c r="SD807" s="9"/>
      <c r="SE807" s="9"/>
      <c r="SF807" s="9"/>
      <c r="SG807" s="9"/>
      <c r="SH807" s="9"/>
      <c r="SI807" s="9"/>
      <c r="SJ807" s="9"/>
      <c r="SK807" s="9"/>
      <c r="SL807" s="9"/>
      <c r="SM807" s="9"/>
      <c r="SN807" s="9"/>
      <c r="SO807" s="9"/>
      <c r="SP807" s="9"/>
      <c r="SQ807" s="9"/>
      <c r="SR807" s="9"/>
      <c r="SS807" s="9"/>
      <c r="ST807" s="9"/>
      <c r="SU807" s="9"/>
      <c r="SV807" s="9"/>
      <c r="SW807" s="9"/>
      <c r="SX807" s="9"/>
      <c r="SY807" s="9"/>
      <c r="SZ807" s="9"/>
      <c r="TA807" s="9"/>
      <c r="TB807" s="9"/>
      <c r="TC807" s="9"/>
      <c r="TD807" s="9"/>
      <c r="TE807" s="9"/>
      <c r="TF807" s="9"/>
      <c r="TG807" s="9"/>
      <c r="TH807" s="9"/>
      <c r="TI807" s="9"/>
      <c r="TJ807" s="9"/>
      <c r="TK807" s="9"/>
      <c r="TL807" s="9"/>
      <c r="TM807" s="9"/>
      <c r="TN807" s="9"/>
      <c r="TO807" s="9"/>
      <c r="TP807" s="9"/>
      <c r="TQ807" s="9"/>
      <c r="TR807" s="9"/>
      <c r="TS807" s="9"/>
      <c r="TT807" s="9"/>
      <c r="TU807" s="9"/>
      <c r="TV807" s="9"/>
      <c r="TW807" s="9"/>
      <c r="TX807" s="9"/>
      <c r="TY807" s="9"/>
      <c r="TZ807" s="9"/>
      <c r="UA807" s="9"/>
      <c r="UB807" s="9"/>
      <c r="UC807" s="9"/>
      <c r="UD807" s="9"/>
      <c r="UE807" s="9"/>
      <c r="UF807" s="9"/>
      <c r="UG807" s="9"/>
      <c r="UH807" s="9"/>
      <c r="UI807" s="9"/>
      <c r="UJ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9"/>
      <c r="HQ808" s="9"/>
      <c r="HR808" s="9"/>
      <c r="HS808" s="9"/>
      <c r="HT808" s="9"/>
      <c r="HU808" s="9"/>
      <c r="HV808" s="9"/>
      <c r="HW808" s="9"/>
      <c r="HX808" s="9"/>
      <c r="HY808" s="9"/>
      <c r="HZ808" s="9"/>
      <c r="IA808" s="9"/>
      <c r="IB808" s="9"/>
      <c r="IC808" s="9"/>
      <c r="ID808" s="9"/>
      <c r="IE808" s="9"/>
      <c r="IF808" s="9"/>
      <c r="IG808" s="9"/>
      <c r="IH808" s="9"/>
      <c r="II808" s="9"/>
      <c r="IJ808" s="9"/>
      <c r="IK808" s="9"/>
      <c r="IL808" s="9"/>
      <c r="IM808" s="9"/>
      <c r="IN808" s="9"/>
      <c r="IO808" s="9"/>
      <c r="IP808" s="9"/>
      <c r="IQ808" s="9"/>
      <c r="IR808" s="9"/>
      <c r="IS808" s="9"/>
      <c r="IT808" s="9"/>
      <c r="IU808" s="9"/>
      <c r="IV808" s="9"/>
      <c r="IW808" s="9"/>
      <c r="IX808" s="9"/>
      <c r="IY808" s="9"/>
      <c r="IZ808" s="9"/>
      <c r="JA808" s="9"/>
      <c r="JB808" s="9"/>
      <c r="JC808" s="9"/>
      <c r="JD808" s="9"/>
      <c r="JE808" s="9"/>
      <c r="JF808" s="9"/>
      <c r="JG808" s="9"/>
      <c r="JH808" s="9"/>
      <c r="JI808" s="9"/>
      <c r="JJ808" s="9"/>
      <c r="JK808" s="9"/>
      <c r="JL808" s="9"/>
      <c r="JM808" s="9"/>
      <c r="JN808" s="9"/>
      <c r="JO808" s="9"/>
      <c r="JP808" s="9"/>
      <c r="JQ808" s="9"/>
      <c r="JR808" s="9"/>
      <c r="JS808" s="9"/>
      <c r="JT808" s="9"/>
      <c r="JU808" s="9"/>
      <c r="JV808" s="9"/>
      <c r="JW808" s="9"/>
      <c r="JX808" s="9"/>
      <c r="JY808" s="9"/>
      <c r="JZ808" s="9"/>
      <c r="KA808" s="9"/>
      <c r="KB808" s="9"/>
      <c r="KC808" s="9"/>
      <c r="KD808" s="9"/>
      <c r="KE808" s="9"/>
      <c r="KF808" s="9"/>
      <c r="KG808" s="9"/>
      <c r="KH808" s="9"/>
      <c r="KI808" s="9"/>
      <c r="KJ808" s="9"/>
      <c r="KK808" s="9"/>
      <c r="KL808" s="9"/>
      <c r="KM808" s="9"/>
      <c r="KN808" s="9"/>
      <c r="KO808" s="9"/>
      <c r="KP808" s="9"/>
      <c r="KQ808" s="9"/>
      <c r="KR808" s="9"/>
      <c r="KS808" s="9"/>
      <c r="KT808" s="9"/>
      <c r="KU808" s="9"/>
      <c r="KV808" s="9"/>
      <c r="KW808" s="9"/>
      <c r="KX808" s="9"/>
      <c r="KY808" s="9"/>
      <c r="KZ808" s="9"/>
      <c r="LA808" s="9"/>
      <c r="LB808" s="9"/>
      <c r="LC808" s="9"/>
      <c r="LD808" s="9"/>
      <c r="LE808" s="9"/>
      <c r="LF808" s="9"/>
      <c r="LG808" s="9"/>
      <c r="LH808" s="9"/>
      <c r="LI808" s="9"/>
      <c r="LJ808" s="9"/>
      <c r="LK808" s="9"/>
      <c r="LL808" s="9"/>
      <c r="LM808" s="9"/>
      <c r="LN808" s="9"/>
      <c r="LO808" s="9"/>
      <c r="LP808" s="9"/>
      <c r="LQ808" s="9"/>
      <c r="LR808" s="9"/>
      <c r="LS808" s="9"/>
      <c r="LT808" s="9"/>
      <c r="LU808" s="9"/>
      <c r="LV808" s="9"/>
      <c r="LW808" s="9"/>
      <c r="LX808" s="9"/>
      <c r="LY808" s="9"/>
      <c r="LZ808" s="9"/>
      <c r="MA808" s="9"/>
      <c r="MB808" s="9"/>
      <c r="MC808" s="9"/>
      <c r="MD808" s="9"/>
      <c r="ME808" s="9"/>
      <c r="MF808" s="9"/>
      <c r="MG808" s="9"/>
      <c r="MH808" s="9"/>
      <c r="MI808" s="9"/>
      <c r="MJ808" s="9"/>
      <c r="MK808" s="9"/>
      <c r="ML808" s="9"/>
      <c r="MM808" s="9"/>
      <c r="MN808" s="9"/>
      <c r="MO808" s="9"/>
      <c r="MP808" s="9"/>
      <c r="MQ808" s="9"/>
      <c r="MR808" s="9"/>
      <c r="MS808" s="9"/>
      <c r="MT808" s="9"/>
      <c r="MU808" s="9"/>
      <c r="MV808" s="9"/>
      <c r="MW808" s="9"/>
      <c r="MX808" s="9"/>
      <c r="MY808" s="9"/>
      <c r="MZ808" s="9"/>
      <c r="NA808" s="9"/>
      <c r="NB808" s="9"/>
      <c r="NC808" s="9"/>
      <c r="ND808" s="9"/>
      <c r="NE808" s="9"/>
      <c r="NF808" s="9"/>
      <c r="NG808" s="9"/>
      <c r="NH808" s="9"/>
      <c r="NI808" s="9"/>
      <c r="NJ808" s="9"/>
      <c r="NK808" s="9"/>
      <c r="NL808" s="9"/>
      <c r="NM808" s="9"/>
      <c r="NN808" s="9"/>
      <c r="NO808" s="9"/>
      <c r="NP808" s="9"/>
      <c r="NQ808" s="9"/>
      <c r="NR808" s="9"/>
      <c r="NS808" s="9"/>
      <c r="NT808" s="9"/>
      <c r="NU808" s="9"/>
      <c r="NV808" s="9"/>
      <c r="NW808" s="9"/>
      <c r="NX808" s="9"/>
      <c r="NY808" s="9"/>
      <c r="NZ808" s="9"/>
      <c r="OA808" s="9"/>
      <c r="OB808" s="9"/>
      <c r="OC808" s="9"/>
      <c r="OD808" s="9"/>
      <c r="OE808" s="9"/>
      <c r="OF808" s="9"/>
      <c r="OG808" s="9"/>
      <c r="OH808" s="9"/>
      <c r="OI808" s="9"/>
      <c r="OJ808" s="9"/>
      <c r="OK808" s="9"/>
      <c r="OL808" s="9"/>
      <c r="OM808" s="9"/>
      <c r="ON808" s="9"/>
      <c r="OO808" s="9"/>
      <c r="OP808" s="9"/>
      <c r="OQ808" s="9"/>
      <c r="OR808" s="9"/>
      <c r="OS808" s="9"/>
      <c r="OT808" s="9"/>
      <c r="OU808" s="9"/>
      <c r="OV808" s="9"/>
      <c r="OW808" s="9"/>
      <c r="OX808" s="9"/>
      <c r="OY808" s="9"/>
      <c r="OZ808" s="9"/>
      <c r="PA808" s="9"/>
      <c r="PB808" s="9"/>
      <c r="PC808" s="9"/>
      <c r="PD808" s="9"/>
      <c r="PE808" s="9"/>
      <c r="PF808" s="9"/>
      <c r="PG808" s="9"/>
      <c r="PH808" s="9"/>
      <c r="PI808" s="9"/>
      <c r="PJ808" s="9"/>
      <c r="PK808" s="9"/>
      <c r="PL808" s="9"/>
      <c r="PM808" s="9"/>
      <c r="PN808" s="9"/>
      <c r="PO808" s="9"/>
      <c r="PP808" s="9"/>
      <c r="PQ808" s="9"/>
      <c r="PR808" s="9"/>
      <c r="PS808" s="9"/>
      <c r="PT808" s="9"/>
      <c r="PU808" s="9"/>
      <c r="PV808" s="9"/>
      <c r="PW808" s="9"/>
      <c r="PX808" s="9"/>
      <c r="PY808" s="9"/>
      <c r="PZ808" s="9"/>
      <c r="QA808" s="9"/>
      <c r="QB808" s="9"/>
      <c r="QC808" s="9"/>
      <c r="QD808" s="9"/>
      <c r="QE808" s="9"/>
      <c r="QF808" s="9"/>
      <c r="QG808" s="9"/>
      <c r="QH808" s="9"/>
      <c r="QI808" s="9"/>
      <c r="QJ808" s="9"/>
      <c r="QK808" s="9"/>
      <c r="QL808" s="9"/>
      <c r="QM808" s="9"/>
      <c r="QN808" s="9"/>
      <c r="QO808" s="9"/>
      <c r="QP808" s="9"/>
      <c r="QQ808" s="9"/>
      <c r="QR808" s="9"/>
      <c r="QS808" s="9"/>
      <c r="QT808" s="9"/>
      <c r="QU808" s="9"/>
      <c r="QV808" s="9"/>
      <c r="QW808" s="9"/>
      <c r="QX808" s="9"/>
      <c r="QY808" s="9"/>
      <c r="QZ808" s="9"/>
      <c r="RA808" s="9"/>
      <c r="RB808" s="9"/>
      <c r="RC808" s="9"/>
      <c r="RD808" s="9"/>
      <c r="RE808" s="9"/>
      <c r="RF808" s="9"/>
      <c r="RG808" s="9"/>
      <c r="RH808" s="9"/>
      <c r="RI808" s="9"/>
      <c r="RJ808" s="9"/>
      <c r="RK808" s="9"/>
      <c r="RL808" s="9"/>
      <c r="RM808" s="9"/>
      <c r="RN808" s="9"/>
      <c r="RO808" s="9"/>
      <c r="RP808" s="9"/>
      <c r="RQ808" s="9"/>
      <c r="RR808" s="9"/>
      <c r="RS808" s="9"/>
      <c r="RT808" s="9"/>
      <c r="RU808" s="9"/>
      <c r="RV808" s="9"/>
      <c r="RW808" s="9"/>
      <c r="RX808" s="9"/>
      <c r="RY808" s="9"/>
      <c r="RZ808" s="9"/>
      <c r="SA808" s="9"/>
      <c r="SB808" s="9"/>
      <c r="SC808" s="9"/>
      <c r="SD808" s="9"/>
      <c r="SE808" s="9"/>
      <c r="SF808" s="9"/>
      <c r="SG808" s="9"/>
      <c r="SH808" s="9"/>
      <c r="SI808" s="9"/>
      <c r="SJ808" s="9"/>
      <c r="SK808" s="9"/>
      <c r="SL808" s="9"/>
      <c r="SM808" s="9"/>
      <c r="SN808" s="9"/>
      <c r="SO808" s="9"/>
      <c r="SP808" s="9"/>
      <c r="SQ808" s="9"/>
      <c r="SR808" s="9"/>
      <c r="SS808" s="9"/>
      <c r="ST808" s="9"/>
      <c r="SU808" s="9"/>
      <c r="SV808" s="9"/>
      <c r="SW808" s="9"/>
      <c r="SX808" s="9"/>
      <c r="SY808" s="9"/>
      <c r="SZ808" s="9"/>
      <c r="TA808" s="9"/>
      <c r="TB808" s="9"/>
      <c r="TC808" s="9"/>
      <c r="TD808" s="9"/>
      <c r="TE808" s="9"/>
      <c r="TF808" s="9"/>
      <c r="TG808" s="9"/>
      <c r="TH808" s="9"/>
      <c r="TI808" s="9"/>
      <c r="TJ808" s="9"/>
      <c r="TK808" s="9"/>
      <c r="TL808" s="9"/>
      <c r="TM808" s="9"/>
      <c r="TN808" s="9"/>
      <c r="TO808" s="9"/>
      <c r="TP808" s="9"/>
      <c r="TQ808" s="9"/>
      <c r="TR808" s="9"/>
      <c r="TS808" s="9"/>
      <c r="TT808" s="9"/>
      <c r="TU808" s="9"/>
      <c r="TV808" s="9"/>
      <c r="TW808" s="9"/>
      <c r="TX808" s="9"/>
      <c r="TY808" s="9"/>
      <c r="TZ808" s="9"/>
      <c r="UA808" s="9"/>
      <c r="UB808" s="9"/>
      <c r="UC808" s="9"/>
      <c r="UD808" s="9"/>
      <c r="UE808" s="9"/>
      <c r="UF808" s="9"/>
      <c r="UG808" s="9"/>
      <c r="UH808" s="9"/>
      <c r="UI808" s="9"/>
      <c r="UJ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9"/>
      <c r="GV809" s="9"/>
      <c r="GW809" s="9"/>
      <c r="GX809" s="9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  <c r="HO809" s="9"/>
      <c r="HP809" s="9"/>
      <c r="HQ809" s="9"/>
      <c r="HR809" s="9"/>
      <c r="HS809" s="9"/>
      <c r="HT809" s="9"/>
      <c r="HU809" s="9"/>
      <c r="HV809" s="9"/>
      <c r="HW809" s="9"/>
      <c r="HX809" s="9"/>
      <c r="HY809" s="9"/>
      <c r="HZ809" s="9"/>
      <c r="IA809" s="9"/>
      <c r="IB809" s="9"/>
      <c r="IC809" s="9"/>
      <c r="ID809" s="9"/>
      <c r="IE809" s="9"/>
      <c r="IF809" s="9"/>
      <c r="IG809" s="9"/>
      <c r="IH809" s="9"/>
      <c r="II809" s="9"/>
      <c r="IJ809" s="9"/>
      <c r="IK809" s="9"/>
      <c r="IL809" s="9"/>
      <c r="IM809" s="9"/>
      <c r="IN809" s="9"/>
      <c r="IO809" s="9"/>
      <c r="IP809" s="9"/>
      <c r="IQ809" s="9"/>
      <c r="IR809" s="9"/>
      <c r="IS809" s="9"/>
      <c r="IT809" s="9"/>
      <c r="IU809" s="9"/>
      <c r="IV809" s="9"/>
      <c r="IW809" s="9"/>
      <c r="IX809" s="9"/>
      <c r="IY809" s="9"/>
      <c r="IZ809" s="9"/>
      <c r="JA809" s="9"/>
      <c r="JB809" s="9"/>
      <c r="JC809" s="9"/>
      <c r="JD809" s="9"/>
      <c r="JE809" s="9"/>
      <c r="JF809" s="9"/>
      <c r="JG809" s="9"/>
      <c r="JH809" s="9"/>
      <c r="JI809" s="9"/>
      <c r="JJ809" s="9"/>
      <c r="JK809" s="9"/>
      <c r="JL809" s="9"/>
      <c r="JM809" s="9"/>
      <c r="JN809" s="9"/>
      <c r="JO809" s="9"/>
      <c r="JP809" s="9"/>
      <c r="JQ809" s="9"/>
      <c r="JR809" s="9"/>
      <c r="JS809" s="9"/>
      <c r="JT809" s="9"/>
      <c r="JU809" s="9"/>
      <c r="JV809" s="9"/>
      <c r="JW809" s="9"/>
      <c r="JX809" s="9"/>
      <c r="JY809" s="9"/>
      <c r="JZ809" s="9"/>
      <c r="KA809" s="9"/>
      <c r="KB809" s="9"/>
      <c r="KC809" s="9"/>
      <c r="KD809" s="9"/>
      <c r="KE809" s="9"/>
      <c r="KF809" s="9"/>
      <c r="KG809" s="9"/>
      <c r="KH809" s="9"/>
      <c r="KI809" s="9"/>
      <c r="KJ809" s="9"/>
      <c r="KK809" s="9"/>
      <c r="KL809" s="9"/>
      <c r="KM809" s="9"/>
      <c r="KN809" s="9"/>
      <c r="KO809" s="9"/>
      <c r="KP809" s="9"/>
      <c r="KQ809" s="9"/>
      <c r="KR809" s="9"/>
      <c r="KS809" s="9"/>
      <c r="KT809" s="9"/>
      <c r="KU809" s="9"/>
      <c r="KV809" s="9"/>
      <c r="KW809" s="9"/>
      <c r="KX809" s="9"/>
      <c r="KY809" s="9"/>
      <c r="KZ809" s="9"/>
      <c r="LA809" s="9"/>
      <c r="LB809" s="9"/>
      <c r="LC809" s="9"/>
      <c r="LD809" s="9"/>
      <c r="LE809" s="9"/>
      <c r="LF809" s="9"/>
      <c r="LG809" s="9"/>
      <c r="LH809" s="9"/>
      <c r="LI809" s="9"/>
      <c r="LJ809" s="9"/>
      <c r="LK809" s="9"/>
      <c r="LL809" s="9"/>
      <c r="LM809" s="9"/>
      <c r="LN809" s="9"/>
      <c r="LO809" s="9"/>
      <c r="LP809" s="9"/>
      <c r="LQ809" s="9"/>
      <c r="LR809" s="9"/>
      <c r="LS809" s="9"/>
      <c r="LT809" s="9"/>
      <c r="LU809" s="9"/>
      <c r="LV809" s="9"/>
      <c r="LW809" s="9"/>
      <c r="LX809" s="9"/>
      <c r="LY809" s="9"/>
      <c r="LZ809" s="9"/>
      <c r="MA809" s="9"/>
      <c r="MB809" s="9"/>
      <c r="MC809" s="9"/>
      <c r="MD809" s="9"/>
      <c r="ME809" s="9"/>
      <c r="MF809" s="9"/>
      <c r="MG809" s="9"/>
      <c r="MH809" s="9"/>
      <c r="MI809" s="9"/>
      <c r="MJ809" s="9"/>
      <c r="MK809" s="9"/>
      <c r="ML809" s="9"/>
      <c r="MM809" s="9"/>
      <c r="MN809" s="9"/>
      <c r="MO809" s="9"/>
      <c r="MP809" s="9"/>
      <c r="MQ809" s="9"/>
      <c r="MR809" s="9"/>
      <c r="MS809" s="9"/>
      <c r="MT809" s="9"/>
      <c r="MU809" s="9"/>
      <c r="MV809" s="9"/>
      <c r="MW809" s="9"/>
      <c r="MX809" s="9"/>
      <c r="MY809" s="9"/>
      <c r="MZ809" s="9"/>
      <c r="NA809" s="9"/>
      <c r="NB809" s="9"/>
      <c r="NC809" s="9"/>
      <c r="ND809" s="9"/>
      <c r="NE809" s="9"/>
      <c r="NF809" s="9"/>
      <c r="NG809" s="9"/>
      <c r="NH809" s="9"/>
      <c r="NI809" s="9"/>
      <c r="NJ809" s="9"/>
      <c r="NK809" s="9"/>
      <c r="NL809" s="9"/>
      <c r="NM809" s="9"/>
      <c r="NN809" s="9"/>
      <c r="NO809" s="9"/>
      <c r="NP809" s="9"/>
      <c r="NQ809" s="9"/>
      <c r="NR809" s="9"/>
      <c r="NS809" s="9"/>
      <c r="NT809" s="9"/>
      <c r="NU809" s="9"/>
      <c r="NV809" s="9"/>
      <c r="NW809" s="9"/>
      <c r="NX809" s="9"/>
      <c r="NY809" s="9"/>
      <c r="NZ809" s="9"/>
      <c r="OA809" s="9"/>
      <c r="OB809" s="9"/>
      <c r="OC809" s="9"/>
      <c r="OD809" s="9"/>
      <c r="OE809" s="9"/>
      <c r="OF809" s="9"/>
      <c r="OG809" s="9"/>
      <c r="OH809" s="9"/>
      <c r="OI809" s="9"/>
      <c r="OJ809" s="9"/>
      <c r="OK809" s="9"/>
      <c r="OL809" s="9"/>
      <c r="OM809" s="9"/>
      <c r="ON809" s="9"/>
      <c r="OO809" s="9"/>
      <c r="OP809" s="9"/>
      <c r="OQ809" s="9"/>
      <c r="OR809" s="9"/>
      <c r="OS809" s="9"/>
      <c r="OT809" s="9"/>
      <c r="OU809" s="9"/>
      <c r="OV809" s="9"/>
      <c r="OW809" s="9"/>
      <c r="OX809" s="9"/>
      <c r="OY809" s="9"/>
      <c r="OZ809" s="9"/>
      <c r="PA809" s="9"/>
      <c r="PB809" s="9"/>
      <c r="PC809" s="9"/>
      <c r="PD809" s="9"/>
      <c r="PE809" s="9"/>
      <c r="PF809" s="9"/>
      <c r="PG809" s="9"/>
      <c r="PH809" s="9"/>
      <c r="PI809" s="9"/>
      <c r="PJ809" s="9"/>
      <c r="PK809" s="9"/>
      <c r="PL809" s="9"/>
      <c r="PM809" s="9"/>
      <c r="PN809" s="9"/>
      <c r="PO809" s="9"/>
      <c r="PP809" s="9"/>
      <c r="PQ809" s="9"/>
      <c r="PR809" s="9"/>
      <c r="PS809" s="9"/>
      <c r="PT809" s="9"/>
      <c r="PU809" s="9"/>
      <c r="PV809" s="9"/>
      <c r="PW809" s="9"/>
      <c r="PX809" s="9"/>
      <c r="PY809" s="9"/>
      <c r="PZ809" s="9"/>
      <c r="QA809" s="9"/>
      <c r="QB809" s="9"/>
      <c r="QC809" s="9"/>
      <c r="QD809" s="9"/>
      <c r="QE809" s="9"/>
      <c r="QF809" s="9"/>
      <c r="QG809" s="9"/>
      <c r="QH809" s="9"/>
      <c r="QI809" s="9"/>
      <c r="QJ809" s="9"/>
      <c r="QK809" s="9"/>
      <c r="QL809" s="9"/>
      <c r="QM809" s="9"/>
      <c r="QN809" s="9"/>
      <c r="QO809" s="9"/>
      <c r="QP809" s="9"/>
      <c r="QQ809" s="9"/>
      <c r="QR809" s="9"/>
      <c r="QS809" s="9"/>
      <c r="QT809" s="9"/>
      <c r="QU809" s="9"/>
      <c r="QV809" s="9"/>
      <c r="QW809" s="9"/>
      <c r="QX809" s="9"/>
      <c r="QY809" s="9"/>
      <c r="QZ809" s="9"/>
      <c r="RA809" s="9"/>
      <c r="RB809" s="9"/>
      <c r="RC809" s="9"/>
      <c r="RD809" s="9"/>
      <c r="RE809" s="9"/>
      <c r="RF809" s="9"/>
      <c r="RG809" s="9"/>
      <c r="RH809" s="9"/>
      <c r="RI809" s="9"/>
      <c r="RJ809" s="9"/>
      <c r="RK809" s="9"/>
      <c r="RL809" s="9"/>
      <c r="RM809" s="9"/>
      <c r="RN809" s="9"/>
      <c r="RO809" s="9"/>
      <c r="RP809" s="9"/>
      <c r="RQ809" s="9"/>
      <c r="RR809" s="9"/>
      <c r="RS809" s="9"/>
      <c r="RT809" s="9"/>
      <c r="RU809" s="9"/>
      <c r="RV809" s="9"/>
      <c r="RW809" s="9"/>
      <c r="RX809" s="9"/>
      <c r="RY809" s="9"/>
      <c r="RZ809" s="9"/>
      <c r="SA809" s="9"/>
      <c r="SB809" s="9"/>
      <c r="SC809" s="9"/>
      <c r="SD809" s="9"/>
      <c r="SE809" s="9"/>
      <c r="SF809" s="9"/>
      <c r="SG809" s="9"/>
      <c r="SH809" s="9"/>
      <c r="SI809" s="9"/>
      <c r="SJ809" s="9"/>
      <c r="SK809" s="9"/>
      <c r="SL809" s="9"/>
      <c r="SM809" s="9"/>
      <c r="SN809" s="9"/>
      <c r="SO809" s="9"/>
      <c r="SP809" s="9"/>
      <c r="SQ809" s="9"/>
      <c r="SR809" s="9"/>
      <c r="SS809" s="9"/>
      <c r="ST809" s="9"/>
      <c r="SU809" s="9"/>
      <c r="SV809" s="9"/>
      <c r="SW809" s="9"/>
      <c r="SX809" s="9"/>
      <c r="SY809" s="9"/>
      <c r="SZ809" s="9"/>
      <c r="TA809" s="9"/>
      <c r="TB809" s="9"/>
      <c r="TC809" s="9"/>
      <c r="TD809" s="9"/>
      <c r="TE809" s="9"/>
      <c r="TF809" s="9"/>
      <c r="TG809" s="9"/>
      <c r="TH809" s="9"/>
      <c r="TI809" s="9"/>
      <c r="TJ809" s="9"/>
      <c r="TK809" s="9"/>
      <c r="TL809" s="9"/>
      <c r="TM809" s="9"/>
      <c r="TN809" s="9"/>
      <c r="TO809" s="9"/>
      <c r="TP809" s="9"/>
      <c r="TQ809" s="9"/>
      <c r="TR809" s="9"/>
      <c r="TS809" s="9"/>
      <c r="TT809" s="9"/>
      <c r="TU809" s="9"/>
      <c r="TV809" s="9"/>
      <c r="TW809" s="9"/>
      <c r="TX809" s="9"/>
      <c r="TY809" s="9"/>
      <c r="TZ809" s="9"/>
      <c r="UA809" s="9"/>
      <c r="UB809" s="9"/>
      <c r="UC809" s="9"/>
      <c r="UD809" s="9"/>
      <c r="UE809" s="9"/>
      <c r="UF809" s="9"/>
      <c r="UG809" s="9"/>
      <c r="UH809" s="9"/>
      <c r="UI809" s="9"/>
      <c r="UJ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  <c r="HO810" s="9"/>
      <c r="HP810" s="9"/>
      <c r="HQ810" s="9"/>
      <c r="HR810" s="9"/>
      <c r="HS810" s="9"/>
      <c r="HT810" s="9"/>
      <c r="HU810" s="9"/>
      <c r="HV810" s="9"/>
      <c r="HW810" s="9"/>
      <c r="HX810" s="9"/>
      <c r="HY810" s="9"/>
      <c r="HZ810" s="9"/>
      <c r="IA810" s="9"/>
      <c r="IB810" s="9"/>
      <c r="IC810" s="9"/>
      <c r="ID810" s="9"/>
      <c r="IE810" s="9"/>
      <c r="IF810" s="9"/>
      <c r="IG810" s="9"/>
      <c r="IH810" s="9"/>
      <c r="II810" s="9"/>
      <c r="IJ810" s="9"/>
      <c r="IK810" s="9"/>
      <c r="IL810" s="9"/>
      <c r="IM810" s="9"/>
      <c r="IN810" s="9"/>
      <c r="IO810" s="9"/>
      <c r="IP810" s="9"/>
      <c r="IQ810" s="9"/>
      <c r="IR810" s="9"/>
      <c r="IS810" s="9"/>
      <c r="IT810" s="9"/>
      <c r="IU810" s="9"/>
      <c r="IV810" s="9"/>
      <c r="IW810" s="9"/>
      <c r="IX810" s="9"/>
      <c r="IY810" s="9"/>
      <c r="IZ810" s="9"/>
      <c r="JA810" s="9"/>
      <c r="JB810" s="9"/>
      <c r="JC810" s="9"/>
      <c r="JD810" s="9"/>
      <c r="JE810" s="9"/>
      <c r="JF810" s="9"/>
      <c r="JG810" s="9"/>
      <c r="JH810" s="9"/>
      <c r="JI810" s="9"/>
      <c r="JJ810" s="9"/>
      <c r="JK810" s="9"/>
      <c r="JL810" s="9"/>
      <c r="JM810" s="9"/>
      <c r="JN810" s="9"/>
      <c r="JO810" s="9"/>
      <c r="JP810" s="9"/>
      <c r="JQ810" s="9"/>
      <c r="JR810" s="9"/>
      <c r="JS810" s="9"/>
      <c r="JT810" s="9"/>
      <c r="JU810" s="9"/>
      <c r="JV810" s="9"/>
      <c r="JW810" s="9"/>
      <c r="JX810" s="9"/>
      <c r="JY810" s="9"/>
      <c r="JZ810" s="9"/>
      <c r="KA810" s="9"/>
      <c r="KB810" s="9"/>
      <c r="KC810" s="9"/>
      <c r="KD810" s="9"/>
      <c r="KE810" s="9"/>
      <c r="KF810" s="9"/>
      <c r="KG810" s="9"/>
      <c r="KH810" s="9"/>
      <c r="KI810" s="9"/>
      <c r="KJ810" s="9"/>
      <c r="KK810" s="9"/>
      <c r="KL810" s="9"/>
      <c r="KM810" s="9"/>
      <c r="KN810" s="9"/>
      <c r="KO810" s="9"/>
      <c r="KP810" s="9"/>
      <c r="KQ810" s="9"/>
      <c r="KR810" s="9"/>
      <c r="KS810" s="9"/>
      <c r="KT810" s="9"/>
      <c r="KU810" s="9"/>
      <c r="KV810" s="9"/>
      <c r="KW810" s="9"/>
      <c r="KX810" s="9"/>
      <c r="KY810" s="9"/>
      <c r="KZ810" s="9"/>
      <c r="LA810" s="9"/>
      <c r="LB810" s="9"/>
      <c r="LC810" s="9"/>
      <c r="LD810" s="9"/>
      <c r="LE810" s="9"/>
      <c r="LF810" s="9"/>
      <c r="LG810" s="9"/>
      <c r="LH810" s="9"/>
      <c r="LI810" s="9"/>
      <c r="LJ810" s="9"/>
      <c r="LK810" s="9"/>
      <c r="LL810" s="9"/>
      <c r="LM810" s="9"/>
      <c r="LN810" s="9"/>
      <c r="LO810" s="9"/>
      <c r="LP810" s="9"/>
      <c r="LQ810" s="9"/>
      <c r="LR810" s="9"/>
      <c r="LS810" s="9"/>
      <c r="LT810" s="9"/>
      <c r="LU810" s="9"/>
      <c r="LV810" s="9"/>
      <c r="LW810" s="9"/>
      <c r="LX810" s="9"/>
      <c r="LY810" s="9"/>
      <c r="LZ810" s="9"/>
      <c r="MA810" s="9"/>
      <c r="MB810" s="9"/>
      <c r="MC810" s="9"/>
      <c r="MD810" s="9"/>
      <c r="ME810" s="9"/>
      <c r="MF810" s="9"/>
      <c r="MG810" s="9"/>
      <c r="MH810" s="9"/>
      <c r="MI810" s="9"/>
      <c r="MJ810" s="9"/>
      <c r="MK810" s="9"/>
      <c r="ML810" s="9"/>
      <c r="MM810" s="9"/>
      <c r="MN810" s="9"/>
      <c r="MO810" s="9"/>
      <c r="MP810" s="9"/>
      <c r="MQ810" s="9"/>
      <c r="MR810" s="9"/>
      <c r="MS810" s="9"/>
      <c r="MT810" s="9"/>
      <c r="MU810" s="9"/>
      <c r="MV810" s="9"/>
      <c r="MW810" s="9"/>
      <c r="MX810" s="9"/>
      <c r="MY810" s="9"/>
      <c r="MZ810" s="9"/>
      <c r="NA810" s="9"/>
      <c r="NB810" s="9"/>
      <c r="NC810" s="9"/>
      <c r="ND810" s="9"/>
      <c r="NE810" s="9"/>
      <c r="NF810" s="9"/>
      <c r="NG810" s="9"/>
      <c r="NH810" s="9"/>
      <c r="NI810" s="9"/>
      <c r="NJ810" s="9"/>
      <c r="NK810" s="9"/>
      <c r="NL810" s="9"/>
      <c r="NM810" s="9"/>
      <c r="NN810" s="9"/>
      <c r="NO810" s="9"/>
      <c r="NP810" s="9"/>
      <c r="NQ810" s="9"/>
      <c r="NR810" s="9"/>
      <c r="NS810" s="9"/>
      <c r="NT810" s="9"/>
      <c r="NU810" s="9"/>
      <c r="NV810" s="9"/>
      <c r="NW810" s="9"/>
      <c r="NX810" s="9"/>
      <c r="NY810" s="9"/>
      <c r="NZ810" s="9"/>
      <c r="OA810" s="9"/>
      <c r="OB810" s="9"/>
      <c r="OC810" s="9"/>
      <c r="OD810" s="9"/>
      <c r="OE810" s="9"/>
      <c r="OF810" s="9"/>
      <c r="OG810" s="9"/>
      <c r="OH810" s="9"/>
      <c r="OI810" s="9"/>
      <c r="OJ810" s="9"/>
      <c r="OK810" s="9"/>
      <c r="OL810" s="9"/>
      <c r="OM810" s="9"/>
      <c r="ON810" s="9"/>
      <c r="OO810" s="9"/>
      <c r="OP810" s="9"/>
      <c r="OQ810" s="9"/>
      <c r="OR810" s="9"/>
      <c r="OS810" s="9"/>
      <c r="OT810" s="9"/>
      <c r="OU810" s="9"/>
      <c r="OV810" s="9"/>
      <c r="OW810" s="9"/>
      <c r="OX810" s="9"/>
      <c r="OY810" s="9"/>
      <c r="OZ810" s="9"/>
      <c r="PA810" s="9"/>
      <c r="PB810" s="9"/>
      <c r="PC810" s="9"/>
      <c r="PD810" s="9"/>
      <c r="PE810" s="9"/>
      <c r="PF810" s="9"/>
      <c r="PG810" s="9"/>
      <c r="PH810" s="9"/>
      <c r="PI810" s="9"/>
      <c r="PJ810" s="9"/>
      <c r="PK810" s="9"/>
      <c r="PL810" s="9"/>
      <c r="PM810" s="9"/>
      <c r="PN810" s="9"/>
      <c r="PO810" s="9"/>
      <c r="PP810" s="9"/>
      <c r="PQ810" s="9"/>
      <c r="PR810" s="9"/>
      <c r="PS810" s="9"/>
      <c r="PT810" s="9"/>
      <c r="PU810" s="9"/>
      <c r="PV810" s="9"/>
      <c r="PW810" s="9"/>
      <c r="PX810" s="9"/>
      <c r="PY810" s="9"/>
      <c r="PZ810" s="9"/>
      <c r="QA810" s="9"/>
      <c r="QB810" s="9"/>
      <c r="QC810" s="9"/>
      <c r="QD810" s="9"/>
      <c r="QE810" s="9"/>
      <c r="QF810" s="9"/>
      <c r="QG810" s="9"/>
      <c r="QH810" s="9"/>
      <c r="QI810" s="9"/>
      <c r="QJ810" s="9"/>
      <c r="QK810" s="9"/>
      <c r="QL810" s="9"/>
      <c r="QM810" s="9"/>
      <c r="QN810" s="9"/>
      <c r="QO810" s="9"/>
      <c r="QP810" s="9"/>
      <c r="QQ810" s="9"/>
      <c r="QR810" s="9"/>
      <c r="QS810" s="9"/>
      <c r="QT810" s="9"/>
      <c r="QU810" s="9"/>
      <c r="QV810" s="9"/>
      <c r="QW810" s="9"/>
      <c r="QX810" s="9"/>
      <c r="QY810" s="9"/>
      <c r="QZ810" s="9"/>
      <c r="RA810" s="9"/>
      <c r="RB810" s="9"/>
      <c r="RC810" s="9"/>
      <c r="RD810" s="9"/>
      <c r="RE810" s="9"/>
      <c r="RF810" s="9"/>
      <c r="RG810" s="9"/>
      <c r="RH810" s="9"/>
      <c r="RI810" s="9"/>
      <c r="RJ810" s="9"/>
      <c r="RK810" s="9"/>
      <c r="RL810" s="9"/>
      <c r="RM810" s="9"/>
      <c r="RN810" s="9"/>
      <c r="RO810" s="9"/>
      <c r="RP810" s="9"/>
      <c r="RQ810" s="9"/>
      <c r="RR810" s="9"/>
      <c r="RS810" s="9"/>
      <c r="RT810" s="9"/>
      <c r="RU810" s="9"/>
      <c r="RV810" s="9"/>
      <c r="RW810" s="9"/>
      <c r="RX810" s="9"/>
      <c r="RY810" s="9"/>
      <c r="RZ810" s="9"/>
      <c r="SA810" s="9"/>
      <c r="SB810" s="9"/>
      <c r="SC810" s="9"/>
      <c r="SD810" s="9"/>
      <c r="SE810" s="9"/>
      <c r="SF810" s="9"/>
      <c r="SG810" s="9"/>
      <c r="SH810" s="9"/>
      <c r="SI810" s="9"/>
      <c r="SJ810" s="9"/>
      <c r="SK810" s="9"/>
      <c r="SL810" s="9"/>
      <c r="SM810" s="9"/>
      <c r="SN810" s="9"/>
      <c r="SO810" s="9"/>
      <c r="SP810" s="9"/>
      <c r="SQ810" s="9"/>
      <c r="SR810" s="9"/>
      <c r="SS810" s="9"/>
      <c r="ST810" s="9"/>
      <c r="SU810" s="9"/>
      <c r="SV810" s="9"/>
      <c r="SW810" s="9"/>
      <c r="SX810" s="9"/>
      <c r="SY810" s="9"/>
      <c r="SZ810" s="9"/>
      <c r="TA810" s="9"/>
      <c r="TB810" s="9"/>
      <c r="TC810" s="9"/>
      <c r="TD810" s="9"/>
      <c r="TE810" s="9"/>
      <c r="TF810" s="9"/>
      <c r="TG810" s="9"/>
      <c r="TH810" s="9"/>
      <c r="TI810" s="9"/>
      <c r="TJ810" s="9"/>
      <c r="TK810" s="9"/>
      <c r="TL810" s="9"/>
      <c r="TM810" s="9"/>
      <c r="TN810" s="9"/>
      <c r="TO810" s="9"/>
      <c r="TP810" s="9"/>
      <c r="TQ810" s="9"/>
      <c r="TR810" s="9"/>
      <c r="TS810" s="9"/>
      <c r="TT810" s="9"/>
      <c r="TU810" s="9"/>
      <c r="TV810" s="9"/>
      <c r="TW810" s="9"/>
      <c r="TX810" s="9"/>
      <c r="TY810" s="9"/>
      <c r="TZ810" s="9"/>
      <c r="UA810" s="9"/>
      <c r="UB810" s="9"/>
      <c r="UC810" s="9"/>
      <c r="UD810" s="9"/>
      <c r="UE810" s="9"/>
      <c r="UF810" s="9"/>
      <c r="UG810" s="9"/>
      <c r="UH810" s="9"/>
      <c r="UI810" s="9"/>
      <c r="UJ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9"/>
      <c r="FS811" s="9"/>
      <c r="FT811" s="9"/>
      <c r="FU811" s="9"/>
      <c r="FV811" s="9"/>
      <c r="FW811" s="9"/>
      <c r="FX811" s="9"/>
      <c r="FY811" s="9"/>
      <c r="FZ811" s="9"/>
      <c r="GA811" s="9"/>
      <c r="GB811" s="9"/>
      <c r="GC811" s="9"/>
      <c r="GD811" s="9"/>
      <c r="GE811" s="9"/>
      <c r="GF811" s="9"/>
      <c r="GG811" s="9"/>
      <c r="GH811" s="9"/>
      <c r="GI811" s="9"/>
      <c r="GJ811" s="9"/>
      <c r="GK811" s="9"/>
      <c r="GL811" s="9"/>
      <c r="GM811" s="9"/>
      <c r="GN811" s="9"/>
      <c r="GO811" s="9"/>
      <c r="GP811" s="9"/>
      <c r="GQ811" s="9"/>
      <c r="GR811" s="9"/>
      <c r="GS811" s="9"/>
      <c r="GT811" s="9"/>
      <c r="GU811" s="9"/>
      <c r="GV811" s="9"/>
      <c r="GW811" s="9"/>
      <c r="GX811" s="9"/>
      <c r="GY811" s="9"/>
      <c r="GZ811" s="9"/>
      <c r="HA811" s="9"/>
      <c r="HB811" s="9"/>
      <c r="HC811" s="9"/>
      <c r="HD811" s="9"/>
      <c r="HE811" s="9"/>
      <c r="HF811" s="9"/>
      <c r="HG811" s="9"/>
      <c r="HH811" s="9"/>
      <c r="HI811" s="9"/>
      <c r="HJ811" s="9"/>
      <c r="HK811" s="9"/>
      <c r="HL811" s="9"/>
      <c r="HM811" s="9"/>
      <c r="HN811" s="9"/>
      <c r="HO811" s="9"/>
      <c r="HP811" s="9"/>
      <c r="HQ811" s="9"/>
      <c r="HR811" s="9"/>
      <c r="HS811" s="9"/>
      <c r="HT811" s="9"/>
      <c r="HU811" s="9"/>
      <c r="HV811" s="9"/>
      <c r="HW811" s="9"/>
      <c r="HX811" s="9"/>
      <c r="HY811" s="9"/>
      <c r="HZ811" s="9"/>
      <c r="IA811" s="9"/>
      <c r="IB811" s="9"/>
      <c r="IC811" s="9"/>
      <c r="ID811" s="9"/>
      <c r="IE811" s="9"/>
      <c r="IF811" s="9"/>
      <c r="IG811" s="9"/>
      <c r="IH811" s="9"/>
      <c r="II811" s="9"/>
      <c r="IJ811" s="9"/>
      <c r="IK811" s="9"/>
      <c r="IL811" s="9"/>
      <c r="IM811" s="9"/>
      <c r="IN811" s="9"/>
      <c r="IO811" s="9"/>
      <c r="IP811" s="9"/>
      <c r="IQ811" s="9"/>
      <c r="IR811" s="9"/>
      <c r="IS811" s="9"/>
      <c r="IT811" s="9"/>
      <c r="IU811" s="9"/>
      <c r="IV811" s="9"/>
      <c r="IW811" s="9"/>
      <c r="IX811" s="9"/>
      <c r="IY811" s="9"/>
      <c r="IZ811" s="9"/>
      <c r="JA811" s="9"/>
      <c r="JB811" s="9"/>
      <c r="JC811" s="9"/>
      <c r="JD811" s="9"/>
      <c r="JE811" s="9"/>
      <c r="JF811" s="9"/>
      <c r="JG811" s="9"/>
      <c r="JH811" s="9"/>
      <c r="JI811" s="9"/>
      <c r="JJ811" s="9"/>
      <c r="JK811" s="9"/>
      <c r="JL811" s="9"/>
      <c r="JM811" s="9"/>
      <c r="JN811" s="9"/>
      <c r="JO811" s="9"/>
      <c r="JP811" s="9"/>
      <c r="JQ811" s="9"/>
      <c r="JR811" s="9"/>
      <c r="JS811" s="9"/>
      <c r="JT811" s="9"/>
      <c r="JU811" s="9"/>
      <c r="JV811" s="9"/>
      <c r="JW811" s="9"/>
      <c r="JX811" s="9"/>
      <c r="JY811" s="9"/>
      <c r="JZ811" s="9"/>
      <c r="KA811" s="9"/>
      <c r="KB811" s="9"/>
      <c r="KC811" s="9"/>
      <c r="KD811" s="9"/>
      <c r="KE811" s="9"/>
      <c r="KF811" s="9"/>
      <c r="KG811" s="9"/>
      <c r="KH811" s="9"/>
      <c r="KI811" s="9"/>
      <c r="KJ811" s="9"/>
      <c r="KK811" s="9"/>
      <c r="KL811" s="9"/>
      <c r="KM811" s="9"/>
      <c r="KN811" s="9"/>
      <c r="KO811" s="9"/>
      <c r="KP811" s="9"/>
      <c r="KQ811" s="9"/>
      <c r="KR811" s="9"/>
      <c r="KS811" s="9"/>
      <c r="KT811" s="9"/>
      <c r="KU811" s="9"/>
      <c r="KV811" s="9"/>
      <c r="KW811" s="9"/>
      <c r="KX811" s="9"/>
      <c r="KY811" s="9"/>
      <c r="KZ811" s="9"/>
      <c r="LA811" s="9"/>
      <c r="LB811" s="9"/>
      <c r="LC811" s="9"/>
      <c r="LD811" s="9"/>
      <c r="LE811" s="9"/>
      <c r="LF811" s="9"/>
      <c r="LG811" s="9"/>
      <c r="LH811" s="9"/>
      <c r="LI811" s="9"/>
      <c r="LJ811" s="9"/>
      <c r="LK811" s="9"/>
      <c r="LL811" s="9"/>
      <c r="LM811" s="9"/>
      <c r="LN811" s="9"/>
      <c r="LO811" s="9"/>
      <c r="LP811" s="9"/>
      <c r="LQ811" s="9"/>
      <c r="LR811" s="9"/>
      <c r="LS811" s="9"/>
      <c r="LT811" s="9"/>
      <c r="LU811" s="9"/>
      <c r="LV811" s="9"/>
      <c r="LW811" s="9"/>
      <c r="LX811" s="9"/>
      <c r="LY811" s="9"/>
      <c r="LZ811" s="9"/>
      <c r="MA811" s="9"/>
      <c r="MB811" s="9"/>
      <c r="MC811" s="9"/>
      <c r="MD811" s="9"/>
      <c r="ME811" s="9"/>
      <c r="MF811" s="9"/>
      <c r="MG811" s="9"/>
      <c r="MH811" s="9"/>
      <c r="MI811" s="9"/>
      <c r="MJ811" s="9"/>
      <c r="MK811" s="9"/>
      <c r="ML811" s="9"/>
      <c r="MM811" s="9"/>
      <c r="MN811" s="9"/>
      <c r="MO811" s="9"/>
      <c r="MP811" s="9"/>
      <c r="MQ811" s="9"/>
      <c r="MR811" s="9"/>
      <c r="MS811" s="9"/>
      <c r="MT811" s="9"/>
      <c r="MU811" s="9"/>
      <c r="MV811" s="9"/>
      <c r="MW811" s="9"/>
      <c r="MX811" s="9"/>
      <c r="MY811" s="9"/>
      <c r="MZ811" s="9"/>
      <c r="NA811" s="9"/>
      <c r="NB811" s="9"/>
      <c r="NC811" s="9"/>
      <c r="ND811" s="9"/>
      <c r="NE811" s="9"/>
      <c r="NF811" s="9"/>
      <c r="NG811" s="9"/>
      <c r="NH811" s="9"/>
      <c r="NI811" s="9"/>
      <c r="NJ811" s="9"/>
      <c r="NK811" s="9"/>
      <c r="NL811" s="9"/>
      <c r="NM811" s="9"/>
      <c r="NN811" s="9"/>
      <c r="NO811" s="9"/>
      <c r="NP811" s="9"/>
      <c r="NQ811" s="9"/>
      <c r="NR811" s="9"/>
      <c r="NS811" s="9"/>
      <c r="NT811" s="9"/>
      <c r="NU811" s="9"/>
      <c r="NV811" s="9"/>
      <c r="NW811" s="9"/>
      <c r="NX811" s="9"/>
      <c r="NY811" s="9"/>
      <c r="NZ811" s="9"/>
      <c r="OA811" s="9"/>
      <c r="OB811" s="9"/>
      <c r="OC811" s="9"/>
      <c r="OD811" s="9"/>
      <c r="OE811" s="9"/>
      <c r="OF811" s="9"/>
      <c r="OG811" s="9"/>
      <c r="OH811" s="9"/>
      <c r="OI811" s="9"/>
      <c r="OJ811" s="9"/>
      <c r="OK811" s="9"/>
      <c r="OL811" s="9"/>
      <c r="OM811" s="9"/>
      <c r="ON811" s="9"/>
      <c r="OO811" s="9"/>
      <c r="OP811" s="9"/>
      <c r="OQ811" s="9"/>
      <c r="OR811" s="9"/>
      <c r="OS811" s="9"/>
      <c r="OT811" s="9"/>
      <c r="OU811" s="9"/>
      <c r="OV811" s="9"/>
      <c r="OW811" s="9"/>
      <c r="OX811" s="9"/>
      <c r="OY811" s="9"/>
      <c r="OZ811" s="9"/>
      <c r="PA811" s="9"/>
      <c r="PB811" s="9"/>
      <c r="PC811" s="9"/>
      <c r="PD811" s="9"/>
      <c r="PE811" s="9"/>
      <c r="PF811" s="9"/>
      <c r="PG811" s="9"/>
      <c r="PH811" s="9"/>
      <c r="PI811" s="9"/>
      <c r="PJ811" s="9"/>
      <c r="PK811" s="9"/>
      <c r="PL811" s="9"/>
      <c r="PM811" s="9"/>
      <c r="PN811" s="9"/>
      <c r="PO811" s="9"/>
      <c r="PP811" s="9"/>
      <c r="PQ811" s="9"/>
      <c r="PR811" s="9"/>
      <c r="PS811" s="9"/>
      <c r="PT811" s="9"/>
      <c r="PU811" s="9"/>
      <c r="PV811" s="9"/>
      <c r="PW811" s="9"/>
      <c r="PX811" s="9"/>
      <c r="PY811" s="9"/>
      <c r="PZ811" s="9"/>
      <c r="QA811" s="9"/>
      <c r="QB811" s="9"/>
      <c r="QC811" s="9"/>
      <c r="QD811" s="9"/>
      <c r="QE811" s="9"/>
      <c r="QF811" s="9"/>
      <c r="QG811" s="9"/>
      <c r="QH811" s="9"/>
      <c r="QI811" s="9"/>
      <c r="QJ811" s="9"/>
      <c r="QK811" s="9"/>
      <c r="QL811" s="9"/>
      <c r="QM811" s="9"/>
      <c r="QN811" s="9"/>
      <c r="QO811" s="9"/>
      <c r="QP811" s="9"/>
      <c r="QQ811" s="9"/>
      <c r="QR811" s="9"/>
      <c r="QS811" s="9"/>
      <c r="QT811" s="9"/>
      <c r="QU811" s="9"/>
      <c r="QV811" s="9"/>
      <c r="QW811" s="9"/>
      <c r="QX811" s="9"/>
      <c r="QY811" s="9"/>
      <c r="QZ811" s="9"/>
      <c r="RA811" s="9"/>
      <c r="RB811" s="9"/>
      <c r="RC811" s="9"/>
      <c r="RD811" s="9"/>
      <c r="RE811" s="9"/>
      <c r="RF811" s="9"/>
      <c r="RG811" s="9"/>
      <c r="RH811" s="9"/>
      <c r="RI811" s="9"/>
      <c r="RJ811" s="9"/>
      <c r="RK811" s="9"/>
      <c r="RL811" s="9"/>
      <c r="RM811" s="9"/>
      <c r="RN811" s="9"/>
      <c r="RO811" s="9"/>
      <c r="RP811" s="9"/>
      <c r="RQ811" s="9"/>
      <c r="RR811" s="9"/>
      <c r="RS811" s="9"/>
      <c r="RT811" s="9"/>
      <c r="RU811" s="9"/>
      <c r="RV811" s="9"/>
      <c r="RW811" s="9"/>
      <c r="RX811" s="9"/>
      <c r="RY811" s="9"/>
      <c r="RZ811" s="9"/>
      <c r="SA811" s="9"/>
      <c r="SB811" s="9"/>
      <c r="SC811" s="9"/>
      <c r="SD811" s="9"/>
      <c r="SE811" s="9"/>
      <c r="SF811" s="9"/>
      <c r="SG811" s="9"/>
      <c r="SH811" s="9"/>
      <c r="SI811" s="9"/>
      <c r="SJ811" s="9"/>
      <c r="SK811" s="9"/>
      <c r="SL811" s="9"/>
      <c r="SM811" s="9"/>
      <c r="SN811" s="9"/>
      <c r="SO811" s="9"/>
      <c r="SP811" s="9"/>
      <c r="SQ811" s="9"/>
      <c r="SR811" s="9"/>
      <c r="SS811" s="9"/>
      <c r="ST811" s="9"/>
      <c r="SU811" s="9"/>
      <c r="SV811" s="9"/>
      <c r="SW811" s="9"/>
      <c r="SX811" s="9"/>
      <c r="SY811" s="9"/>
      <c r="SZ811" s="9"/>
      <c r="TA811" s="9"/>
      <c r="TB811" s="9"/>
      <c r="TC811" s="9"/>
      <c r="TD811" s="9"/>
      <c r="TE811" s="9"/>
      <c r="TF811" s="9"/>
      <c r="TG811" s="9"/>
      <c r="TH811" s="9"/>
      <c r="TI811" s="9"/>
      <c r="TJ811" s="9"/>
      <c r="TK811" s="9"/>
      <c r="TL811" s="9"/>
      <c r="TM811" s="9"/>
      <c r="TN811" s="9"/>
      <c r="TO811" s="9"/>
      <c r="TP811" s="9"/>
      <c r="TQ811" s="9"/>
      <c r="TR811" s="9"/>
      <c r="TS811" s="9"/>
      <c r="TT811" s="9"/>
      <c r="TU811" s="9"/>
      <c r="TV811" s="9"/>
      <c r="TW811" s="9"/>
      <c r="TX811" s="9"/>
      <c r="TY811" s="9"/>
      <c r="TZ811" s="9"/>
      <c r="UA811" s="9"/>
      <c r="UB811" s="9"/>
      <c r="UC811" s="9"/>
      <c r="UD811" s="9"/>
      <c r="UE811" s="9"/>
      <c r="UF811" s="9"/>
      <c r="UG811" s="9"/>
      <c r="UH811" s="9"/>
      <c r="UI811" s="9"/>
      <c r="UJ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  <c r="HO812" s="9"/>
      <c r="HP812" s="9"/>
      <c r="HQ812" s="9"/>
      <c r="HR812" s="9"/>
      <c r="HS812" s="9"/>
      <c r="HT812" s="9"/>
      <c r="HU812" s="9"/>
      <c r="HV812" s="9"/>
      <c r="HW812" s="9"/>
      <c r="HX812" s="9"/>
      <c r="HY812" s="9"/>
      <c r="HZ812" s="9"/>
      <c r="IA812" s="9"/>
      <c r="IB812" s="9"/>
      <c r="IC812" s="9"/>
      <c r="ID812" s="9"/>
      <c r="IE812" s="9"/>
      <c r="IF812" s="9"/>
      <c r="IG812" s="9"/>
      <c r="IH812" s="9"/>
      <c r="II812" s="9"/>
      <c r="IJ812" s="9"/>
      <c r="IK812" s="9"/>
      <c r="IL812" s="9"/>
      <c r="IM812" s="9"/>
      <c r="IN812" s="9"/>
      <c r="IO812" s="9"/>
      <c r="IP812" s="9"/>
      <c r="IQ812" s="9"/>
      <c r="IR812" s="9"/>
      <c r="IS812" s="9"/>
      <c r="IT812" s="9"/>
      <c r="IU812" s="9"/>
      <c r="IV812" s="9"/>
      <c r="IW812" s="9"/>
      <c r="IX812" s="9"/>
      <c r="IY812" s="9"/>
      <c r="IZ812" s="9"/>
      <c r="JA812" s="9"/>
      <c r="JB812" s="9"/>
      <c r="JC812" s="9"/>
      <c r="JD812" s="9"/>
      <c r="JE812" s="9"/>
      <c r="JF812" s="9"/>
      <c r="JG812" s="9"/>
      <c r="JH812" s="9"/>
      <c r="JI812" s="9"/>
      <c r="JJ812" s="9"/>
      <c r="JK812" s="9"/>
      <c r="JL812" s="9"/>
      <c r="JM812" s="9"/>
      <c r="JN812" s="9"/>
      <c r="JO812" s="9"/>
      <c r="JP812" s="9"/>
      <c r="JQ812" s="9"/>
      <c r="JR812" s="9"/>
      <c r="JS812" s="9"/>
      <c r="JT812" s="9"/>
      <c r="JU812" s="9"/>
      <c r="JV812" s="9"/>
      <c r="JW812" s="9"/>
      <c r="JX812" s="9"/>
      <c r="JY812" s="9"/>
      <c r="JZ812" s="9"/>
      <c r="KA812" s="9"/>
      <c r="KB812" s="9"/>
      <c r="KC812" s="9"/>
      <c r="KD812" s="9"/>
      <c r="KE812" s="9"/>
      <c r="KF812" s="9"/>
      <c r="KG812" s="9"/>
      <c r="KH812" s="9"/>
      <c r="KI812" s="9"/>
      <c r="KJ812" s="9"/>
      <c r="KK812" s="9"/>
      <c r="KL812" s="9"/>
      <c r="KM812" s="9"/>
      <c r="KN812" s="9"/>
      <c r="KO812" s="9"/>
      <c r="KP812" s="9"/>
      <c r="KQ812" s="9"/>
      <c r="KR812" s="9"/>
      <c r="KS812" s="9"/>
      <c r="KT812" s="9"/>
      <c r="KU812" s="9"/>
      <c r="KV812" s="9"/>
      <c r="KW812" s="9"/>
      <c r="KX812" s="9"/>
      <c r="KY812" s="9"/>
      <c r="KZ812" s="9"/>
      <c r="LA812" s="9"/>
      <c r="LB812" s="9"/>
      <c r="LC812" s="9"/>
      <c r="LD812" s="9"/>
      <c r="LE812" s="9"/>
      <c r="LF812" s="9"/>
      <c r="LG812" s="9"/>
      <c r="LH812" s="9"/>
      <c r="LI812" s="9"/>
      <c r="LJ812" s="9"/>
      <c r="LK812" s="9"/>
      <c r="LL812" s="9"/>
      <c r="LM812" s="9"/>
      <c r="LN812" s="9"/>
      <c r="LO812" s="9"/>
      <c r="LP812" s="9"/>
      <c r="LQ812" s="9"/>
      <c r="LR812" s="9"/>
      <c r="LS812" s="9"/>
      <c r="LT812" s="9"/>
      <c r="LU812" s="9"/>
      <c r="LV812" s="9"/>
      <c r="LW812" s="9"/>
      <c r="LX812" s="9"/>
      <c r="LY812" s="9"/>
      <c r="LZ812" s="9"/>
      <c r="MA812" s="9"/>
      <c r="MB812" s="9"/>
      <c r="MC812" s="9"/>
      <c r="MD812" s="9"/>
      <c r="ME812" s="9"/>
      <c r="MF812" s="9"/>
      <c r="MG812" s="9"/>
      <c r="MH812" s="9"/>
      <c r="MI812" s="9"/>
      <c r="MJ812" s="9"/>
      <c r="MK812" s="9"/>
      <c r="ML812" s="9"/>
      <c r="MM812" s="9"/>
      <c r="MN812" s="9"/>
      <c r="MO812" s="9"/>
      <c r="MP812" s="9"/>
      <c r="MQ812" s="9"/>
      <c r="MR812" s="9"/>
      <c r="MS812" s="9"/>
      <c r="MT812" s="9"/>
      <c r="MU812" s="9"/>
      <c r="MV812" s="9"/>
      <c r="MW812" s="9"/>
      <c r="MX812" s="9"/>
      <c r="MY812" s="9"/>
      <c r="MZ812" s="9"/>
      <c r="NA812" s="9"/>
      <c r="NB812" s="9"/>
      <c r="NC812" s="9"/>
      <c r="ND812" s="9"/>
      <c r="NE812" s="9"/>
      <c r="NF812" s="9"/>
      <c r="NG812" s="9"/>
      <c r="NH812" s="9"/>
      <c r="NI812" s="9"/>
      <c r="NJ812" s="9"/>
      <c r="NK812" s="9"/>
      <c r="NL812" s="9"/>
      <c r="NM812" s="9"/>
      <c r="NN812" s="9"/>
      <c r="NO812" s="9"/>
      <c r="NP812" s="9"/>
      <c r="NQ812" s="9"/>
      <c r="NR812" s="9"/>
      <c r="NS812" s="9"/>
      <c r="NT812" s="9"/>
      <c r="NU812" s="9"/>
      <c r="NV812" s="9"/>
      <c r="NW812" s="9"/>
      <c r="NX812" s="9"/>
      <c r="NY812" s="9"/>
      <c r="NZ812" s="9"/>
      <c r="OA812" s="9"/>
      <c r="OB812" s="9"/>
      <c r="OC812" s="9"/>
      <c r="OD812" s="9"/>
      <c r="OE812" s="9"/>
      <c r="OF812" s="9"/>
      <c r="OG812" s="9"/>
      <c r="OH812" s="9"/>
      <c r="OI812" s="9"/>
      <c r="OJ812" s="9"/>
      <c r="OK812" s="9"/>
      <c r="OL812" s="9"/>
      <c r="OM812" s="9"/>
      <c r="ON812" s="9"/>
      <c r="OO812" s="9"/>
      <c r="OP812" s="9"/>
      <c r="OQ812" s="9"/>
      <c r="OR812" s="9"/>
      <c r="OS812" s="9"/>
      <c r="OT812" s="9"/>
      <c r="OU812" s="9"/>
      <c r="OV812" s="9"/>
      <c r="OW812" s="9"/>
      <c r="OX812" s="9"/>
      <c r="OY812" s="9"/>
      <c r="OZ812" s="9"/>
      <c r="PA812" s="9"/>
      <c r="PB812" s="9"/>
      <c r="PC812" s="9"/>
      <c r="PD812" s="9"/>
      <c r="PE812" s="9"/>
      <c r="PF812" s="9"/>
      <c r="PG812" s="9"/>
      <c r="PH812" s="9"/>
      <c r="PI812" s="9"/>
      <c r="PJ812" s="9"/>
      <c r="PK812" s="9"/>
      <c r="PL812" s="9"/>
      <c r="PM812" s="9"/>
      <c r="PN812" s="9"/>
      <c r="PO812" s="9"/>
      <c r="PP812" s="9"/>
      <c r="PQ812" s="9"/>
      <c r="PR812" s="9"/>
      <c r="PS812" s="9"/>
      <c r="PT812" s="9"/>
      <c r="PU812" s="9"/>
      <c r="PV812" s="9"/>
      <c r="PW812" s="9"/>
      <c r="PX812" s="9"/>
      <c r="PY812" s="9"/>
      <c r="PZ812" s="9"/>
      <c r="QA812" s="9"/>
      <c r="QB812" s="9"/>
      <c r="QC812" s="9"/>
      <c r="QD812" s="9"/>
      <c r="QE812" s="9"/>
      <c r="QF812" s="9"/>
      <c r="QG812" s="9"/>
      <c r="QH812" s="9"/>
      <c r="QI812" s="9"/>
      <c r="QJ812" s="9"/>
      <c r="QK812" s="9"/>
      <c r="QL812" s="9"/>
      <c r="QM812" s="9"/>
      <c r="QN812" s="9"/>
      <c r="QO812" s="9"/>
      <c r="QP812" s="9"/>
      <c r="QQ812" s="9"/>
      <c r="QR812" s="9"/>
      <c r="QS812" s="9"/>
      <c r="QT812" s="9"/>
      <c r="QU812" s="9"/>
      <c r="QV812" s="9"/>
      <c r="QW812" s="9"/>
      <c r="QX812" s="9"/>
      <c r="QY812" s="9"/>
      <c r="QZ812" s="9"/>
      <c r="RA812" s="9"/>
      <c r="RB812" s="9"/>
      <c r="RC812" s="9"/>
      <c r="RD812" s="9"/>
      <c r="RE812" s="9"/>
      <c r="RF812" s="9"/>
      <c r="RG812" s="9"/>
      <c r="RH812" s="9"/>
      <c r="RI812" s="9"/>
      <c r="RJ812" s="9"/>
      <c r="RK812" s="9"/>
      <c r="RL812" s="9"/>
      <c r="RM812" s="9"/>
      <c r="RN812" s="9"/>
      <c r="RO812" s="9"/>
      <c r="RP812" s="9"/>
      <c r="RQ812" s="9"/>
      <c r="RR812" s="9"/>
      <c r="RS812" s="9"/>
      <c r="RT812" s="9"/>
      <c r="RU812" s="9"/>
      <c r="RV812" s="9"/>
      <c r="RW812" s="9"/>
      <c r="RX812" s="9"/>
      <c r="RY812" s="9"/>
      <c r="RZ812" s="9"/>
      <c r="SA812" s="9"/>
      <c r="SB812" s="9"/>
      <c r="SC812" s="9"/>
      <c r="SD812" s="9"/>
      <c r="SE812" s="9"/>
      <c r="SF812" s="9"/>
      <c r="SG812" s="9"/>
      <c r="SH812" s="9"/>
      <c r="SI812" s="9"/>
      <c r="SJ812" s="9"/>
      <c r="SK812" s="9"/>
      <c r="SL812" s="9"/>
      <c r="SM812" s="9"/>
      <c r="SN812" s="9"/>
      <c r="SO812" s="9"/>
      <c r="SP812" s="9"/>
      <c r="SQ812" s="9"/>
      <c r="SR812" s="9"/>
      <c r="SS812" s="9"/>
      <c r="ST812" s="9"/>
      <c r="SU812" s="9"/>
      <c r="SV812" s="9"/>
      <c r="SW812" s="9"/>
      <c r="SX812" s="9"/>
      <c r="SY812" s="9"/>
      <c r="SZ812" s="9"/>
      <c r="TA812" s="9"/>
      <c r="TB812" s="9"/>
      <c r="TC812" s="9"/>
      <c r="TD812" s="9"/>
      <c r="TE812" s="9"/>
      <c r="TF812" s="9"/>
      <c r="TG812" s="9"/>
      <c r="TH812" s="9"/>
      <c r="TI812" s="9"/>
      <c r="TJ812" s="9"/>
      <c r="TK812" s="9"/>
      <c r="TL812" s="9"/>
      <c r="TM812" s="9"/>
      <c r="TN812" s="9"/>
      <c r="TO812" s="9"/>
      <c r="TP812" s="9"/>
      <c r="TQ812" s="9"/>
      <c r="TR812" s="9"/>
      <c r="TS812" s="9"/>
      <c r="TT812" s="9"/>
      <c r="TU812" s="9"/>
      <c r="TV812" s="9"/>
      <c r="TW812" s="9"/>
      <c r="TX812" s="9"/>
      <c r="TY812" s="9"/>
      <c r="TZ812" s="9"/>
      <c r="UA812" s="9"/>
      <c r="UB812" s="9"/>
      <c r="UC812" s="9"/>
      <c r="UD812" s="9"/>
      <c r="UE812" s="9"/>
      <c r="UF812" s="9"/>
      <c r="UG812" s="9"/>
      <c r="UH812" s="9"/>
      <c r="UI812" s="9"/>
      <c r="UJ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9"/>
      <c r="GV813" s="9"/>
      <c r="GW813" s="9"/>
      <c r="GX813" s="9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  <c r="HO813" s="9"/>
      <c r="HP813" s="9"/>
      <c r="HQ813" s="9"/>
      <c r="HR813" s="9"/>
      <c r="HS813" s="9"/>
      <c r="HT813" s="9"/>
      <c r="HU813" s="9"/>
      <c r="HV813" s="9"/>
      <c r="HW813" s="9"/>
      <c r="HX813" s="9"/>
      <c r="HY813" s="9"/>
      <c r="HZ813" s="9"/>
      <c r="IA813" s="9"/>
      <c r="IB813" s="9"/>
      <c r="IC813" s="9"/>
      <c r="ID813" s="9"/>
      <c r="IE813" s="9"/>
      <c r="IF813" s="9"/>
      <c r="IG813" s="9"/>
      <c r="IH813" s="9"/>
      <c r="II813" s="9"/>
      <c r="IJ813" s="9"/>
      <c r="IK813" s="9"/>
      <c r="IL813" s="9"/>
      <c r="IM813" s="9"/>
      <c r="IN813" s="9"/>
      <c r="IO813" s="9"/>
      <c r="IP813" s="9"/>
      <c r="IQ813" s="9"/>
      <c r="IR813" s="9"/>
      <c r="IS813" s="9"/>
      <c r="IT813" s="9"/>
      <c r="IU813" s="9"/>
      <c r="IV813" s="9"/>
      <c r="IW813" s="9"/>
      <c r="IX813" s="9"/>
      <c r="IY813" s="9"/>
      <c r="IZ813" s="9"/>
      <c r="JA813" s="9"/>
      <c r="JB813" s="9"/>
      <c r="JC813" s="9"/>
      <c r="JD813" s="9"/>
      <c r="JE813" s="9"/>
      <c r="JF813" s="9"/>
      <c r="JG813" s="9"/>
      <c r="JH813" s="9"/>
      <c r="JI813" s="9"/>
      <c r="JJ813" s="9"/>
      <c r="JK813" s="9"/>
      <c r="JL813" s="9"/>
      <c r="JM813" s="9"/>
      <c r="JN813" s="9"/>
      <c r="JO813" s="9"/>
      <c r="JP813" s="9"/>
      <c r="JQ813" s="9"/>
      <c r="JR813" s="9"/>
      <c r="JS813" s="9"/>
      <c r="JT813" s="9"/>
      <c r="JU813" s="9"/>
      <c r="JV813" s="9"/>
      <c r="JW813" s="9"/>
      <c r="JX813" s="9"/>
      <c r="JY813" s="9"/>
      <c r="JZ813" s="9"/>
      <c r="KA813" s="9"/>
      <c r="KB813" s="9"/>
      <c r="KC813" s="9"/>
      <c r="KD813" s="9"/>
      <c r="KE813" s="9"/>
      <c r="KF813" s="9"/>
      <c r="KG813" s="9"/>
      <c r="KH813" s="9"/>
      <c r="KI813" s="9"/>
      <c r="KJ813" s="9"/>
      <c r="KK813" s="9"/>
      <c r="KL813" s="9"/>
      <c r="KM813" s="9"/>
      <c r="KN813" s="9"/>
      <c r="KO813" s="9"/>
      <c r="KP813" s="9"/>
      <c r="KQ813" s="9"/>
      <c r="KR813" s="9"/>
      <c r="KS813" s="9"/>
      <c r="KT813" s="9"/>
      <c r="KU813" s="9"/>
      <c r="KV813" s="9"/>
      <c r="KW813" s="9"/>
      <c r="KX813" s="9"/>
      <c r="KY813" s="9"/>
      <c r="KZ813" s="9"/>
      <c r="LA813" s="9"/>
      <c r="LB813" s="9"/>
      <c r="LC813" s="9"/>
      <c r="LD813" s="9"/>
      <c r="LE813" s="9"/>
      <c r="LF813" s="9"/>
      <c r="LG813" s="9"/>
      <c r="LH813" s="9"/>
      <c r="LI813" s="9"/>
      <c r="LJ813" s="9"/>
      <c r="LK813" s="9"/>
      <c r="LL813" s="9"/>
      <c r="LM813" s="9"/>
      <c r="LN813" s="9"/>
      <c r="LO813" s="9"/>
      <c r="LP813" s="9"/>
      <c r="LQ813" s="9"/>
      <c r="LR813" s="9"/>
      <c r="LS813" s="9"/>
      <c r="LT813" s="9"/>
      <c r="LU813" s="9"/>
      <c r="LV813" s="9"/>
      <c r="LW813" s="9"/>
      <c r="LX813" s="9"/>
      <c r="LY813" s="9"/>
      <c r="LZ813" s="9"/>
      <c r="MA813" s="9"/>
      <c r="MB813" s="9"/>
      <c r="MC813" s="9"/>
      <c r="MD813" s="9"/>
      <c r="ME813" s="9"/>
      <c r="MF813" s="9"/>
      <c r="MG813" s="9"/>
      <c r="MH813" s="9"/>
      <c r="MI813" s="9"/>
      <c r="MJ813" s="9"/>
      <c r="MK813" s="9"/>
      <c r="ML813" s="9"/>
      <c r="MM813" s="9"/>
      <c r="MN813" s="9"/>
      <c r="MO813" s="9"/>
      <c r="MP813" s="9"/>
      <c r="MQ813" s="9"/>
      <c r="MR813" s="9"/>
      <c r="MS813" s="9"/>
      <c r="MT813" s="9"/>
      <c r="MU813" s="9"/>
      <c r="MV813" s="9"/>
      <c r="MW813" s="9"/>
      <c r="MX813" s="9"/>
      <c r="MY813" s="9"/>
      <c r="MZ813" s="9"/>
      <c r="NA813" s="9"/>
      <c r="NB813" s="9"/>
      <c r="NC813" s="9"/>
      <c r="ND813" s="9"/>
      <c r="NE813" s="9"/>
      <c r="NF813" s="9"/>
      <c r="NG813" s="9"/>
      <c r="NH813" s="9"/>
      <c r="NI813" s="9"/>
      <c r="NJ813" s="9"/>
      <c r="NK813" s="9"/>
      <c r="NL813" s="9"/>
      <c r="NM813" s="9"/>
      <c r="NN813" s="9"/>
      <c r="NO813" s="9"/>
      <c r="NP813" s="9"/>
      <c r="NQ813" s="9"/>
      <c r="NR813" s="9"/>
      <c r="NS813" s="9"/>
      <c r="NT813" s="9"/>
      <c r="NU813" s="9"/>
      <c r="NV813" s="9"/>
      <c r="NW813" s="9"/>
      <c r="NX813" s="9"/>
      <c r="NY813" s="9"/>
      <c r="NZ813" s="9"/>
      <c r="OA813" s="9"/>
      <c r="OB813" s="9"/>
      <c r="OC813" s="9"/>
      <c r="OD813" s="9"/>
      <c r="OE813" s="9"/>
      <c r="OF813" s="9"/>
      <c r="OG813" s="9"/>
      <c r="OH813" s="9"/>
      <c r="OI813" s="9"/>
      <c r="OJ813" s="9"/>
      <c r="OK813" s="9"/>
      <c r="OL813" s="9"/>
      <c r="OM813" s="9"/>
      <c r="ON813" s="9"/>
      <c r="OO813" s="9"/>
      <c r="OP813" s="9"/>
      <c r="OQ813" s="9"/>
      <c r="OR813" s="9"/>
      <c r="OS813" s="9"/>
      <c r="OT813" s="9"/>
      <c r="OU813" s="9"/>
      <c r="OV813" s="9"/>
      <c r="OW813" s="9"/>
      <c r="OX813" s="9"/>
      <c r="OY813" s="9"/>
      <c r="OZ813" s="9"/>
      <c r="PA813" s="9"/>
      <c r="PB813" s="9"/>
      <c r="PC813" s="9"/>
      <c r="PD813" s="9"/>
      <c r="PE813" s="9"/>
      <c r="PF813" s="9"/>
      <c r="PG813" s="9"/>
      <c r="PH813" s="9"/>
      <c r="PI813" s="9"/>
      <c r="PJ813" s="9"/>
      <c r="PK813" s="9"/>
      <c r="PL813" s="9"/>
      <c r="PM813" s="9"/>
      <c r="PN813" s="9"/>
      <c r="PO813" s="9"/>
      <c r="PP813" s="9"/>
      <c r="PQ813" s="9"/>
      <c r="PR813" s="9"/>
      <c r="PS813" s="9"/>
      <c r="PT813" s="9"/>
      <c r="PU813" s="9"/>
      <c r="PV813" s="9"/>
      <c r="PW813" s="9"/>
      <c r="PX813" s="9"/>
      <c r="PY813" s="9"/>
      <c r="PZ813" s="9"/>
      <c r="QA813" s="9"/>
      <c r="QB813" s="9"/>
      <c r="QC813" s="9"/>
      <c r="QD813" s="9"/>
      <c r="QE813" s="9"/>
      <c r="QF813" s="9"/>
      <c r="QG813" s="9"/>
      <c r="QH813" s="9"/>
      <c r="QI813" s="9"/>
      <c r="QJ813" s="9"/>
      <c r="QK813" s="9"/>
      <c r="QL813" s="9"/>
      <c r="QM813" s="9"/>
      <c r="QN813" s="9"/>
      <c r="QO813" s="9"/>
      <c r="QP813" s="9"/>
      <c r="QQ813" s="9"/>
      <c r="QR813" s="9"/>
      <c r="QS813" s="9"/>
      <c r="QT813" s="9"/>
      <c r="QU813" s="9"/>
      <c r="QV813" s="9"/>
      <c r="QW813" s="9"/>
      <c r="QX813" s="9"/>
      <c r="QY813" s="9"/>
      <c r="QZ813" s="9"/>
      <c r="RA813" s="9"/>
      <c r="RB813" s="9"/>
      <c r="RC813" s="9"/>
      <c r="RD813" s="9"/>
      <c r="RE813" s="9"/>
      <c r="RF813" s="9"/>
      <c r="RG813" s="9"/>
      <c r="RH813" s="9"/>
      <c r="RI813" s="9"/>
      <c r="RJ813" s="9"/>
      <c r="RK813" s="9"/>
      <c r="RL813" s="9"/>
      <c r="RM813" s="9"/>
      <c r="RN813" s="9"/>
      <c r="RO813" s="9"/>
      <c r="RP813" s="9"/>
      <c r="RQ813" s="9"/>
      <c r="RR813" s="9"/>
      <c r="RS813" s="9"/>
      <c r="RT813" s="9"/>
      <c r="RU813" s="9"/>
      <c r="RV813" s="9"/>
      <c r="RW813" s="9"/>
      <c r="RX813" s="9"/>
      <c r="RY813" s="9"/>
      <c r="RZ813" s="9"/>
      <c r="SA813" s="9"/>
      <c r="SB813" s="9"/>
      <c r="SC813" s="9"/>
      <c r="SD813" s="9"/>
      <c r="SE813" s="9"/>
      <c r="SF813" s="9"/>
      <c r="SG813" s="9"/>
      <c r="SH813" s="9"/>
      <c r="SI813" s="9"/>
      <c r="SJ813" s="9"/>
      <c r="SK813" s="9"/>
      <c r="SL813" s="9"/>
      <c r="SM813" s="9"/>
      <c r="SN813" s="9"/>
      <c r="SO813" s="9"/>
      <c r="SP813" s="9"/>
      <c r="SQ813" s="9"/>
      <c r="SR813" s="9"/>
      <c r="SS813" s="9"/>
      <c r="ST813" s="9"/>
      <c r="SU813" s="9"/>
      <c r="SV813" s="9"/>
      <c r="SW813" s="9"/>
      <c r="SX813" s="9"/>
      <c r="SY813" s="9"/>
      <c r="SZ813" s="9"/>
      <c r="TA813" s="9"/>
      <c r="TB813" s="9"/>
      <c r="TC813" s="9"/>
      <c r="TD813" s="9"/>
      <c r="TE813" s="9"/>
      <c r="TF813" s="9"/>
      <c r="TG813" s="9"/>
      <c r="TH813" s="9"/>
      <c r="TI813" s="9"/>
      <c r="TJ813" s="9"/>
      <c r="TK813" s="9"/>
      <c r="TL813" s="9"/>
      <c r="TM813" s="9"/>
      <c r="TN813" s="9"/>
      <c r="TO813" s="9"/>
      <c r="TP813" s="9"/>
      <c r="TQ813" s="9"/>
      <c r="TR813" s="9"/>
      <c r="TS813" s="9"/>
      <c r="TT813" s="9"/>
      <c r="TU813" s="9"/>
      <c r="TV813" s="9"/>
      <c r="TW813" s="9"/>
      <c r="TX813" s="9"/>
      <c r="TY813" s="9"/>
      <c r="TZ813" s="9"/>
      <c r="UA813" s="9"/>
      <c r="UB813" s="9"/>
      <c r="UC813" s="9"/>
      <c r="UD813" s="9"/>
      <c r="UE813" s="9"/>
      <c r="UF813" s="9"/>
      <c r="UG813" s="9"/>
      <c r="UH813" s="9"/>
      <c r="UI813" s="9"/>
      <c r="UJ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  <c r="HO814" s="9"/>
      <c r="HP814" s="9"/>
      <c r="HQ814" s="9"/>
      <c r="HR814" s="9"/>
      <c r="HS814" s="9"/>
      <c r="HT814" s="9"/>
      <c r="HU814" s="9"/>
      <c r="HV814" s="9"/>
      <c r="HW814" s="9"/>
      <c r="HX814" s="9"/>
      <c r="HY814" s="9"/>
      <c r="HZ814" s="9"/>
      <c r="IA814" s="9"/>
      <c r="IB814" s="9"/>
      <c r="IC814" s="9"/>
      <c r="ID814" s="9"/>
      <c r="IE814" s="9"/>
      <c r="IF814" s="9"/>
      <c r="IG814" s="9"/>
      <c r="IH814" s="9"/>
      <c r="II814" s="9"/>
      <c r="IJ814" s="9"/>
      <c r="IK814" s="9"/>
      <c r="IL814" s="9"/>
      <c r="IM814" s="9"/>
      <c r="IN814" s="9"/>
      <c r="IO814" s="9"/>
      <c r="IP814" s="9"/>
      <c r="IQ814" s="9"/>
      <c r="IR814" s="9"/>
      <c r="IS814" s="9"/>
      <c r="IT814" s="9"/>
      <c r="IU814" s="9"/>
      <c r="IV814" s="9"/>
      <c r="IW814" s="9"/>
      <c r="IX814" s="9"/>
      <c r="IY814" s="9"/>
      <c r="IZ814" s="9"/>
      <c r="JA814" s="9"/>
      <c r="JB814" s="9"/>
      <c r="JC814" s="9"/>
      <c r="JD814" s="9"/>
      <c r="JE814" s="9"/>
      <c r="JF814" s="9"/>
      <c r="JG814" s="9"/>
      <c r="JH814" s="9"/>
      <c r="JI814" s="9"/>
      <c r="JJ814" s="9"/>
      <c r="JK814" s="9"/>
      <c r="JL814" s="9"/>
      <c r="JM814" s="9"/>
      <c r="JN814" s="9"/>
      <c r="JO814" s="9"/>
      <c r="JP814" s="9"/>
      <c r="JQ814" s="9"/>
      <c r="JR814" s="9"/>
      <c r="JS814" s="9"/>
      <c r="JT814" s="9"/>
      <c r="JU814" s="9"/>
      <c r="JV814" s="9"/>
      <c r="JW814" s="9"/>
      <c r="JX814" s="9"/>
      <c r="JY814" s="9"/>
      <c r="JZ814" s="9"/>
      <c r="KA814" s="9"/>
      <c r="KB814" s="9"/>
      <c r="KC814" s="9"/>
      <c r="KD814" s="9"/>
      <c r="KE814" s="9"/>
      <c r="KF814" s="9"/>
      <c r="KG814" s="9"/>
      <c r="KH814" s="9"/>
      <c r="KI814" s="9"/>
      <c r="KJ814" s="9"/>
      <c r="KK814" s="9"/>
      <c r="KL814" s="9"/>
      <c r="KM814" s="9"/>
      <c r="KN814" s="9"/>
      <c r="KO814" s="9"/>
      <c r="KP814" s="9"/>
      <c r="KQ814" s="9"/>
      <c r="KR814" s="9"/>
      <c r="KS814" s="9"/>
      <c r="KT814" s="9"/>
      <c r="KU814" s="9"/>
      <c r="KV814" s="9"/>
      <c r="KW814" s="9"/>
      <c r="KX814" s="9"/>
      <c r="KY814" s="9"/>
      <c r="KZ814" s="9"/>
      <c r="LA814" s="9"/>
      <c r="LB814" s="9"/>
      <c r="LC814" s="9"/>
      <c r="LD814" s="9"/>
      <c r="LE814" s="9"/>
      <c r="LF814" s="9"/>
      <c r="LG814" s="9"/>
      <c r="LH814" s="9"/>
      <c r="LI814" s="9"/>
      <c r="LJ814" s="9"/>
      <c r="LK814" s="9"/>
      <c r="LL814" s="9"/>
      <c r="LM814" s="9"/>
      <c r="LN814" s="9"/>
      <c r="LO814" s="9"/>
      <c r="LP814" s="9"/>
      <c r="LQ814" s="9"/>
      <c r="LR814" s="9"/>
      <c r="LS814" s="9"/>
      <c r="LT814" s="9"/>
      <c r="LU814" s="9"/>
      <c r="LV814" s="9"/>
      <c r="LW814" s="9"/>
      <c r="LX814" s="9"/>
      <c r="LY814" s="9"/>
      <c r="LZ814" s="9"/>
      <c r="MA814" s="9"/>
      <c r="MB814" s="9"/>
      <c r="MC814" s="9"/>
      <c r="MD814" s="9"/>
      <c r="ME814" s="9"/>
      <c r="MF814" s="9"/>
      <c r="MG814" s="9"/>
      <c r="MH814" s="9"/>
      <c r="MI814" s="9"/>
      <c r="MJ814" s="9"/>
      <c r="MK814" s="9"/>
      <c r="ML814" s="9"/>
      <c r="MM814" s="9"/>
      <c r="MN814" s="9"/>
      <c r="MO814" s="9"/>
      <c r="MP814" s="9"/>
      <c r="MQ814" s="9"/>
      <c r="MR814" s="9"/>
      <c r="MS814" s="9"/>
      <c r="MT814" s="9"/>
      <c r="MU814" s="9"/>
      <c r="MV814" s="9"/>
      <c r="MW814" s="9"/>
      <c r="MX814" s="9"/>
      <c r="MY814" s="9"/>
      <c r="MZ814" s="9"/>
      <c r="NA814" s="9"/>
      <c r="NB814" s="9"/>
      <c r="NC814" s="9"/>
      <c r="ND814" s="9"/>
      <c r="NE814" s="9"/>
      <c r="NF814" s="9"/>
      <c r="NG814" s="9"/>
      <c r="NH814" s="9"/>
      <c r="NI814" s="9"/>
      <c r="NJ814" s="9"/>
      <c r="NK814" s="9"/>
      <c r="NL814" s="9"/>
      <c r="NM814" s="9"/>
      <c r="NN814" s="9"/>
      <c r="NO814" s="9"/>
      <c r="NP814" s="9"/>
      <c r="NQ814" s="9"/>
      <c r="NR814" s="9"/>
      <c r="NS814" s="9"/>
      <c r="NT814" s="9"/>
      <c r="NU814" s="9"/>
      <c r="NV814" s="9"/>
      <c r="NW814" s="9"/>
      <c r="NX814" s="9"/>
      <c r="NY814" s="9"/>
      <c r="NZ814" s="9"/>
      <c r="OA814" s="9"/>
      <c r="OB814" s="9"/>
      <c r="OC814" s="9"/>
      <c r="OD814" s="9"/>
      <c r="OE814" s="9"/>
      <c r="OF814" s="9"/>
      <c r="OG814" s="9"/>
      <c r="OH814" s="9"/>
      <c r="OI814" s="9"/>
      <c r="OJ814" s="9"/>
      <c r="OK814" s="9"/>
      <c r="OL814" s="9"/>
      <c r="OM814" s="9"/>
      <c r="ON814" s="9"/>
      <c r="OO814" s="9"/>
      <c r="OP814" s="9"/>
      <c r="OQ814" s="9"/>
      <c r="OR814" s="9"/>
      <c r="OS814" s="9"/>
      <c r="OT814" s="9"/>
      <c r="OU814" s="9"/>
      <c r="OV814" s="9"/>
      <c r="OW814" s="9"/>
      <c r="OX814" s="9"/>
      <c r="OY814" s="9"/>
      <c r="OZ814" s="9"/>
      <c r="PA814" s="9"/>
      <c r="PB814" s="9"/>
      <c r="PC814" s="9"/>
      <c r="PD814" s="9"/>
      <c r="PE814" s="9"/>
      <c r="PF814" s="9"/>
      <c r="PG814" s="9"/>
      <c r="PH814" s="9"/>
      <c r="PI814" s="9"/>
      <c r="PJ814" s="9"/>
      <c r="PK814" s="9"/>
      <c r="PL814" s="9"/>
      <c r="PM814" s="9"/>
      <c r="PN814" s="9"/>
      <c r="PO814" s="9"/>
      <c r="PP814" s="9"/>
      <c r="PQ814" s="9"/>
      <c r="PR814" s="9"/>
      <c r="PS814" s="9"/>
      <c r="PT814" s="9"/>
      <c r="PU814" s="9"/>
      <c r="PV814" s="9"/>
      <c r="PW814" s="9"/>
      <c r="PX814" s="9"/>
      <c r="PY814" s="9"/>
      <c r="PZ814" s="9"/>
      <c r="QA814" s="9"/>
      <c r="QB814" s="9"/>
      <c r="QC814" s="9"/>
      <c r="QD814" s="9"/>
      <c r="QE814" s="9"/>
      <c r="QF814" s="9"/>
      <c r="QG814" s="9"/>
      <c r="QH814" s="9"/>
      <c r="QI814" s="9"/>
      <c r="QJ814" s="9"/>
      <c r="QK814" s="9"/>
      <c r="QL814" s="9"/>
      <c r="QM814" s="9"/>
      <c r="QN814" s="9"/>
      <c r="QO814" s="9"/>
      <c r="QP814" s="9"/>
      <c r="QQ814" s="9"/>
      <c r="QR814" s="9"/>
      <c r="QS814" s="9"/>
      <c r="QT814" s="9"/>
      <c r="QU814" s="9"/>
      <c r="QV814" s="9"/>
      <c r="QW814" s="9"/>
      <c r="QX814" s="9"/>
      <c r="QY814" s="9"/>
      <c r="QZ814" s="9"/>
      <c r="RA814" s="9"/>
      <c r="RB814" s="9"/>
      <c r="RC814" s="9"/>
      <c r="RD814" s="9"/>
      <c r="RE814" s="9"/>
      <c r="RF814" s="9"/>
      <c r="RG814" s="9"/>
      <c r="RH814" s="9"/>
      <c r="RI814" s="9"/>
      <c r="RJ814" s="9"/>
      <c r="RK814" s="9"/>
      <c r="RL814" s="9"/>
      <c r="RM814" s="9"/>
      <c r="RN814" s="9"/>
      <c r="RO814" s="9"/>
      <c r="RP814" s="9"/>
      <c r="RQ814" s="9"/>
      <c r="RR814" s="9"/>
      <c r="RS814" s="9"/>
      <c r="RT814" s="9"/>
      <c r="RU814" s="9"/>
      <c r="RV814" s="9"/>
      <c r="RW814" s="9"/>
      <c r="RX814" s="9"/>
      <c r="RY814" s="9"/>
      <c r="RZ814" s="9"/>
      <c r="SA814" s="9"/>
      <c r="SB814" s="9"/>
      <c r="SC814" s="9"/>
      <c r="SD814" s="9"/>
      <c r="SE814" s="9"/>
      <c r="SF814" s="9"/>
      <c r="SG814" s="9"/>
      <c r="SH814" s="9"/>
      <c r="SI814" s="9"/>
      <c r="SJ814" s="9"/>
      <c r="SK814" s="9"/>
      <c r="SL814" s="9"/>
      <c r="SM814" s="9"/>
      <c r="SN814" s="9"/>
      <c r="SO814" s="9"/>
      <c r="SP814" s="9"/>
      <c r="SQ814" s="9"/>
      <c r="SR814" s="9"/>
      <c r="SS814" s="9"/>
      <c r="ST814" s="9"/>
      <c r="SU814" s="9"/>
      <c r="SV814" s="9"/>
      <c r="SW814" s="9"/>
      <c r="SX814" s="9"/>
      <c r="SY814" s="9"/>
      <c r="SZ814" s="9"/>
      <c r="TA814" s="9"/>
      <c r="TB814" s="9"/>
      <c r="TC814" s="9"/>
      <c r="TD814" s="9"/>
      <c r="TE814" s="9"/>
      <c r="TF814" s="9"/>
      <c r="TG814" s="9"/>
      <c r="TH814" s="9"/>
      <c r="TI814" s="9"/>
      <c r="TJ814" s="9"/>
      <c r="TK814" s="9"/>
      <c r="TL814" s="9"/>
      <c r="TM814" s="9"/>
      <c r="TN814" s="9"/>
      <c r="TO814" s="9"/>
      <c r="TP814" s="9"/>
      <c r="TQ814" s="9"/>
      <c r="TR814" s="9"/>
      <c r="TS814" s="9"/>
      <c r="TT814" s="9"/>
      <c r="TU814" s="9"/>
      <c r="TV814" s="9"/>
      <c r="TW814" s="9"/>
      <c r="TX814" s="9"/>
      <c r="TY814" s="9"/>
      <c r="TZ814" s="9"/>
      <c r="UA814" s="9"/>
      <c r="UB814" s="9"/>
      <c r="UC814" s="9"/>
      <c r="UD814" s="9"/>
      <c r="UE814" s="9"/>
      <c r="UF814" s="9"/>
      <c r="UG814" s="9"/>
      <c r="UH814" s="9"/>
      <c r="UI814" s="9"/>
      <c r="UJ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  <c r="HO815" s="9"/>
      <c r="HP815" s="9"/>
      <c r="HQ815" s="9"/>
      <c r="HR815" s="9"/>
      <c r="HS815" s="9"/>
      <c r="HT815" s="9"/>
      <c r="HU815" s="9"/>
      <c r="HV815" s="9"/>
      <c r="HW815" s="9"/>
      <c r="HX815" s="9"/>
      <c r="HY815" s="9"/>
      <c r="HZ815" s="9"/>
      <c r="IA815" s="9"/>
      <c r="IB815" s="9"/>
      <c r="IC815" s="9"/>
      <c r="ID815" s="9"/>
      <c r="IE815" s="9"/>
      <c r="IF815" s="9"/>
      <c r="IG815" s="9"/>
      <c r="IH815" s="9"/>
      <c r="II815" s="9"/>
      <c r="IJ815" s="9"/>
      <c r="IK815" s="9"/>
      <c r="IL815" s="9"/>
      <c r="IM815" s="9"/>
      <c r="IN815" s="9"/>
      <c r="IO815" s="9"/>
      <c r="IP815" s="9"/>
      <c r="IQ815" s="9"/>
      <c r="IR815" s="9"/>
      <c r="IS815" s="9"/>
      <c r="IT815" s="9"/>
      <c r="IU815" s="9"/>
      <c r="IV815" s="9"/>
      <c r="IW815" s="9"/>
      <c r="IX815" s="9"/>
      <c r="IY815" s="9"/>
      <c r="IZ815" s="9"/>
      <c r="JA815" s="9"/>
      <c r="JB815" s="9"/>
      <c r="JC815" s="9"/>
      <c r="JD815" s="9"/>
      <c r="JE815" s="9"/>
      <c r="JF815" s="9"/>
      <c r="JG815" s="9"/>
      <c r="JH815" s="9"/>
      <c r="JI815" s="9"/>
      <c r="JJ815" s="9"/>
      <c r="JK815" s="9"/>
      <c r="JL815" s="9"/>
      <c r="JM815" s="9"/>
      <c r="JN815" s="9"/>
      <c r="JO815" s="9"/>
      <c r="JP815" s="9"/>
      <c r="JQ815" s="9"/>
      <c r="JR815" s="9"/>
      <c r="JS815" s="9"/>
      <c r="JT815" s="9"/>
      <c r="JU815" s="9"/>
      <c r="JV815" s="9"/>
      <c r="JW815" s="9"/>
      <c r="JX815" s="9"/>
      <c r="JY815" s="9"/>
      <c r="JZ815" s="9"/>
      <c r="KA815" s="9"/>
      <c r="KB815" s="9"/>
      <c r="KC815" s="9"/>
      <c r="KD815" s="9"/>
      <c r="KE815" s="9"/>
      <c r="KF815" s="9"/>
      <c r="KG815" s="9"/>
      <c r="KH815" s="9"/>
      <c r="KI815" s="9"/>
      <c r="KJ815" s="9"/>
      <c r="KK815" s="9"/>
      <c r="KL815" s="9"/>
      <c r="KM815" s="9"/>
      <c r="KN815" s="9"/>
      <c r="KO815" s="9"/>
      <c r="KP815" s="9"/>
      <c r="KQ815" s="9"/>
      <c r="KR815" s="9"/>
      <c r="KS815" s="9"/>
      <c r="KT815" s="9"/>
      <c r="KU815" s="9"/>
      <c r="KV815" s="9"/>
      <c r="KW815" s="9"/>
      <c r="KX815" s="9"/>
      <c r="KY815" s="9"/>
      <c r="KZ815" s="9"/>
      <c r="LA815" s="9"/>
      <c r="LB815" s="9"/>
      <c r="LC815" s="9"/>
      <c r="LD815" s="9"/>
      <c r="LE815" s="9"/>
      <c r="LF815" s="9"/>
      <c r="LG815" s="9"/>
      <c r="LH815" s="9"/>
      <c r="LI815" s="9"/>
      <c r="LJ815" s="9"/>
      <c r="LK815" s="9"/>
      <c r="LL815" s="9"/>
      <c r="LM815" s="9"/>
      <c r="LN815" s="9"/>
      <c r="LO815" s="9"/>
      <c r="LP815" s="9"/>
      <c r="LQ815" s="9"/>
      <c r="LR815" s="9"/>
      <c r="LS815" s="9"/>
      <c r="LT815" s="9"/>
      <c r="LU815" s="9"/>
      <c r="LV815" s="9"/>
      <c r="LW815" s="9"/>
      <c r="LX815" s="9"/>
      <c r="LY815" s="9"/>
      <c r="LZ815" s="9"/>
      <c r="MA815" s="9"/>
      <c r="MB815" s="9"/>
      <c r="MC815" s="9"/>
      <c r="MD815" s="9"/>
      <c r="ME815" s="9"/>
      <c r="MF815" s="9"/>
      <c r="MG815" s="9"/>
      <c r="MH815" s="9"/>
      <c r="MI815" s="9"/>
      <c r="MJ815" s="9"/>
      <c r="MK815" s="9"/>
      <c r="ML815" s="9"/>
      <c r="MM815" s="9"/>
      <c r="MN815" s="9"/>
      <c r="MO815" s="9"/>
      <c r="MP815" s="9"/>
      <c r="MQ815" s="9"/>
      <c r="MR815" s="9"/>
      <c r="MS815" s="9"/>
      <c r="MT815" s="9"/>
      <c r="MU815" s="9"/>
      <c r="MV815" s="9"/>
      <c r="MW815" s="9"/>
      <c r="MX815" s="9"/>
      <c r="MY815" s="9"/>
      <c r="MZ815" s="9"/>
      <c r="NA815" s="9"/>
      <c r="NB815" s="9"/>
      <c r="NC815" s="9"/>
      <c r="ND815" s="9"/>
      <c r="NE815" s="9"/>
      <c r="NF815" s="9"/>
      <c r="NG815" s="9"/>
      <c r="NH815" s="9"/>
      <c r="NI815" s="9"/>
      <c r="NJ815" s="9"/>
      <c r="NK815" s="9"/>
      <c r="NL815" s="9"/>
      <c r="NM815" s="9"/>
      <c r="NN815" s="9"/>
      <c r="NO815" s="9"/>
      <c r="NP815" s="9"/>
      <c r="NQ815" s="9"/>
      <c r="NR815" s="9"/>
      <c r="NS815" s="9"/>
      <c r="NT815" s="9"/>
      <c r="NU815" s="9"/>
      <c r="NV815" s="9"/>
      <c r="NW815" s="9"/>
      <c r="NX815" s="9"/>
      <c r="NY815" s="9"/>
      <c r="NZ815" s="9"/>
      <c r="OA815" s="9"/>
      <c r="OB815" s="9"/>
      <c r="OC815" s="9"/>
      <c r="OD815" s="9"/>
      <c r="OE815" s="9"/>
      <c r="OF815" s="9"/>
      <c r="OG815" s="9"/>
      <c r="OH815" s="9"/>
      <c r="OI815" s="9"/>
      <c r="OJ815" s="9"/>
      <c r="OK815" s="9"/>
      <c r="OL815" s="9"/>
      <c r="OM815" s="9"/>
      <c r="ON815" s="9"/>
      <c r="OO815" s="9"/>
      <c r="OP815" s="9"/>
      <c r="OQ815" s="9"/>
      <c r="OR815" s="9"/>
      <c r="OS815" s="9"/>
      <c r="OT815" s="9"/>
      <c r="OU815" s="9"/>
      <c r="OV815" s="9"/>
      <c r="OW815" s="9"/>
      <c r="OX815" s="9"/>
      <c r="OY815" s="9"/>
      <c r="OZ815" s="9"/>
      <c r="PA815" s="9"/>
      <c r="PB815" s="9"/>
      <c r="PC815" s="9"/>
      <c r="PD815" s="9"/>
      <c r="PE815" s="9"/>
      <c r="PF815" s="9"/>
      <c r="PG815" s="9"/>
      <c r="PH815" s="9"/>
      <c r="PI815" s="9"/>
      <c r="PJ815" s="9"/>
      <c r="PK815" s="9"/>
      <c r="PL815" s="9"/>
      <c r="PM815" s="9"/>
      <c r="PN815" s="9"/>
      <c r="PO815" s="9"/>
      <c r="PP815" s="9"/>
      <c r="PQ815" s="9"/>
      <c r="PR815" s="9"/>
      <c r="PS815" s="9"/>
      <c r="PT815" s="9"/>
      <c r="PU815" s="9"/>
      <c r="PV815" s="9"/>
      <c r="PW815" s="9"/>
      <c r="PX815" s="9"/>
      <c r="PY815" s="9"/>
      <c r="PZ815" s="9"/>
      <c r="QA815" s="9"/>
      <c r="QB815" s="9"/>
      <c r="QC815" s="9"/>
      <c r="QD815" s="9"/>
      <c r="QE815" s="9"/>
      <c r="QF815" s="9"/>
      <c r="QG815" s="9"/>
      <c r="QH815" s="9"/>
      <c r="QI815" s="9"/>
      <c r="QJ815" s="9"/>
      <c r="QK815" s="9"/>
      <c r="QL815" s="9"/>
      <c r="QM815" s="9"/>
      <c r="QN815" s="9"/>
      <c r="QO815" s="9"/>
      <c r="QP815" s="9"/>
      <c r="QQ815" s="9"/>
      <c r="QR815" s="9"/>
      <c r="QS815" s="9"/>
      <c r="QT815" s="9"/>
      <c r="QU815" s="9"/>
      <c r="QV815" s="9"/>
      <c r="QW815" s="9"/>
      <c r="QX815" s="9"/>
      <c r="QY815" s="9"/>
      <c r="QZ815" s="9"/>
      <c r="RA815" s="9"/>
      <c r="RB815" s="9"/>
      <c r="RC815" s="9"/>
      <c r="RD815" s="9"/>
      <c r="RE815" s="9"/>
      <c r="RF815" s="9"/>
      <c r="RG815" s="9"/>
      <c r="RH815" s="9"/>
      <c r="RI815" s="9"/>
      <c r="RJ815" s="9"/>
      <c r="RK815" s="9"/>
      <c r="RL815" s="9"/>
      <c r="RM815" s="9"/>
      <c r="RN815" s="9"/>
      <c r="RO815" s="9"/>
      <c r="RP815" s="9"/>
      <c r="RQ815" s="9"/>
      <c r="RR815" s="9"/>
      <c r="RS815" s="9"/>
      <c r="RT815" s="9"/>
      <c r="RU815" s="9"/>
      <c r="RV815" s="9"/>
      <c r="RW815" s="9"/>
      <c r="RX815" s="9"/>
      <c r="RY815" s="9"/>
      <c r="RZ815" s="9"/>
      <c r="SA815" s="9"/>
      <c r="SB815" s="9"/>
      <c r="SC815" s="9"/>
      <c r="SD815" s="9"/>
      <c r="SE815" s="9"/>
      <c r="SF815" s="9"/>
      <c r="SG815" s="9"/>
      <c r="SH815" s="9"/>
      <c r="SI815" s="9"/>
      <c r="SJ815" s="9"/>
      <c r="SK815" s="9"/>
      <c r="SL815" s="9"/>
      <c r="SM815" s="9"/>
      <c r="SN815" s="9"/>
      <c r="SO815" s="9"/>
      <c r="SP815" s="9"/>
      <c r="SQ815" s="9"/>
      <c r="SR815" s="9"/>
      <c r="SS815" s="9"/>
      <c r="ST815" s="9"/>
      <c r="SU815" s="9"/>
      <c r="SV815" s="9"/>
      <c r="SW815" s="9"/>
      <c r="SX815" s="9"/>
      <c r="SY815" s="9"/>
      <c r="SZ815" s="9"/>
      <c r="TA815" s="9"/>
      <c r="TB815" s="9"/>
      <c r="TC815" s="9"/>
      <c r="TD815" s="9"/>
      <c r="TE815" s="9"/>
      <c r="TF815" s="9"/>
      <c r="TG815" s="9"/>
      <c r="TH815" s="9"/>
      <c r="TI815" s="9"/>
      <c r="TJ815" s="9"/>
      <c r="TK815" s="9"/>
      <c r="TL815" s="9"/>
      <c r="TM815" s="9"/>
      <c r="TN815" s="9"/>
      <c r="TO815" s="9"/>
      <c r="TP815" s="9"/>
      <c r="TQ815" s="9"/>
      <c r="TR815" s="9"/>
      <c r="TS815" s="9"/>
      <c r="TT815" s="9"/>
      <c r="TU815" s="9"/>
      <c r="TV815" s="9"/>
      <c r="TW815" s="9"/>
      <c r="TX815" s="9"/>
      <c r="TY815" s="9"/>
      <c r="TZ815" s="9"/>
      <c r="UA815" s="9"/>
      <c r="UB815" s="9"/>
      <c r="UC815" s="9"/>
      <c r="UD815" s="9"/>
      <c r="UE815" s="9"/>
      <c r="UF815" s="9"/>
      <c r="UG815" s="9"/>
      <c r="UH815" s="9"/>
      <c r="UI815" s="9"/>
      <c r="UJ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9"/>
      <c r="IA816" s="9"/>
      <c r="IB816" s="9"/>
      <c r="IC816" s="9"/>
      <c r="ID816" s="9"/>
      <c r="IE816" s="9"/>
      <c r="IF816" s="9"/>
      <c r="IG816" s="9"/>
      <c r="IH816" s="9"/>
      <c r="II816" s="9"/>
      <c r="IJ816" s="9"/>
      <c r="IK816" s="9"/>
      <c r="IL816" s="9"/>
      <c r="IM816" s="9"/>
      <c r="IN816" s="9"/>
      <c r="IO816" s="9"/>
      <c r="IP816" s="9"/>
      <c r="IQ816" s="9"/>
      <c r="IR816" s="9"/>
      <c r="IS816" s="9"/>
      <c r="IT816" s="9"/>
      <c r="IU816" s="9"/>
      <c r="IV816" s="9"/>
      <c r="IW816" s="9"/>
      <c r="IX816" s="9"/>
      <c r="IY816" s="9"/>
      <c r="IZ816" s="9"/>
      <c r="JA816" s="9"/>
      <c r="JB816" s="9"/>
      <c r="JC816" s="9"/>
      <c r="JD816" s="9"/>
      <c r="JE816" s="9"/>
      <c r="JF816" s="9"/>
      <c r="JG816" s="9"/>
      <c r="JH816" s="9"/>
      <c r="JI816" s="9"/>
      <c r="JJ816" s="9"/>
      <c r="JK816" s="9"/>
      <c r="JL816" s="9"/>
      <c r="JM816" s="9"/>
      <c r="JN816" s="9"/>
      <c r="JO816" s="9"/>
      <c r="JP816" s="9"/>
      <c r="JQ816" s="9"/>
      <c r="JR816" s="9"/>
      <c r="JS816" s="9"/>
      <c r="JT816" s="9"/>
      <c r="JU816" s="9"/>
      <c r="JV816" s="9"/>
      <c r="JW816" s="9"/>
      <c r="JX816" s="9"/>
      <c r="JY816" s="9"/>
      <c r="JZ816" s="9"/>
      <c r="KA816" s="9"/>
      <c r="KB816" s="9"/>
      <c r="KC816" s="9"/>
      <c r="KD816" s="9"/>
      <c r="KE816" s="9"/>
      <c r="KF816" s="9"/>
      <c r="KG816" s="9"/>
      <c r="KH816" s="9"/>
      <c r="KI816" s="9"/>
      <c r="KJ816" s="9"/>
      <c r="KK816" s="9"/>
      <c r="KL816" s="9"/>
      <c r="KM816" s="9"/>
      <c r="KN816" s="9"/>
      <c r="KO816" s="9"/>
      <c r="KP816" s="9"/>
      <c r="KQ816" s="9"/>
      <c r="KR816" s="9"/>
      <c r="KS816" s="9"/>
      <c r="KT816" s="9"/>
      <c r="KU816" s="9"/>
      <c r="KV816" s="9"/>
      <c r="KW816" s="9"/>
      <c r="KX816" s="9"/>
      <c r="KY816" s="9"/>
      <c r="KZ816" s="9"/>
      <c r="LA816" s="9"/>
      <c r="LB816" s="9"/>
      <c r="LC816" s="9"/>
      <c r="LD816" s="9"/>
      <c r="LE816" s="9"/>
      <c r="LF816" s="9"/>
      <c r="LG816" s="9"/>
      <c r="LH816" s="9"/>
      <c r="LI816" s="9"/>
      <c r="LJ816" s="9"/>
      <c r="LK816" s="9"/>
      <c r="LL816" s="9"/>
      <c r="LM816" s="9"/>
      <c r="LN816" s="9"/>
      <c r="LO816" s="9"/>
      <c r="LP816" s="9"/>
      <c r="LQ816" s="9"/>
      <c r="LR816" s="9"/>
      <c r="LS816" s="9"/>
      <c r="LT816" s="9"/>
      <c r="LU816" s="9"/>
      <c r="LV816" s="9"/>
      <c r="LW816" s="9"/>
      <c r="LX816" s="9"/>
      <c r="LY816" s="9"/>
      <c r="LZ816" s="9"/>
      <c r="MA816" s="9"/>
      <c r="MB816" s="9"/>
      <c r="MC816" s="9"/>
      <c r="MD816" s="9"/>
      <c r="ME816" s="9"/>
      <c r="MF816" s="9"/>
      <c r="MG816" s="9"/>
      <c r="MH816" s="9"/>
      <c r="MI816" s="9"/>
      <c r="MJ816" s="9"/>
      <c r="MK816" s="9"/>
      <c r="ML816" s="9"/>
      <c r="MM816" s="9"/>
      <c r="MN816" s="9"/>
      <c r="MO816" s="9"/>
      <c r="MP816" s="9"/>
      <c r="MQ816" s="9"/>
      <c r="MR816" s="9"/>
      <c r="MS816" s="9"/>
      <c r="MT816" s="9"/>
      <c r="MU816" s="9"/>
      <c r="MV816" s="9"/>
      <c r="MW816" s="9"/>
      <c r="MX816" s="9"/>
      <c r="MY816" s="9"/>
      <c r="MZ816" s="9"/>
      <c r="NA816" s="9"/>
      <c r="NB816" s="9"/>
      <c r="NC816" s="9"/>
      <c r="ND816" s="9"/>
      <c r="NE816" s="9"/>
      <c r="NF816" s="9"/>
      <c r="NG816" s="9"/>
      <c r="NH816" s="9"/>
      <c r="NI816" s="9"/>
      <c r="NJ816" s="9"/>
      <c r="NK816" s="9"/>
      <c r="NL816" s="9"/>
      <c r="NM816" s="9"/>
      <c r="NN816" s="9"/>
      <c r="NO816" s="9"/>
      <c r="NP816" s="9"/>
      <c r="NQ816" s="9"/>
      <c r="NR816" s="9"/>
      <c r="NS816" s="9"/>
      <c r="NT816" s="9"/>
      <c r="NU816" s="9"/>
      <c r="NV816" s="9"/>
      <c r="NW816" s="9"/>
      <c r="NX816" s="9"/>
      <c r="NY816" s="9"/>
      <c r="NZ816" s="9"/>
      <c r="OA816" s="9"/>
      <c r="OB816" s="9"/>
      <c r="OC816" s="9"/>
      <c r="OD816" s="9"/>
      <c r="OE816" s="9"/>
      <c r="OF816" s="9"/>
      <c r="OG816" s="9"/>
      <c r="OH816" s="9"/>
      <c r="OI816" s="9"/>
      <c r="OJ816" s="9"/>
      <c r="OK816" s="9"/>
      <c r="OL816" s="9"/>
      <c r="OM816" s="9"/>
      <c r="ON816" s="9"/>
      <c r="OO816" s="9"/>
      <c r="OP816" s="9"/>
      <c r="OQ816" s="9"/>
      <c r="OR816" s="9"/>
      <c r="OS816" s="9"/>
      <c r="OT816" s="9"/>
      <c r="OU816" s="9"/>
      <c r="OV816" s="9"/>
      <c r="OW816" s="9"/>
      <c r="OX816" s="9"/>
      <c r="OY816" s="9"/>
      <c r="OZ816" s="9"/>
      <c r="PA816" s="9"/>
      <c r="PB816" s="9"/>
      <c r="PC816" s="9"/>
      <c r="PD816" s="9"/>
      <c r="PE816" s="9"/>
      <c r="PF816" s="9"/>
      <c r="PG816" s="9"/>
      <c r="PH816" s="9"/>
      <c r="PI816" s="9"/>
      <c r="PJ816" s="9"/>
      <c r="PK816" s="9"/>
      <c r="PL816" s="9"/>
      <c r="PM816" s="9"/>
      <c r="PN816" s="9"/>
      <c r="PO816" s="9"/>
      <c r="PP816" s="9"/>
      <c r="PQ816" s="9"/>
      <c r="PR816" s="9"/>
      <c r="PS816" s="9"/>
      <c r="PT816" s="9"/>
      <c r="PU816" s="9"/>
      <c r="PV816" s="9"/>
      <c r="PW816" s="9"/>
      <c r="PX816" s="9"/>
      <c r="PY816" s="9"/>
      <c r="PZ816" s="9"/>
      <c r="QA816" s="9"/>
      <c r="QB816" s="9"/>
      <c r="QC816" s="9"/>
      <c r="QD816" s="9"/>
      <c r="QE816" s="9"/>
      <c r="QF816" s="9"/>
      <c r="QG816" s="9"/>
      <c r="QH816" s="9"/>
      <c r="QI816" s="9"/>
      <c r="QJ816" s="9"/>
      <c r="QK816" s="9"/>
      <c r="QL816" s="9"/>
      <c r="QM816" s="9"/>
      <c r="QN816" s="9"/>
      <c r="QO816" s="9"/>
      <c r="QP816" s="9"/>
      <c r="QQ816" s="9"/>
      <c r="QR816" s="9"/>
      <c r="QS816" s="9"/>
      <c r="QT816" s="9"/>
      <c r="QU816" s="9"/>
      <c r="QV816" s="9"/>
      <c r="QW816" s="9"/>
      <c r="QX816" s="9"/>
      <c r="QY816" s="9"/>
      <c r="QZ816" s="9"/>
      <c r="RA816" s="9"/>
      <c r="RB816" s="9"/>
      <c r="RC816" s="9"/>
      <c r="RD816" s="9"/>
      <c r="RE816" s="9"/>
      <c r="RF816" s="9"/>
      <c r="RG816" s="9"/>
      <c r="RH816" s="9"/>
      <c r="RI816" s="9"/>
      <c r="RJ816" s="9"/>
      <c r="RK816" s="9"/>
      <c r="RL816" s="9"/>
      <c r="RM816" s="9"/>
      <c r="RN816" s="9"/>
      <c r="RO816" s="9"/>
      <c r="RP816" s="9"/>
      <c r="RQ816" s="9"/>
      <c r="RR816" s="9"/>
      <c r="RS816" s="9"/>
      <c r="RT816" s="9"/>
      <c r="RU816" s="9"/>
      <c r="RV816" s="9"/>
      <c r="RW816" s="9"/>
      <c r="RX816" s="9"/>
      <c r="RY816" s="9"/>
      <c r="RZ816" s="9"/>
      <c r="SA816" s="9"/>
      <c r="SB816" s="9"/>
      <c r="SC816" s="9"/>
      <c r="SD816" s="9"/>
      <c r="SE816" s="9"/>
      <c r="SF816" s="9"/>
      <c r="SG816" s="9"/>
      <c r="SH816" s="9"/>
      <c r="SI816" s="9"/>
      <c r="SJ816" s="9"/>
      <c r="SK816" s="9"/>
      <c r="SL816" s="9"/>
      <c r="SM816" s="9"/>
      <c r="SN816" s="9"/>
      <c r="SO816" s="9"/>
      <c r="SP816" s="9"/>
      <c r="SQ816" s="9"/>
      <c r="SR816" s="9"/>
      <c r="SS816" s="9"/>
      <c r="ST816" s="9"/>
      <c r="SU816" s="9"/>
      <c r="SV816" s="9"/>
      <c r="SW816" s="9"/>
      <c r="SX816" s="9"/>
      <c r="SY816" s="9"/>
      <c r="SZ816" s="9"/>
      <c r="TA816" s="9"/>
      <c r="TB816" s="9"/>
      <c r="TC816" s="9"/>
      <c r="TD816" s="9"/>
      <c r="TE816" s="9"/>
      <c r="TF816" s="9"/>
      <c r="TG816" s="9"/>
      <c r="TH816" s="9"/>
      <c r="TI816" s="9"/>
      <c r="TJ816" s="9"/>
      <c r="TK816" s="9"/>
      <c r="TL816" s="9"/>
      <c r="TM816" s="9"/>
      <c r="TN816" s="9"/>
      <c r="TO816" s="9"/>
      <c r="TP816" s="9"/>
      <c r="TQ816" s="9"/>
      <c r="TR816" s="9"/>
      <c r="TS816" s="9"/>
      <c r="TT816" s="9"/>
      <c r="TU816" s="9"/>
      <c r="TV816" s="9"/>
      <c r="TW816" s="9"/>
      <c r="TX816" s="9"/>
      <c r="TY816" s="9"/>
      <c r="TZ816" s="9"/>
      <c r="UA816" s="9"/>
      <c r="UB816" s="9"/>
      <c r="UC816" s="9"/>
      <c r="UD816" s="9"/>
      <c r="UE816" s="9"/>
      <c r="UF816" s="9"/>
      <c r="UG816" s="9"/>
      <c r="UH816" s="9"/>
      <c r="UI816" s="9"/>
      <c r="UJ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  <c r="GA817" s="9"/>
      <c r="GB817" s="9"/>
      <c r="GC817" s="9"/>
      <c r="GD817" s="9"/>
      <c r="GE817" s="9"/>
      <c r="GF817" s="9"/>
      <c r="GG817" s="9"/>
      <c r="GH817" s="9"/>
      <c r="GI817" s="9"/>
      <c r="GJ817" s="9"/>
      <c r="GK817" s="9"/>
      <c r="GL817" s="9"/>
      <c r="GM817" s="9"/>
      <c r="GN817" s="9"/>
      <c r="GO817" s="9"/>
      <c r="GP817" s="9"/>
      <c r="GQ817" s="9"/>
      <c r="GR817" s="9"/>
      <c r="GS817" s="9"/>
      <c r="GT817" s="9"/>
      <c r="GU817" s="9"/>
      <c r="GV817" s="9"/>
      <c r="GW817" s="9"/>
      <c r="GX817" s="9"/>
      <c r="GY817" s="9"/>
      <c r="GZ817" s="9"/>
      <c r="HA817" s="9"/>
      <c r="HB817" s="9"/>
      <c r="HC817" s="9"/>
      <c r="HD817" s="9"/>
      <c r="HE817" s="9"/>
      <c r="HF817" s="9"/>
      <c r="HG817" s="9"/>
      <c r="HH817" s="9"/>
      <c r="HI817" s="9"/>
      <c r="HJ817" s="9"/>
      <c r="HK817" s="9"/>
      <c r="HL817" s="9"/>
      <c r="HM817" s="9"/>
      <c r="HN817" s="9"/>
      <c r="HO817" s="9"/>
      <c r="HP817" s="9"/>
      <c r="HQ817" s="9"/>
      <c r="HR817" s="9"/>
      <c r="HS817" s="9"/>
      <c r="HT817" s="9"/>
      <c r="HU817" s="9"/>
      <c r="HV817" s="9"/>
      <c r="HW817" s="9"/>
      <c r="HX817" s="9"/>
      <c r="HY817" s="9"/>
      <c r="HZ817" s="9"/>
      <c r="IA817" s="9"/>
      <c r="IB817" s="9"/>
      <c r="IC817" s="9"/>
      <c r="ID817" s="9"/>
      <c r="IE817" s="9"/>
      <c r="IF817" s="9"/>
      <c r="IG817" s="9"/>
      <c r="IH817" s="9"/>
      <c r="II817" s="9"/>
      <c r="IJ817" s="9"/>
      <c r="IK817" s="9"/>
      <c r="IL817" s="9"/>
      <c r="IM817" s="9"/>
      <c r="IN817" s="9"/>
      <c r="IO817" s="9"/>
      <c r="IP817" s="9"/>
      <c r="IQ817" s="9"/>
      <c r="IR817" s="9"/>
      <c r="IS817" s="9"/>
      <c r="IT817" s="9"/>
      <c r="IU817" s="9"/>
      <c r="IV817" s="9"/>
      <c r="IW817" s="9"/>
      <c r="IX817" s="9"/>
      <c r="IY817" s="9"/>
      <c r="IZ817" s="9"/>
      <c r="JA817" s="9"/>
      <c r="JB817" s="9"/>
      <c r="JC817" s="9"/>
      <c r="JD817" s="9"/>
      <c r="JE817" s="9"/>
      <c r="JF817" s="9"/>
      <c r="JG817" s="9"/>
      <c r="JH817" s="9"/>
      <c r="JI817" s="9"/>
      <c r="JJ817" s="9"/>
      <c r="JK817" s="9"/>
      <c r="JL817" s="9"/>
      <c r="JM817" s="9"/>
      <c r="JN817" s="9"/>
      <c r="JO817" s="9"/>
      <c r="JP817" s="9"/>
      <c r="JQ817" s="9"/>
      <c r="JR817" s="9"/>
      <c r="JS817" s="9"/>
      <c r="JT817" s="9"/>
      <c r="JU817" s="9"/>
      <c r="JV817" s="9"/>
      <c r="JW817" s="9"/>
      <c r="JX817" s="9"/>
      <c r="JY817" s="9"/>
      <c r="JZ817" s="9"/>
      <c r="KA817" s="9"/>
      <c r="KB817" s="9"/>
      <c r="KC817" s="9"/>
      <c r="KD817" s="9"/>
      <c r="KE817" s="9"/>
      <c r="KF817" s="9"/>
      <c r="KG817" s="9"/>
      <c r="KH817" s="9"/>
      <c r="KI817" s="9"/>
      <c r="KJ817" s="9"/>
      <c r="KK817" s="9"/>
      <c r="KL817" s="9"/>
      <c r="KM817" s="9"/>
      <c r="KN817" s="9"/>
      <c r="KO817" s="9"/>
      <c r="KP817" s="9"/>
      <c r="KQ817" s="9"/>
      <c r="KR817" s="9"/>
      <c r="KS817" s="9"/>
      <c r="KT817" s="9"/>
      <c r="KU817" s="9"/>
      <c r="KV817" s="9"/>
      <c r="KW817" s="9"/>
      <c r="KX817" s="9"/>
      <c r="KY817" s="9"/>
      <c r="KZ817" s="9"/>
      <c r="LA817" s="9"/>
      <c r="LB817" s="9"/>
      <c r="LC817" s="9"/>
      <c r="LD817" s="9"/>
      <c r="LE817" s="9"/>
      <c r="LF817" s="9"/>
      <c r="LG817" s="9"/>
      <c r="LH817" s="9"/>
      <c r="LI817" s="9"/>
      <c r="LJ817" s="9"/>
      <c r="LK817" s="9"/>
      <c r="LL817" s="9"/>
      <c r="LM817" s="9"/>
      <c r="LN817" s="9"/>
      <c r="LO817" s="9"/>
      <c r="LP817" s="9"/>
      <c r="LQ817" s="9"/>
      <c r="LR817" s="9"/>
      <c r="LS817" s="9"/>
      <c r="LT817" s="9"/>
      <c r="LU817" s="9"/>
      <c r="LV817" s="9"/>
      <c r="LW817" s="9"/>
      <c r="LX817" s="9"/>
      <c r="LY817" s="9"/>
      <c r="LZ817" s="9"/>
      <c r="MA817" s="9"/>
      <c r="MB817" s="9"/>
      <c r="MC817" s="9"/>
      <c r="MD817" s="9"/>
      <c r="ME817" s="9"/>
      <c r="MF817" s="9"/>
      <c r="MG817" s="9"/>
      <c r="MH817" s="9"/>
      <c r="MI817" s="9"/>
      <c r="MJ817" s="9"/>
      <c r="MK817" s="9"/>
      <c r="ML817" s="9"/>
      <c r="MM817" s="9"/>
      <c r="MN817" s="9"/>
      <c r="MO817" s="9"/>
      <c r="MP817" s="9"/>
      <c r="MQ817" s="9"/>
      <c r="MR817" s="9"/>
      <c r="MS817" s="9"/>
      <c r="MT817" s="9"/>
      <c r="MU817" s="9"/>
      <c r="MV817" s="9"/>
      <c r="MW817" s="9"/>
      <c r="MX817" s="9"/>
      <c r="MY817" s="9"/>
      <c r="MZ817" s="9"/>
      <c r="NA817" s="9"/>
      <c r="NB817" s="9"/>
      <c r="NC817" s="9"/>
      <c r="ND817" s="9"/>
      <c r="NE817" s="9"/>
      <c r="NF817" s="9"/>
      <c r="NG817" s="9"/>
      <c r="NH817" s="9"/>
      <c r="NI817" s="9"/>
      <c r="NJ817" s="9"/>
      <c r="NK817" s="9"/>
      <c r="NL817" s="9"/>
      <c r="NM817" s="9"/>
      <c r="NN817" s="9"/>
      <c r="NO817" s="9"/>
      <c r="NP817" s="9"/>
      <c r="NQ817" s="9"/>
      <c r="NR817" s="9"/>
      <c r="NS817" s="9"/>
      <c r="NT817" s="9"/>
      <c r="NU817" s="9"/>
      <c r="NV817" s="9"/>
      <c r="NW817" s="9"/>
      <c r="NX817" s="9"/>
      <c r="NY817" s="9"/>
      <c r="NZ817" s="9"/>
      <c r="OA817" s="9"/>
      <c r="OB817" s="9"/>
      <c r="OC817" s="9"/>
      <c r="OD817" s="9"/>
      <c r="OE817" s="9"/>
      <c r="OF817" s="9"/>
      <c r="OG817" s="9"/>
      <c r="OH817" s="9"/>
      <c r="OI817" s="9"/>
      <c r="OJ817" s="9"/>
      <c r="OK817" s="9"/>
      <c r="OL817" s="9"/>
      <c r="OM817" s="9"/>
      <c r="ON817" s="9"/>
      <c r="OO817" s="9"/>
      <c r="OP817" s="9"/>
      <c r="OQ817" s="9"/>
      <c r="OR817" s="9"/>
      <c r="OS817" s="9"/>
      <c r="OT817" s="9"/>
      <c r="OU817" s="9"/>
      <c r="OV817" s="9"/>
      <c r="OW817" s="9"/>
      <c r="OX817" s="9"/>
      <c r="OY817" s="9"/>
      <c r="OZ817" s="9"/>
      <c r="PA817" s="9"/>
      <c r="PB817" s="9"/>
      <c r="PC817" s="9"/>
      <c r="PD817" s="9"/>
      <c r="PE817" s="9"/>
      <c r="PF817" s="9"/>
      <c r="PG817" s="9"/>
      <c r="PH817" s="9"/>
      <c r="PI817" s="9"/>
      <c r="PJ817" s="9"/>
      <c r="PK817" s="9"/>
      <c r="PL817" s="9"/>
      <c r="PM817" s="9"/>
      <c r="PN817" s="9"/>
      <c r="PO817" s="9"/>
      <c r="PP817" s="9"/>
      <c r="PQ817" s="9"/>
      <c r="PR817" s="9"/>
      <c r="PS817" s="9"/>
      <c r="PT817" s="9"/>
      <c r="PU817" s="9"/>
      <c r="PV817" s="9"/>
      <c r="PW817" s="9"/>
      <c r="PX817" s="9"/>
      <c r="PY817" s="9"/>
      <c r="PZ817" s="9"/>
      <c r="QA817" s="9"/>
      <c r="QB817" s="9"/>
      <c r="QC817" s="9"/>
      <c r="QD817" s="9"/>
      <c r="QE817" s="9"/>
      <c r="QF817" s="9"/>
      <c r="QG817" s="9"/>
      <c r="QH817" s="9"/>
      <c r="QI817" s="9"/>
      <c r="QJ817" s="9"/>
      <c r="QK817" s="9"/>
      <c r="QL817" s="9"/>
      <c r="QM817" s="9"/>
      <c r="QN817" s="9"/>
      <c r="QO817" s="9"/>
      <c r="QP817" s="9"/>
      <c r="QQ817" s="9"/>
      <c r="QR817" s="9"/>
      <c r="QS817" s="9"/>
      <c r="QT817" s="9"/>
      <c r="QU817" s="9"/>
      <c r="QV817" s="9"/>
      <c r="QW817" s="9"/>
      <c r="QX817" s="9"/>
      <c r="QY817" s="9"/>
      <c r="QZ817" s="9"/>
      <c r="RA817" s="9"/>
      <c r="RB817" s="9"/>
      <c r="RC817" s="9"/>
      <c r="RD817" s="9"/>
      <c r="RE817" s="9"/>
      <c r="RF817" s="9"/>
      <c r="RG817" s="9"/>
      <c r="RH817" s="9"/>
      <c r="RI817" s="9"/>
      <c r="RJ817" s="9"/>
      <c r="RK817" s="9"/>
      <c r="RL817" s="9"/>
      <c r="RM817" s="9"/>
      <c r="RN817" s="9"/>
      <c r="RO817" s="9"/>
      <c r="RP817" s="9"/>
      <c r="RQ817" s="9"/>
      <c r="RR817" s="9"/>
      <c r="RS817" s="9"/>
      <c r="RT817" s="9"/>
      <c r="RU817" s="9"/>
      <c r="RV817" s="9"/>
      <c r="RW817" s="9"/>
      <c r="RX817" s="9"/>
      <c r="RY817" s="9"/>
      <c r="RZ817" s="9"/>
      <c r="SA817" s="9"/>
      <c r="SB817" s="9"/>
      <c r="SC817" s="9"/>
      <c r="SD817" s="9"/>
      <c r="SE817" s="9"/>
      <c r="SF817" s="9"/>
      <c r="SG817" s="9"/>
      <c r="SH817" s="9"/>
      <c r="SI817" s="9"/>
      <c r="SJ817" s="9"/>
      <c r="SK817" s="9"/>
      <c r="SL817" s="9"/>
      <c r="SM817" s="9"/>
      <c r="SN817" s="9"/>
      <c r="SO817" s="9"/>
      <c r="SP817" s="9"/>
      <c r="SQ817" s="9"/>
      <c r="SR817" s="9"/>
      <c r="SS817" s="9"/>
      <c r="ST817" s="9"/>
      <c r="SU817" s="9"/>
      <c r="SV817" s="9"/>
      <c r="SW817" s="9"/>
      <c r="SX817" s="9"/>
      <c r="SY817" s="9"/>
      <c r="SZ817" s="9"/>
      <c r="TA817" s="9"/>
      <c r="TB817" s="9"/>
      <c r="TC817" s="9"/>
      <c r="TD817" s="9"/>
      <c r="TE817" s="9"/>
      <c r="TF817" s="9"/>
      <c r="TG817" s="9"/>
      <c r="TH817" s="9"/>
      <c r="TI817" s="9"/>
      <c r="TJ817" s="9"/>
      <c r="TK817" s="9"/>
      <c r="TL817" s="9"/>
      <c r="TM817" s="9"/>
      <c r="TN817" s="9"/>
      <c r="TO817" s="9"/>
      <c r="TP817" s="9"/>
      <c r="TQ817" s="9"/>
      <c r="TR817" s="9"/>
      <c r="TS817" s="9"/>
      <c r="TT817" s="9"/>
      <c r="TU817" s="9"/>
      <c r="TV817" s="9"/>
      <c r="TW817" s="9"/>
      <c r="TX817" s="9"/>
      <c r="TY817" s="9"/>
      <c r="TZ817" s="9"/>
      <c r="UA817" s="9"/>
      <c r="UB817" s="9"/>
      <c r="UC817" s="9"/>
      <c r="UD817" s="9"/>
      <c r="UE817" s="9"/>
      <c r="UF817" s="9"/>
      <c r="UG817" s="9"/>
      <c r="UH817" s="9"/>
      <c r="UI817" s="9"/>
      <c r="UJ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  <c r="HO818" s="9"/>
      <c r="HP818" s="9"/>
      <c r="HQ818" s="9"/>
      <c r="HR818" s="9"/>
      <c r="HS818" s="9"/>
      <c r="HT818" s="9"/>
      <c r="HU818" s="9"/>
      <c r="HV818" s="9"/>
      <c r="HW818" s="9"/>
      <c r="HX818" s="9"/>
      <c r="HY818" s="9"/>
      <c r="HZ818" s="9"/>
      <c r="IA818" s="9"/>
      <c r="IB818" s="9"/>
      <c r="IC818" s="9"/>
      <c r="ID818" s="9"/>
      <c r="IE818" s="9"/>
      <c r="IF818" s="9"/>
      <c r="IG818" s="9"/>
      <c r="IH818" s="9"/>
      <c r="II818" s="9"/>
      <c r="IJ818" s="9"/>
      <c r="IK818" s="9"/>
      <c r="IL818" s="9"/>
      <c r="IM818" s="9"/>
      <c r="IN818" s="9"/>
      <c r="IO818" s="9"/>
      <c r="IP818" s="9"/>
      <c r="IQ818" s="9"/>
      <c r="IR818" s="9"/>
      <c r="IS818" s="9"/>
      <c r="IT818" s="9"/>
      <c r="IU818" s="9"/>
      <c r="IV818" s="9"/>
      <c r="IW818" s="9"/>
      <c r="IX818" s="9"/>
      <c r="IY818" s="9"/>
      <c r="IZ818" s="9"/>
      <c r="JA818" s="9"/>
      <c r="JB818" s="9"/>
      <c r="JC818" s="9"/>
      <c r="JD818" s="9"/>
      <c r="JE818" s="9"/>
      <c r="JF818" s="9"/>
      <c r="JG818" s="9"/>
      <c r="JH818" s="9"/>
      <c r="JI818" s="9"/>
      <c r="JJ818" s="9"/>
      <c r="JK818" s="9"/>
      <c r="JL818" s="9"/>
      <c r="JM818" s="9"/>
      <c r="JN818" s="9"/>
      <c r="JO818" s="9"/>
      <c r="JP818" s="9"/>
      <c r="JQ818" s="9"/>
      <c r="JR818" s="9"/>
      <c r="JS818" s="9"/>
      <c r="JT818" s="9"/>
      <c r="JU818" s="9"/>
      <c r="JV818" s="9"/>
      <c r="JW818" s="9"/>
      <c r="JX818" s="9"/>
      <c r="JY818" s="9"/>
      <c r="JZ818" s="9"/>
      <c r="KA818" s="9"/>
      <c r="KB818" s="9"/>
      <c r="KC818" s="9"/>
      <c r="KD818" s="9"/>
      <c r="KE818" s="9"/>
      <c r="KF818" s="9"/>
      <c r="KG818" s="9"/>
      <c r="KH818" s="9"/>
      <c r="KI818" s="9"/>
      <c r="KJ818" s="9"/>
      <c r="KK818" s="9"/>
      <c r="KL818" s="9"/>
      <c r="KM818" s="9"/>
      <c r="KN818" s="9"/>
      <c r="KO818" s="9"/>
      <c r="KP818" s="9"/>
      <c r="KQ818" s="9"/>
      <c r="KR818" s="9"/>
      <c r="KS818" s="9"/>
      <c r="KT818" s="9"/>
      <c r="KU818" s="9"/>
      <c r="KV818" s="9"/>
      <c r="KW818" s="9"/>
      <c r="KX818" s="9"/>
      <c r="KY818" s="9"/>
      <c r="KZ818" s="9"/>
      <c r="LA818" s="9"/>
      <c r="LB818" s="9"/>
      <c r="LC818" s="9"/>
      <c r="LD818" s="9"/>
      <c r="LE818" s="9"/>
      <c r="LF818" s="9"/>
      <c r="LG818" s="9"/>
      <c r="LH818" s="9"/>
      <c r="LI818" s="9"/>
      <c r="LJ818" s="9"/>
      <c r="LK818" s="9"/>
      <c r="LL818" s="9"/>
      <c r="LM818" s="9"/>
      <c r="LN818" s="9"/>
      <c r="LO818" s="9"/>
      <c r="LP818" s="9"/>
      <c r="LQ818" s="9"/>
      <c r="LR818" s="9"/>
      <c r="LS818" s="9"/>
      <c r="LT818" s="9"/>
      <c r="LU818" s="9"/>
      <c r="LV818" s="9"/>
      <c r="LW818" s="9"/>
      <c r="LX818" s="9"/>
      <c r="LY818" s="9"/>
      <c r="LZ818" s="9"/>
      <c r="MA818" s="9"/>
      <c r="MB818" s="9"/>
      <c r="MC818" s="9"/>
      <c r="MD818" s="9"/>
      <c r="ME818" s="9"/>
      <c r="MF818" s="9"/>
      <c r="MG818" s="9"/>
      <c r="MH818" s="9"/>
      <c r="MI818" s="9"/>
      <c r="MJ818" s="9"/>
      <c r="MK818" s="9"/>
      <c r="ML818" s="9"/>
      <c r="MM818" s="9"/>
      <c r="MN818" s="9"/>
      <c r="MO818" s="9"/>
      <c r="MP818" s="9"/>
      <c r="MQ818" s="9"/>
      <c r="MR818" s="9"/>
      <c r="MS818" s="9"/>
      <c r="MT818" s="9"/>
      <c r="MU818" s="9"/>
      <c r="MV818" s="9"/>
      <c r="MW818" s="9"/>
      <c r="MX818" s="9"/>
      <c r="MY818" s="9"/>
      <c r="MZ818" s="9"/>
      <c r="NA818" s="9"/>
      <c r="NB818" s="9"/>
      <c r="NC818" s="9"/>
      <c r="ND818" s="9"/>
      <c r="NE818" s="9"/>
      <c r="NF818" s="9"/>
      <c r="NG818" s="9"/>
      <c r="NH818" s="9"/>
      <c r="NI818" s="9"/>
      <c r="NJ818" s="9"/>
      <c r="NK818" s="9"/>
      <c r="NL818" s="9"/>
      <c r="NM818" s="9"/>
      <c r="NN818" s="9"/>
      <c r="NO818" s="9"/>
      <c r="NP818" s="9"/>
      <c r="NQ818" s="9"/>
      <c r="NR818" s="9"/>
      <c r="NS818" s="9"/>
      <c r="NT818" s="9"/>
      <c r="NU818" s="9"/>
      <c r="NV818" s="9"/>
      <c r="NW818" s="9"/>
      <c r="NX818" s="9"/>
      <c r="NY818" s="9"/>
      <c r="NZ818" s="9"/>
      <c r="OA818" s="9"/>
      <c r="OB818" s="9"/>
      <c r="OC818" s="9"/>
      <c r="OD818" s="9"/>
      <c r="OE818" s="9"/>
      <c r="OF818" s="9"/>
      <c r="OG818" s="9"/>
      <c r="OH818" s="9"/>
      <c r="OI818" s="9"/>
      <c r="OJ818" s="9"/>
      <c r="OK818" s="9"/>
      <c r="OL818" s="9"/>
      <c r="OM818" s="9"/>
      <c r="ON818" s="9"/>
      <c r="OO818" s="9"/>
      <c r="OP818" s="9"/>
      <c r="OQ818" s="9"/>
      <c r="OR818" s="9"/>
      <c r="OS818" s="9"/>
      <c r="OT818" s="9"/>
      <c r="OU818" s="9"/>
      <c r="OV818" s="9"/>
      <c r="OW818" s="9"/>
      <c r="OX818" s="9"/>
      <c r="OY818" s="9"/>
      <c r="OZ818" s="9"/>
      <c r="PA818" s="9"/>
      <c r="PB818" s="9"/>
      <c r="PC818" s="9"/>
      <c r="PD818" s="9"/>
      <c r="PE818" s="9"/>
      <c r="PF818" s="9"/>
      <c r="PG818" s="9"/>
      <c r="PH818" s="9"/>
      <c r="PI818" s="9"/>
      <c r="PJ818" s="9"/>
      <c r="PK818" s="9"/>
      <c r="PL818" s="9"/>
      <c r="PM818" s="9"/>
      <c r="PN818" s="9"/>
      <c r="PO818" s="9"/>
      <c r="PP818" s="9"/>
      <c r="PQ818" s="9"/>
      <c r="PR818" s="9"/>
      <c r="PS818" s="9"/>
      <c r="PT818" s="9"/>
      <c r="PU818" s="9"/>
      <c r="PV818" s="9"/>
      <c r="PW818" s="9"/>
      <c r="PX818" s="9"/>
      <c r="PY818" s="9"/>
      <c r="PZ818" s="9"/>
      <c r="QA818" s="9"/>
      <c r="QB818" s="9"/>
      <c r="QC818" s="9"/>
      <c r="QD818" s="9"/>
      <c r="QE818" s="9"/>
      <c r="QF818" s="9"/>
      <c r="QG818" s="9"/>
      <c r="QH818" s="9"/>
      <c r="QI818" s="9"/>
      <c r="QJ818" s="9"/>
      <c r="QK818" s="9"/>
      <c r="QL818" s="9"/>
      <c r="QM818" s="9"/>
      <c r="QN818" s="9"/>
      <c r="QO818" s="9"/>
      <c r="QP818" s="9"/>
      <c r="QQ818" s="9"/>
      <c r="QR818" s="9"/>
      <c r="QS818" s="9"/>
      <c r="QT818" s="9"/>
      <c r="QU818" s="9"/>
      <c r="QV818" s="9"/>
      <c r="QW818" s="9"/>
      <c r="QX818" s="9"/>
      <c r="QY818" s="9"/>
      <c r="QZ818" s="9"/>
      <c r="RA818" s="9"/>
      <c r="RB818" s="9"/>
      <c r="RC818" s="9"/>
      <c r="RD818" s="9"/>
      <c r="RE818" s="9"/>
      <c r="RF818" s="9"/>
      <c r="RG818" s="9"/>
      <c r="RH818" s="9"/>
      <c r="RI818" s="9"/>
      <c r="RJ818" s="9"/>
      <c r="RK818" s="9"/>
      <c r="RL818" s="9"/>
      <c r="RM818" s="9"/>
      <c r="RN818" s="9"/>
      <c r="RO818" s="9"/>
      <c r="RP818" s="9"/>
      <c r="RQ818" s="9"/>
      <c r="RR818" s="9"/>
      <c r="RS818" s="9"/>
      <c r="RT818" s="9"/>
      <c r="RU818" s="9"/>
      <c r="RV818" s="9"/>
      <c r="RW818" s="9"/>
      <c r="RX818" s="9"/>
      <c r="RY818" s="9"/>
      <c r="RZ818" s="9"/>
      <c r="SA818" s="9"/>
      <c r="SB818" s="9"/>
      <c r="SC818" s="9"/>
      <c r="SD818" s="9"/>
      <c r="SE818" s="9"/>
      <c r="SF818" s="9"/>
      <c r="SG818" s="9"/>
      <c r="SH818" s="9"/>
      <c r="SI818" s="9"/>
      <c r="SJ818" s="9"/>
      <c r="SK818" s="9"/>
      <c r="SL818" s="9"/>
      <c r="SM818" s="9"/>
      <c r="SN818" s="9"/>
      <c r="SO818" s="9"/>
      <c r="SP818" s="9"/>
      <c r="SQ818" s="9"/>
      <c r="SR818" s="9"/>
      <c r="SS818" s="9"/>
      <c r="ST818" s="9"/>
      <c r="SU818" s="9"/>
      <c r="SV818" s="9"/>
      <c r="SW818" s="9"/>
      <c r="SX818" s="9"/>
      <c r="SY818" s="9"/>
      <c r="SZ818" s="9"/>
      <c r="TA818" s="9"/>
      <c r="TB818" s="9"/>
      <c r="TC818" s="9"/>
      <c r="TD818" s="9"/>
      <c r="TE818" s="9"/>
      <c r="TF818" s="9"/>
      <c r="TG818" s="9"/>
      <c r="TH818" s="9"/>
      <c r="TI818" s="9"/>
      <c r="TJ818" s="9"/>
      <c r="TK818" s="9"/>
      <c r="TL818" s="9"/>
      <c r="TM818" s="9"/>
      <c r="TN818" s="9"/>
      <c r="TO818" s="9"/>
      <c r="TP818" s="9"/>
      <c r="TQ818" s="9"/>
      <c r="TR818" s="9"/>
      <c r="TS818" s="9"/>
      <c r="TT818" s="9"/>
      <c r="TU818" s="9"/>
      <c r="TV818" s="9"/>
      <c r="TW818" s="9"/>
      <c r="TX818" s="9"/>
      <c r="TY818" s="9"/>
      <c r="TZ818" s="9"/>
      <c r="UA818" s="9"/>
      <c r="UB818" s="9"/>
      <c r="UC818" s="9"/>
      <c r="UD818" s="9"/>
      <c r="UE818" s="9"/>
      <c r="UF818" s="9"/>
      <c r="UG818" s="9"/>
      <c r="UH818" s="9"/>
      <c r="UI818" s="9"/>
      <c r="UJ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  <c r="HO819" s="9"/>
      <c r="HP819" s="9"/>
      <c r="HQ819" s="9"/>
      <c r="HR819" s="9"/>
      <c r="HS819" s="9"/>
      <c r="HT819" s="9"/>
      <c r="HU819" s="9"/>
      <c r="HV819" s="9"/>
      <c r="HW819" s="9"/>
      <c r="HX819" s="9"/>
      <c r="HY819" s="9"/>
      <c r="HZ819" s="9"/>
      <c r="IA819" s="9"/>
      <c r="IB819" s="9"/>
      <c r="IC819" s="9"/>
      <c r="ID819" s="9"/>
      <c r="IE819" s="9"/>
      <c r="IF819" s="9"/>
      <c r="IG819" s="9"/>
      <c r="IH819" s="9"/>
      <c r="II819" s="9"/>
      <c r="IJ819" s="9"/>
      <c r="IK819" s="9"/>
      <c r="IL819" s="9"/>
      <c r="IM819" s="9"/>
      <c r="IN819" s="9"/>
      <c r="IO819" s="9"/>
      <c r="IP819" s="9"/>
      <c r="IQ819" s="9"/>
      <c r="IR819" s="9"/>
      <c r="IS819" s="9"/>
      <c r="IT819" s="9"/>
      <c r="IU819" s="9"/>
      <c r="IV819" s="9"/>
      <c r="IW819" s="9"/>
      <c r="IX819" s="9"/>
      <c r="IY819" s="9"/>
      <c r="IZ819" s="9"/>
      <c r="JA819" s="9"/>
      <c r="JB819" s="9"/>
      <c r="JC819" s="9"/>
      <c r="JD819" s="9"/>
      <c r="JE819" s="9"/>
      <c r="JF819" s="9"/>
      <c r="JG819" s="9"/>
      <c r="JH819" s="9"/>
      <c r="JI819" s="9"/>
      <c r="JJ819" s="9"/>
      <c r="JK819" s="9"/>
      <c r="JL819" s="9"/>
      <c r="JM819" s="9"/>
      <c r="JN819" s="9"/>
      <c r="JO819" s="9"/>
      <c r="JP819" s="9"/>
      <c r="JQ819" s="9"/>
      <c r="JR819" s="9"/>
      <c r="JS819" s="9"/>
      <c r="JT819" s="9"/>
      <c r="JU819" s="9"/>
      <c r="JV819" s="9"/>
      <c r="JW819" s="9"/>
      <c r="JX819" s="9"/>
      <c r="JY819" s="9"/>
      <c r="JZ819" s="9"/>
      <c r="KA819" s="9"/>
      <c r="KB819" s="9"/>
      <c r="KC819" s="9"/>
      <c r="KD819" s="9"/>
      <c r="KE819" s="9"/>
      <c r="KF819" s="9"/>
      <c r="KG819" s="9"/>
      <c r="KH819" s="9"/>
      <c r="KI819" s="9"/>
      <c r="KJ819" s="9"/>
      <c r="KK819" s="9"/>
      <c r="KL819" s="9"/>
      <c r="KM819" s="9"/>
      <c r="KN819" s="9"/>
      <c r="KO819" s="9"/>
      <c r="KP819" s="9"/>
      <c r="KQ819" s="9"/>
      <c r="KR819" s="9"/>
      <c r="KS819" s="9"/>
      <c r="KT819" s="9"/>
      <c r="KU819" s="9"/>
      <c r="KV819" s="9"/>
      <c r="KW819" s="9"/>
      <c r="KX819" s="9"/>
      <c r="KY819" s="9"/>
      <c r="KZ819" s="9"/>
      <c r="LA819" s="9"/>
      <c r="LB819" s="9"/>
      <c r="LC819" s="9"/>
      <c r="LD819" s="9"/>
      <c r="LE819" s="9"/>
      <c r="LF819" s="9"/>
      <c r="LG819" s="9"/>
      <c r="LH819" s="9"/>
      <c r="LI819" s="9"/>
      <c r="LJ819" s="9"/>
      <c r="LK819" s="9"/>
      <c r="LL819" s="9"/>
      <c r="LM819" s="9"/>
      <c r="LN819" s="9"/>
      <c r="LO819" s="9"/>
      <c r="LP819" s="9"/>
      <c r="LQ819" s="9"/>
      <c r="LR819" s="9"/>
      <c r="LS819" s="9"/>
      <c r="LT819" s="9"/>
      <c r="LU819" s="9"/>
      <c r="LV819" s="9"/>
      <c r="LW819" s="9"/>
      <c r="LX819" s="9"/>
      <c r="LY819" s="9"/>
      <c r="LZ819" s="9"/>
      <c r="MA819" s="9"/>
      <c r="MB819" s="9"/>
      <c r="MC819" s="9"/>
      <c r="MD819" s="9"/>
      <c r="ME819" s="9"/>
      <c r="MF819" s="9"/>
      <c r="MG819" s="9"/>
      <c r="MH819" s="9"/>
      <c r="MI819" s="9"/>
      <c r="MJ819" s="9"/>
      <c r="MK819" s="9"/>
      <c r="ML819" s="9"/>
      <c r="MM819" s="9"/>
      <c r="MN819" s="9"/>
      <c r="MO819" s="9"/>
      <c r="MP819" s="9"/>
      <c r="MQ819" s="9"/>
      <c r="MR819" s="9"/>
      <c r="MS819" s="9"/>
      <c r="MT819" s="9"/>
      <c r="MU819" s="9"/>
      <c r="MV819" s="9"/>
      <c r="MW819" s="9"/>
      <c r="MX819" s="9"/>
      <c r="MY819" s="9"/>
      <c r="MZ819" s="9"/>
      <c r="NA819" s="9"/>
      <c r="NB819" s="9"/>
      <c r="NC819" s="9"/>
      <c r="ND819" s="9"/>
      <c r="NE819" s="9"/>
      <c r="NF819" s="9"/>
      <c r="NG819" s="9"/>
      <c r="NH819" s="9"/>
      <c r="NI819" s="9"/>
      <c r="NJ819" s="9"/>
      <c r="NK819" s="9"/>
      <c r="NL819" s="9"/>
      <c r="NM819" s="9"/>
      <c r="NN819" s="9"/>
      <c r="NO819" s="9"/>
      <c r="NP819" s="9"/>
      <c r="NQ819" s="9"/>
      <c r="NR819" s="9"/>
      <c r="NS819" s="9"/>
      <c r="NT819" s="9"/>
      <c r="NU819" s="9"/>
      <c r="NV819" s="9"/>
      <c r="NW819" s="9"/>
      <c r="NX819" s="9"/>
      <c r="NY819" s="9"/>
      <c r="NZ819" s="9"/>
      <c r="OA819" s="9"/>
      <c r="OB819" s="9"/>
      <c r="OC819" s="9"/>
      <c r="OD819" s="9"/>
      <c r="OE819" s="9"/>
      <c r="OF819" s="9"/>
      <c r="OG819" s="9"/>
      <c r="OH819" s="9"/>
      <c r="OI819" s="9"/>
      <c r="OJ819" s="9"/>
      <c r="OK819" s="9"/>
      <c r="OL819" s="9"/>
      <c r="OM819" s="9"/>
      <c r="ON819" s="9"/>
      <c r="OO819" s="9"/>
      <c r="OP819" s="9"/>
      <c r="OQ819" s="9"/>
      <c r="OR819" s="9"/>
      <c r="OS819" s="9"/>
      <c r="OT819" s="9"/>
      <c r="OU819" s="9"/>
      <c r="OV819" s="9"/>
      <c r="OW819" s="9"/>
      <c r="OX819" s="9"/>
      <c r="OY819" s="9"/>
      <c r="OZ819" s="9"/>
      <c r="PA819" s="9"/>
      <c r="PB819" s="9"/>
      <c r="PC819" s="9"/>
      <c r="PD819" s="9"/>
      <c r="PE819" s="9"/>
      <c r="PF819" s="9"/>
      <c r="PG819" s="9"/>
      <c r="PH819" s="9"/>
      <c r="PI819" s="9"/>
      <c r="PJ819" s="9"/>
      <c r="PK819" s="9"/>
      <c r="PL819" s="9"/>
      <c r="PM819" s="9"/>
      <c r="PN819" s="9"/>
      <c r="PO819" s="9"/>
      <c r="PP819" s="9"/>
      <c r="PQ819" s="9"/>
      <c r="PR819" s="9"/>
      <c r="PS819" s="9"/>
      <c r="PT819" s="9"/>
      <c r="PU819" s="9"/>
      <c r="PV819" s="9"/>
      <c r="PW819" s="9"/>
      <c r="PX819" s="9"/>
      <c r="PY819" s="9"/>
      <c r="PZ819" s="9"/>
      <c r="QA819" s="9"/>
      <c r="QB819" s="9"/>
      <c r="QC819" s="9"/>
      <c r="QD819" s="9"/>
      <c r="QE819" s="9"/>
      <c r="QF819" s="9"/>
      <c r="QG819" s="9"/>
      <c r="QH819" s="9"/>
      <c r="QI819" s="9"/>
      <c r="QJ819" s="9"/>
      <c r="QK819" s="9"/>
      <c r="QL819" s="9"/>
      <c r="QM819" s="9"/>
      <c r="QN819" s="9"/>
      <c r="QO819" s="9"/>
      <c r="QP819" s="9"/>
      <c r="QQ819" s="9"/>
      <c r="QR819" s="9"/>
      <c r="QS819" s="9"/>
      <c r="QT819" s="9"/>
      <c r="QU819" s="9"/>
      <c r="QV819" s="9"/>
      <c r="QW819" s="9"/>
      <c r="QX819" s="9"/>
      <c r="QY819" s="9"/>
      <c r="QZ819" s="9"/>
      <c r="RA819" s="9"/>
      <c r="RB819" s="9"/>
      <c r="RC819" s="9"/>
      <c r="RD819" s="9"/>
      <c r="RE819" s="9"/>
      <c r="RF819" s="9"/>
      <c r="RG819" s="9"/>
      <c r="RH819" s="9"/>
      <c r="RI819" s="9"/>
      <c r="RJ819" s="9"/>
      <c r="RK819" s="9"/>
      <c r="RL819" s="9"/>
      <c r="RM819" s="9"/>
      <c r="RN819" s="9"/>
      <c r="RO819" s="9"/>
      <c r="RP819" s="9"/>
      <c r="RQ819" s="9"/>
      <c r="RR819" s="9"/>
      <c r="RS819" s="9"/>
      <c r="RT819" s="9"/>
      <c r="RU819" s="9"/>
      <c r="RV819" s="9"/>
      <c r="RW819" s="9"/>
      <c r="RX819" s="9"/>
      <c r="RY819" s="9"/>
      <c r="RZ819" s="9"/>
      <c r="SA819" s="9"/>
      <c r="SB819" s="9"/>
      <c r="SC819" s="9"/>
      <c r="SD819" s="9"/>
      <c r="SE819" s="9"/>
      <c r="SF819" s="9"/>
      <c r="SG819" s="9"/>
      <c r="SH819" s="9"/>
      <c r="SI819" s="9"/>
      <c r="SJ819" s="9"/>
      <c r="SK819" s="9"/>
      <c r="SL819" s="9"/>
      <c r="SM819" s="9"/>
      <c r="SN819" s="9"/>
      <c r="SO819" s="9"/>
      <c r="SP819" s="9"/>
      <c r="SQ819" s="9"/>
      <c r="SR819" s="9"/>
      <c r="SS819" s="9"/>
      <c r="ST819" s="9"/>
      <c r="SU819" s="9"/>
      <c r="SV819" s="9"/>
      <c r="SW819" s="9"/>
      <c r="SX819" s="9"/>
      <c r="SY819" s="9"/>
      <c r="SZ819" s="9"/>
      <c r="TA819" s="9"/>
      <c r="TB819" s="9"/>
      <c r="TC819" s="9"/>
      <c r="TD819" s="9"/>
      <c r="TE819" s="9"/>
      <c r="TF819" s="9"/>
      <c r="TG819" s="9"/>
      <c r="TH819" s="9"/>
      <c r="TI819" s="9"/>
      <c r="TJ819" s="9"/>
      <c r="TK819" s="9"/>
      <c r="TL819" s="9"/>
      <c r="TM819" s="9"/>
      <c r="TN819" s="9"/>
      <c r="TO819" s="9"/>
      <c r="TP819" s="9"/>
      <c r="TQ819" s="9"/>
      <c r="TR819" s="9"/>
      <c r="TS819" s="9"/>
      <c r="TT819" s="9"/>
      <c r="TU819" s="9"/>
      <c r="TV819" s="9"/>
      <c r="TW819" s="9"/>
      <c r="TX819" s="9"/>
      <c r="TY819" s="9"/>
      <c r="TZ819" s="9"/>
      <c r="UA819" s="9"/>
      <c r="UB819" s="9"/>
      <c r="UC819" s="9"/>
      <c r="UD819" s="9"/>
      <c r="UE819" s="9"/>
      <c r="UF819" s="9"/>
      <c r="UG819" s="9"/>
      <c r="UH819" s="9"/>
      <c r="UI819" s="9"/>
      <c r="UJ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9"/>
      <c r="GV820" s="9"/>
      <c r="GW820" s="9"/>
      <c r="GX820" s="9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  <c r="HO820" s="9"/>
      <c r="HP820" s="9"/>
      <c r="HQ820" s="9"/>
      <c r="HR820" s="9"/>
      <c r="HS820" s="9"/>
      <c r="HT820" s="9"/>
      <c r="HU820" s="9"/>
      <c r="HV820" s="9"/>
      <c r="HW820" s="9"/>
      <c r="HX820" s="9"/>
      <c r="HY820" s="9"/>
      <c r="HZ820" s="9"/>
      <c r="IA820" s="9"/>
      <c r="IB820" s="9"/>
      <c r="IC820" s="9"/>
      <c r="ID820" s="9"/>
      <c r="IE820" s="9"/>
      <c r="IF820" s="9"/>
      <c r="IG820" s="9"/>
      <c r="IH820" s="9"/>
      <c r="II820" s="9"/>
      <c r="IJ820" s="9"/>
      <c r="IK820" s="9"/>
      <c r="IL820" s="9"/>
      <c r="IM820" s="9"/>
      <c r="IN820" s="9"/>
      <c r="IO820" s="9"/>
      <c r="IP820" s="9"/>
      <c r="IQ820" s="9"/>
      <c r="IR820" s="9"/>
      <c r="IS820" s="9"/>
      <c r="IT820" s="9"/>
      <c r="IU820" s="9"/>
      <c r="IV820" s="9"/>
      <c r="IW820" s="9"/>
      <c r="IX820" s="9"/>
      <c r="IY820" s="9"/>
      <c r="IZ820" s="9"/>
      <c r="JA820" s="9"/>
      <c r="JB820" s="9"/>
      <c r="JC820" s="9"/>
      <c r="JD820" s="9"/>
      <c r="JE820" s="9"/>
      <c r="JF820" s="9"/>
      <c r="JG820" s="9"/>
      <c r="JH820" s="9"/>
      <c r="JI820" s="9"/>
      <c r="JJ820" s="9"/>
      <c r="JK820" s="9"/>
      <c r="JL820" s="9"/>
      <c r="JM820" s="9"/>
      <c r="JN820" s="9"/>
      <c r="JO820" s="9"/>
      <c r="JP820" s="9"/>
      <c r="JQ820" s="9"/>
      <c r="JR820" s="9"/>
      <c r="JS820" s="9"/>
      <c r="JT820" s="9"/>
      <c r="JU820" s="9"/>
      <c r="JV820" s="9"/>
      <c r="JW820" s="9"/>
      <c r="JX820" s="9"/>
      <c r="JY820" s="9"/>
      <c r="JZ820" s="9"/>
      <c r="KA820" s="9"/>
      <c r="KB820" s="9"/>
      <c r="KC820" s="9"/>
      <c r="KD820" s="9"/>
      <c r="KE820" s="9"/>
      <c r="KF820" s="9"/>
      <c r="KG820" s="9"/>
      <c r="KH820" s="9"/>
      <c r="KI820" s="9"/>
      <c r="KJ820" s="9"/>
      <c r="KK820" s="9"/>
      <c r="KL820" s="9"/>
      <c r="KM820" s="9"/>
      <c r="KN820" s="9"/>
      <c r="KO820" s="9"/>
      <c r="KP820" s="9"/>
      <c r="KQ820" s="9"/>
      <c r="KR820" s="9"/>
      <c r="KS820" s="9"/>
      <c r="KT820" s="9"/>
      <c r="KU820" s="9"/>
      <c r="KV820" s="9"/>
      <c r="KW820" s="9"/>
      <c r="KX820" s="9"/>
      <c r="KY820" s="9"/>
      <c r="KZ820" s="9"/>
      <c r="LA820" s="9"/>
      <c r="LB820" s="9"/>
      <c r="LC820" s="9"/>
      <c r="LD820" s="9"/>
      <c r="LE820" s="9"/>
      <c r="LF820" s="9"/>
      <c r="LG820" s="9"/>
      <c r="LH820" s="9"/>
      <c r="LI820" s="9"/>
      <c r="LJ820" s="9"/>
      <c r="LK820" s="9"/>
      <c r="LL820" s="9"/>
      <c r="LM820" s="9"/>
      <c r="LN820" s="9"/>
      <c r="LO820" s="9"/>
      <c r="LP820" s="9"/>
      <c r="LQ820" s="9"/>
      <c r="LR820" s="9"/>
      <c r="LS820" s="9"/>
      <c r="LT820" s="9"/>
      <c r="LU820" s="9"/>
      <c r="LV820" s="9"/>
      <c r="LW820" s="9"/>
      <c r="LX820" s="9"/>
      <c r="LY820" s="9"/>
      <c r="LZ820" s="9"/>
      <c r="MA820" s="9"/>
      <c r="MB820" s="9"/>
      <c r="MC820" s="9"/>
      <c r="MD820" s="9"/>
      <c r="ME820" s="9"/>
      <c r="MF820" s="9"/>
      <c r="MG820" s="9"/>
      <c r="MH820" s="9"/>
      <c r="MI820" s="9"/>
      <c r="MJ820" s="9"/>
      <c r="MK820" s="9"/>
      <c r="ML820" s="9"/>
      <c r="MM820" s="9"/>
      <c r="MN820" s="9"/>
      <c r="MO820" s="9"/>
      <c r="MP820" s="9"/>
      <c r="MQ820" s="9"/>
      <c r="MR820" s="9"/>
      <c r="MS820" s="9"/>
      <c r="MT820" s="9"/>
      <c r="MU820" s="9"/>
      <c r="MV820" s="9"/>
      <c r="MW820" s="9"/>
      <c r="MX820" s="9"/>
      <c r="MY820" s="9"/>
      <c r="MZ820" s="9"/>
      <c r="NA820" s="9"/>
      <c r="NB820" s="9"/>
      <c r="NC820" s="9"/>
      <c r="ND820" s="9"/>
      <c r="NE820" s="9"/>
      <c r="NF820" s="9"/>
      <c r="NG820" s="9"/>
      <c r="NH820" s="9"/>
      <c r="NI820" s="9"/>
      <c r="NJ820" s="9"/>
      <c r="NK820" s="9"/>
      <c r="NL820" s="9"/>
      <c r="NM820" s="9"/>
      <c r="NN820" s="9"/>
      <c r="NO820" s="9"/>
      <c r="NP820" s="9"/>
      <c r="NQ820" s="9"/>
      <c r="NR820" s="9"/>
      <c r="NS820" s="9"/>
      <c r="NT820" s="9"/>
      <c r="NU820" s="9"/>
      <c r="NV820" s="9"/>
      <c r="NW820" s="9"/>
      <c r="NX820" s="9"/>
      <c r="NY820" s="9"/>
      <c r="NZ820" s="9"/>
      <c r="OA820" s="9"/>
      <c r="OB820" s="9"/>
      <c r="OC820" s="9"/>
      <c r="OD820" s="9"/>
      <c r="OE820" s="9"/>
      <c r="OF820" s="9"/>
      <c r="OG820" s="9"/>
      <c r="OH820" s="9"/>
      <c r="OI820" s="9"/>
      <c r="OJ820" s="9"/>
      <c r="OK820" s="9"/>
      <c r="OL820" s="9"/>
      <c r="OM820" s="9"/>
      <c r="ON820" s="9"/>
      <c r="OO820" s="9"/>
      <c r="OP820" s="9"/>
      <c r="OQ820" s="9"/>
      <c r="OR820" s="9"/>
      <c r="OS820" s="9"/>
      <c r="OT820" s="9"/>
      <c r="OU820" s="9"/>
      <c r="OV820" s="9"/>
      <c r="OW820" s="9"/>
      <c r="OX820" s="9"/>
      <c r="OY820" s="9"/>
      <c r="OZ820" s="9"/>
      <c r="PA820" s="9"/>
      <c r="PB820" s="9"/>
      <c r="PC820" s="9"/>
      <c r="PD820" s="9"/>
      <c r="PE820" s="9"/>
      <c r="PF820" s="9"/>
      <c r="PG820" s="9"/>
      <c r="PH820" s="9"/>
      <c r="PI820" s="9"/>
      <c r="PJ820" s="9"/>
      <c r="PK820" s="9"/>
      <c r="PL820" s="9"/>
      <c r="PM820" s="9"/>
      <c r="PN820" s="9"/>
      <c r="PO820" s="9"/>
      <c r="PP820" s="9"/>
      <c r="PQ820" s="9"/>
      <c r="PR820" s="9"/>
      <c r="PS820" s="9"/>
      <c r="PT820" s="9"/>
      <c r="PU820" s="9"/>
      <c r="PV820" s="9"/>
      <c r="PW820" s="9"/>
      <c r="PX820" s="9"/>
      <c r="PY820" s="9"/>
      <c r="PZ820" s="9"/>
      <c r="QA820" s="9"/>
      <c r="QB820" s="9"/>
      <c r="QC820" s="9"/>
      <c r="QD820" s="9"/>
      <c r="QE820" s="9"/>
      <c r="QF820" s="9"/>
      <c r="QG820" s="9"/>
      <c r="QH820" s="9"/>
      <c r="QI820" s="9"/>
      <c r="QJ820" s="9"/>
      <c r="QK820" s="9"/>
      <c r="QL820" s="9"/>
      <c r="QM820" s="9"/>
      <c r="QN820" s="9"/>
      <c r="QO820" s="9"/>
      <c r="QP820" s="9"/>
      <c r="QQ820" s="9"/>
      <c r="QR820" s="9"/>
      <c r="QS820" s="9"/>
      <c r="QT820" s="9"/>
      <c r="QU820" s="9"/>
      <c r="QV820" s="9"/>
      <c r="QW820" s="9"/>
      <c r="QX820" s="9"/>
      <c r="QY820" s="9"/>
      <c r="QZ820" s="9"/>
      <c r="RA820" s="9"/>
      <c r="RB820" s="9"/>
      <c r="RC820" s="9"/>
      <c r="RD820" s="9"/>
      <c r="RE820" s="9"/>
      <c r="RF820" s="9"/>
      <c r="RG820" s="9"/>
      <c r="RH820" s="9"/>
      <c r="RI820" s="9"/>
      <c r="RJ820" s="9"/>
      <c r="RK820" s="9"/>
      <c r="RL820" s="9"/>
      <c r="RM820" s="9"/>
      <c r="RN820" s="9"/>
      <c r="RO820" s="9"/>
      <c r="RP820" s="9"/>
      <c r="RQ820" s="9"/>
      <c r="RR820" s="9"/>
      <c r="RS820" s="9"/>
      <c r="RT820" s="9"/>
      <c r="RU820" s="9"/>
      <c r="RV820" s="9"/>
      <c r="RW820" s="9"/>
      <c r="RX820" s="9"/>
      <c r="RY820" s="9"/>
      <c r="RZ820" s="9"/>
      <c r="SA820" s="9"/>
      <c r="SB820" s="9"/>
      <c r="SC820" s="9"/>
      <c r="SD820" s="9"/>
      <c r="SE820" s="9"/>
      <c r="SF820" s="9"/>
      <c r="SG820" s="9"/>
      <c r="SH820" s="9"/>
      <c r="SI820" s="9"/>
      <c r="SJ820" s="9"/>
      <c r="SK820" s="9"/>
      <c r="SL820" s="9"/>
      <c r="SM820" s="9"/>
      <c r="SN820" s="9"/>
      <c r="SO820" s="9"/>
      <c r="SP820" s="9"/>
      <c r="SQ820" s="9"/>
      <c r="SR820" s="9"/>
      <c r="SS820" s="9"/>
      <c r="ST820" s="9"/>
      <c r="SU820" s="9"/>
      <c r="SV820" s="9"/>
      <c r="SW820" s="9"/>
      <c r="SX820" s="9"/>
      <c r="SY820" s="9"/>
      <c r="SZ820" s="9"/>
      <c r="TA820" s="9"/>
      <c r="TB820" s="9"/>
      <c r="TC820" s="9"/>
      <c r="TD820" s="9"/>
      <c r="TE820" s="9"/>
      <c r="TF820" s="9"/>
      <c r="TG820" s="9"/>
      <c r="TH820" s="9"/>
      <c r="TI820" s="9"/>
      <c r="TJ820" s="9"/>
      <c r="TK820" s="9"/>
      <c r="TL820" s="9"/>
      <c r="TM820" s="9"/>
      <c r="TN820" s="9"/>
      <c r="TO820" s="9"/>
      <c r="TP820" s="9"/>
      <c r="TQ820" s="9"/>
      <c r="TR820" s="9"/>
      <c r="TS820" s="9"/>
      <c r="TT820" s="9"/>
      <c r="TU820" s="9"/>
      <c r="TV820" s="9"/>
      <c r="TW820" s="9"/>
      <c r="TX820" s="9"/>
      <c r="TY820" s="9"/>
      <c r="TZ820" s="9"/>
      <c r="UA820" s="9"/>
      <c r="UB820" s="9"/>
      <c r="UC820" s="9"/>
      <c r="UD820" s="9"/>
      <c r="UE820" s="9"/>
      <c r="UF820" s="9"/>
      <c r="UG820" s="9"/>
      <c r="UH820" s="9"/>
      <c r="UI820" s="9"/>
      <c r="UJ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9"/>
      <c r="GV821" s="9"/>
      <c r="GW821" s="9"/>
      <c r="GX821" s="9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  <c r="HO821" s="9"/>
      <c r="HP821" s="9"/>
      <c r="HQ821" s="9"/>
      <c r="HR821" s="9"/>
      <c r="HS821" s="9"/>
      <c r="HT821" s="9"/>
      <c r="HU821" s="9"/>
      <c r="HV821" s="9"/>
      <c r="HW821" s="9"/>
      <c r="HX821" s="9"/>
      <c r="HY821" s="9"/>
      <c r="HZ821" s="9"/>
      <c r="IA821" s="9"/>
      <c r="IB821" s="9"/>
      <c r="IC821" s="9"/>
      <c r="ID821" s="9"/>
      <c r="IE821" s="9"/>
      <c r="IF821" s="9"/>
      <c r="IG821" s="9"/>
      <c r="IH821" s="9"/>
      <c r="II821" s="9"/>
      <c r="IJ821" s="9"/>
      <c r="IK821" s="9"/>
      <c r="IL821" s="9"/>
      <c r="IM821" s="9"/>
      <c r="IN821" s="9"/>
      <c r="IO821" s="9"/>
      <c r="IP821" s="9"/>
      <c r="IQ821" s="9"/>
      <c r="IR821" s="9"/>
      <c r="IS821" s="9"/>
      <c r="IT821" s="9"/>
      <c r="IU821" s="9"/>
      <c r="IV821" s="9"/>
      <c r="IW821" s="9"/>
      <c r="IX821" s="9"/>
      <c r="IY821" s="9"/>
      <c r="IZ821" s="9"/>
      <c r="JA821" s="9"/>
      <c r="JB821" s="9"/>
      <c r="JC821" s="9"/>
      <c r="JD821" s="9"/>
      <c r="JE821" s="9"/>
      <c r="JF821" s="9"/>
      <c r="JG821" s="9"/>
      <c r="JH821" s="9"/>
      <c r="JI821" s="9"/>
      <c r="JJ821" s="9"/>
      <c r="JK821" s="9"/>
      <c r="JL821" s="9"/>
      <c r="JM821" s="9"/>
      <c r="JN821" s="9"/>
      <c r="JO821" s="9"/>
      <c r="JP821" s="9"/>
      <c r="JQ821" s="9"/>
      <c r="JR821" s="9"/>
      <c r="JS821" s="9"/>
      <c r="JT821" s="9"/>
      <c r="JU821" s="9"/>
      <c r="JV821" s="9"/>
      <c r="JW821" s="9"/>
      <c r="JX821" s="9"/>
      <c r="JY821" s="9"/>
      <c r="JZ821" s="9"/>
      <c r="KA821" s="9"/>
      <c r="KB821" s="9"/>
      <c r="KC821" s="9"/>
      <c r="KD821" s="9"/>
      <c r="KE821" s="9"/>
      <c r="KF821" s="9"/>
      <c r="KG821" s="9"/>
      <c r="KH821" s="9"/>
      <c r="KI821" s="9"/>
      <c r="KJ821" s="9"/>
      <c r="KK821" s="9"/>
      <c r="KL821" s="9"/>
      <c r="KM821" s="9"/>
      <c r="KN821" s="9"/>
      <c r="KO821" s="9"/>
      <c r="KP821" s="9"/>
      <c r="KQ821" s="9"/>
      <c r="KR821" s="9"/>
      <c r="KS821" s="9"/>
      <c r="KT821" s="9"/>
      <c r="KU821" s="9"/>
      <c r="KV821" s="9"/>
      <c r="KW821" s="9"/>
      <c r="KX821" s="9"/>
      <c r="KY821" s="9"/>
      <c r="KZ821" s="9"/>
      <c r="LA821" s="9"/>
      <c r="LB821" s="9"/>
      <c r="LC821" s="9"/>
      <c r="LD821" s="9"/>
      <c r="LE821" s="9"/>
      <c r="LF821" s="9"/>
      <c r="LG821" s="9"/>
      <c r="LH821" s="9"/>
      <c r="LI821" s="9"/>
      <c r="LJ821" s="9"/>
      <c r="LK821" s="9"/>
      <c r="LL821" s="9"/>
      <c r="LM821" s="9"/>
      <c r="LN821" s="9"/>
      <c r="LO821" s="9"/>
      <c r="LP821" s="9"/>
      <c r="LQ821" s="9"/>
      <c r="LR821" s="9"/>
      <c r="LS821" s="9"/>
      <c r="LT821" s="9"/>
      <c r="LU821" s="9"/>
      <c r="LV821" s="9"/>
      <c r="LW821" s="9"/>
      <c r="LX821" s="9"/>
      <c r="LY821" s="9"/>
      <c r="LZ821" s="9"/>
      <c r="MA821" s="9"/>
      <c r="MB821" s="9"/>
      <c r="MC821" s="9"/>
      <c r="MD821" s="9"/>
      <c r="ME821" s="9"/>
      <c r="MF821" s="9"/>
      <c r="MG821" s="9"/>
      <c r="MH821" s="9"/>
      <c r="MI821" s="9"/>
      <c r="MJ821" s="9"/>
      <c r="MK821" s="9"/>
      <c r="ML821" s="9"/>
      <c r="MM821" s="9"/>
      <c r="MN821" s="9"/>
      <c r="MO821" s="9"/>
      <c r="MP821" s="9"/>
      <c r="MQ821" s="9"/>
      <c r="MR821" s="9"/>
      <c r="MS821" s="9"/>
      <c r="MT821" s="9"/>
      <c r="MU821" s="9"/>
      <c r="MV821" s="9"/>
      <c r="MW821" s="9"/>
      <c r="MX821" s="9"/>
      <c r="MY821" s="9"/>
      <c r="MZ821" s="9"/>
      <c r="NA821" s="9"/>
      <c r="NB821" s="9"/>
      <c r="NC821" s="9"/>
      <c r="ND821" s="9"/>
      <c r="NE821" s="9"/>
      <c r="NF821" s="9"/>
      <c r="NG821" s="9"/>
      <c r="NH821" s="9"/>
      <c r="NI821" s="9"/>
      <c r="NJ821" s="9"/>
      <c r="NK821" s="9"/>
      <c r="NL821" s="9"/>
      <c r="NM821" s="9"/>
      <c r="NN821" s="9"/>
      <c r="NO821" s="9"/>
      <c r="NP821" s="9"/>
      <c r="NQ821" s="9"/>
      <c r="NR821" s="9"/>
      <c r="NS821" s="9"/>
      <c r="NT821" s="9"/>
      <c r="NU821" s="9"/>
      <c r="NV821" s="9"/>
      <c r="NW821" s="9"/>
      <c r="NX821" s="9"/>
      <c r="NY821" s="9"/>
      <c r="NZ821" s="9"/>
      <c r="OA821" s="9"/>
      <c r="OB821" s="9"/>
      <c r="OC821" s="9"/>
      <c r="OD821" s="9"/>
      <c r="OE821" s="9"/>
      <c r="OF821" s="9"/>
      <c r="OG821" s="9"/>
      <c r="OH821" s="9"/>
      <c r="OI821" s="9"/>
      <c r="OJ821" s="9"/>
      <c r="OK821" s="9"/>
      <c r="OL821" s="9"/>
      <c r="OM821" s="9"/>
      <c r="ON821" s="9"/>
      <c r="OO821" s="9"/>
      <c r="OP821" s="9"/>
      <c r="OQ821" s="9"/>
      <c r="OR821" s="9"/>
      <c r="OS821" s="9"/>
      <c r="OT821" s="9"/>
      <c r="OU821" s="9"/>
      <c r="OV821" s="9"/>
      <c r="OW821" s="9"/>
      <c r="OX821" s="9"/>
      <c r="OY821" s="9"/>
      <c r="OZ821" s="9"/>
      <c r="PA821" s="9"/>
      <c r="PB821" s="9"/>
      <c r="PC821" s="9"/>
      <c r="PD821" s="9"/>
      <c r="PE821" s="9"/>
      <c r="PF821" s="9"/>
      <c r="PG821" s="9"/>
      <c r="PH821" s="9"/>
      <c r="PI821" s="9"/>
      <c r="PJ821" s="9"/>
      <c r="PK821" s="9"/>
      <c r="PL821" s="9"/>
      <c r="PM821" s="9"/>
      <c r="PN821" s="9"/>
      <c r="PO821" s="9"/>
      <c r="PP821" s="9"/>
      <c r="PQ821" s="9"/>
      <c r="PR821" s="9"/>
      <c r="PS821" s="9"/>
      <c r="PT821" s="9"/>
      <c r="PU821" s="9"/>
      <c r="PV821" s="9"/>
      <c r="PW821" s="9"/>
      <c r="PX821" s="9"/>
      <c r="PY821" s="9"/>
      <c r="PZ821" s="9"/>
      <c r="QA821" s="9"/>
      <c r="QB821" s="9"/>
      <c r="QC821" s="9"/>
      <c r="QD821" s="9"/>
      <c r="QE821" s="9"/>
      <c r="QF821" s="9"/>
      <c r="QG821" s="9"/>
      <c r="QH821" s="9"/>
      <c r="QI821" s="9"/>
      <c r="QJ821" s="9"/>
      <c r="QK821" s="9"/>
      <c r="QL821" s="9"/>
      <c r="QM821" s="9"/>
      <c r="QN821" s="9"/>
      <c r="QO821" s="9"/>
      <c r="QP821" s="9"/>
      <c r="QQ821" s="9"/>
      <c r="QR821" s="9"/>
      <c r="QS821" s="9"/>
      <c r="QT821" s="9"/>
      <c r="QU821" s="9"/>
      <c r="QV821" s="9"/>
      <c r="QW821" s="9"/>
      <c r="QX821" s="9"/>
      <c r="QY821" s="9"/>
      <c r="QZ821" s="9"/>
      <c r="RA821" s="9"/>
      <c r="RB821" s="9"/>
      <c r="RC821" s="9"/>
      <c r="RD821" s="9"/>
      <c r="RE821" s="9"/>
      <c r="RF821" s="9"/>
      <c r="RG821" s="9"/>
      <c r="RH821" s="9"/>
      <c r="RI821" s="9"/>
      <c r="RJ821" s="9"/>
      <c r="RK821" s="9"/>
      <c r="RL821" s="9"/>
      <c r="RM821" s="9"/>
      <c r="RN821" s="9"/>
      <c r="RO821" s="9"/>
      <c r="RP821" s="9"/>
      <c r="RQ821" s="9"/>
      <c r="RR821" s="9"/>
      <c r="RS821" s="9"/>
      <c r="RT821" s="9"/>
      <c r="RU821" s="9"/>
      <c r="RV821" s="9"/>
      <c r="RW821" s="9"/>
      <c r="RX821" s="9"/>
      <c r="RY821" s="9"/>
      <c r="RZ821" s="9"/>
      <c r="SA821" s="9"/>
      <c r="SB821" s="9"/>
      <c r="SC821" s="9"/>
      <c r="SD821" s="9"/>
      <c r="SE821" s="9"/>
      <c r="SF821" s="9"/>
      <c r="SG821" s="9"/>
      <c r="SH821" s="9"/>
      <c r="SI821" s="9"/>
      <c r="SJ821" s="9"/>
      <c r="SK821" s="9"/>
      <c r="SL821" s="9"/>
      <c r="SM821" s="9"/>
      <c r="SN821" s="9"/>
      <c r="SO821" s="9"/>
      <c r="SP821" s="9"/>
      <c r="SQ821" s="9"/>
      <c r="SR821" s="9"/>
      <c r="SS821" s="9"/>
      <c r="ST821" s="9"/>
      <c r="SU821" s="9"/>
      <c r="SV821" s="9"/>
      <c r="SW821" s="9"/>
      <c r="SX821" s="9"/>
      <c r="SY821" s="9"/>
      <c r="SZ821" s="9"/>
      <c r="TA821" s="9"/>
      <c r="TB821" s="9"/>
      <c r="TC821" s="9"/>
      <c r="TD821" s="9"/>
      <c r="TE821" s="9"/>
      <c r="TF821" s="9"/>
      <c r="TG821" s="9"/>
      <c r="TH821" s="9"/>
      <c r="TI821" s="9"/>
      <c r="TJ821" s="9"/>
      <c r="TK821" s="9"/>
      <c r="TL821" s="9"/>
      <c r="TM821" s="9"/>
      <c r="TN821" s="9"/>
      <c r="TO821" s="9"/>
      <c r="TP821" s="9"/>
      <c r="TQ821" s="9"/>
      <c r="TR821" s="9"/>
      <c r="TS821" s="9"/>
      <c r="TT821" s="9"/>
      <c r="TU821" s="9"/>
      <c r="TV821" s="9"/>
      <c r="TW821" s="9"/>
      <c r="TX821" s="9"/>
      <c r="TY821" s="9"/>
      <c r="TZ821" s="9"/>
      <c r="UA821" s="9"/>
      <c r="UB821" s="9"/>
      <c r="UC821" s="9"/>
      <c r="UD821" s="9"/>
      <c r="UE821" s="9"/>
      <c r="UF821" s="9"/>
      <c r="UG821" s="9"/>
      <c r="UH821" s="9"/>
      <c r="UI821" s="9"/>
      <c r="UJ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9"/>
      <c r="IA822" s="9"/>
      <c r="IB822" s="9"/>
      <c r="IC822" s="9"/>
      <c r="ID822" s="9"/>
      <c r="IE822" s="9"/>
      <c r="IF822" s="9"/>
      <c r="IG822" s="9"/>
      <c r="IH822" s="9"/>
      <c r="II822" s="9"/>
      <c r="IJ822" s="9"/>
      <c r="IK822" s="9"/>
      <c r="IL822" s="9"/>
      <c r="IM822" s="9"/>
      <c r="IN822" s="9"/>
      <c r="IO822" s="9"/>
      <c r="IP822" s="9"/>
      <c r="IQ822" s="9"/>
      <c r="IR822" s="9"/>
      <c r="IS822" s="9"/>
      <c r="IT822" s="9"/>
      <c r="IU822" s="9"/>
      <c r="IV822" s="9"/>
      <c r="IW822" s="9"/>
      <c r="IX822" s="9"/>
      <c r="IY822" s="9"/>
      <c r="IZ822" s="9"/>
      <c r="JA822" s="9"/>
      <c r="JB822" s="9"/>
      <c r="JC822" s="9"/>
      <c r="JD822" s="9"/>
      <c r="JE822" s="9"/>
      <c r="JF822" s="9"/>
      <c r="JG822" s="9"/>
      <c r="JH822" s="9"/>
      <c r="JI822" s="9"/>
      <c r="JJ822" s="9"/>
      <c r="JK822" s="9"/>
      <c r="JL822" s="9"/>
      <c r="JM822" s="9"/>
      <c r="JN822" s="9"/>
      <c r="JO822" s="9"/>
      <c r="JP822" s="9"/>
      <c r="JQ822" s="9"/>
      <c r="JR822" s="9"/>
      <c r="JS822" s="9"/>
      <c r="JT822" s="9"/>
      <c r="JU822" s="9"/>
      <c r="JV822" s="9"/>
      <c r="JW822" s="9"/>
      <c r="JX822" s="9"/>
      <c r="JY822" s="9"/>
      <c r="JZ822" s="9"/>
      <c r="KA822" s="9"/>
      <c r="KB822" s="9"/>
      <c r="KC822" s="9"/>
      <c r="KD822" s="9"/>
      <c r="KE822" s="9"/>
      <c r="KF822" s="9"/>
      <c r="KG822" s="9"/>
      <c r="KH822" s="9"/>
      <c r="KI822" s="9"/>
      <c r="KJ822" s="9"/>
      <c r="KK822" s="9"/>
      <c r="KL822" s="9"/>
      <c r="KM822" s="9"/>
      <c r="KN822" s="9"/>
      <c r="KO822" s="9"/>
      <c r="KP822" s="9"/>
      <c r="KQ822" s="9"/>
      <c r="KR822" s="9"/>
      <c r="KS822" s="9"/>
      <c r="KT822" s="9"/>
      <c r="KU822" s="9"/>
      <c r="KV822" s="9"/>
      <c r="KW822" s="9"/>
      <c r="KX822" s="9"/>
      <c r="KY822" s="9"/>
      <c r="KZ822" s="9"/>
      <c r="LA822" s="9"/>
      <c r="LB822" s="9"/>
      <c r="LC822" s="9"/>
      <c r="LD822" s="9"/>
      <c r="LE822" s="9"/>
      <c r="LF822" s="9"/>
      <c r="LG822" s="9"/>
      <c r="LH822" s="9"/>
      <c r="LI822" s="9"/>
      <c r="LJ822" s="9"/>
      <c r="LK822" s="9"/>
      <c r="LL822" s="9"/>
      <c r="LM822" s="9"/>
      <c r="LN822" s="9"/>
      <c r="LO822" s="9"/>
      <c r="LP822" s="9"/>
      <c r="LQ822" s="9"/>
      <c r="LR822" s="9"/>
      <c r="LS822" s="9"/>
      <c r="LT822" s="9"/>
      <c r="LU822" s="9"/>
      <c r="LV822" s="9"/>
      <c r="LW822" s="9"/>
      <c r="LX822" s="9"/>
      <c r="LY822" s="9"/>
      <c r="LZ822" s="9"/>
      <c r="MA822" s="9"/>
      <c r="MB822" s="9"/>
      <c r="MC822" s="9"/>
      <c r="MD822" s="9"/>
      <c r="ME822" s="9"/>
      <c r="MF822" s="9"/>
      <c r="MG822" s="9"/>
      <c r="MH822" s="9"/>
      <c r="MI822" s="9"/>
      <c r="MJ822" s="9"/>
      <c r="MK822" s="9"/>
      <c r="ML822" s="9"/>
      <c r="MM822" s="9"/>
      <c r="MN822" s="9"/>
      <c r="MO822" s="9"/>
      <c r="MP822" s="9"/>
      <c r="MQ822" s="9"/>
      <c r="MR822" s="9"/>
      <c r="MS822" s="9"/>
      <c r="MT822" s="9"/>
      <c r="MU822" s="9"/>
      <c r="MV822" s="9"/>
      <c r="MW822" s="9"/>
      <c r="MX822" s="9"/>
      <c r="MY822" s="9"/>
      <c r="MZ822" s="9"/>
      <c r="NA822" s="9"/>
      <c r="NB822" s="9"/>
      <c r="NC822" s="9"/>
      <c r="ND822" s="9"/>
      <c r="NE822" s="9"/>
      <c r="NF822" s="9"/>
      <c r="NG822" s="9"/>
      <c r="NH822" s="9"/>
      <c r="NI822" s="9"/>
      <c r="NJ822" s="9"/>
      <c r="NK822" s="9"/>
      <c r="NL822" s="9"/>
      <c r="NM822" s="9"/>
      <c r="NN822" s="9"/>
      <c r="NO822" s="9"/>
      <c r="NP822" s="9"/>
      <c r="NQ822" s="9"/>
      <c r="NR822" s="9"/>
      <c r="NS822" s="9"/>
      <c r="NT822" s="9"/>
      <c r="NU822" s="9"/>
      <c r="NV822" s="9"/>
      <c r="NW822" s="9"/>
      <c r="NX822" s="9"/>
      <c r="NY822" s="9"/>
      <c r="NZ822" s="9"/>
      <c r="OA822" s="9"/>
      <c r="OB822" s="9"/>
      <c r="OC822" s="9"/>
      <c r="OD822" s="9"/>
      <c r="OE822" s="9"/>
      <c r="OF822" s="9"/>
      <c r="OG822" s="9"/>
      <c r="OH822" s="9"/>
      <c r="OI822" s="9"/>
      <c r="OJ822" s="9"/>
      <c r="OK822" s="9"/>
      <c r="OL822" s="9"/>
      <c r="OM822" s="9"/>
      <c r="ON822" s="9"/>
      <c r="OO822" s="9"/>
      <c r="OP822" s="9"/>
      <c r="OQ822" s="9"/>
      <c r="OR822" s="9"/>
      <c r="OS822" s="9"/>
      <c r="OT822" s="9"/>
      <c r="OU822" s="9"/>
      <c r="OV822" s="9"/>
      <c r="OW822" s="9"/>
      <c r="OX822" s="9"/>
      <c r="OY822" s="9"/>
      <c r="OZ822" s="9"/>
      <c r="PA822" s="9"/>
      <c r="PB822" s="9"/>
      <c r="PC822" s="9"/>
      <c r="PD822" s="9"/>
      <c r="PE822" s="9"/>
      <c r="PF822" s="9"/>
      <c r="PG822" s="9"/>
      <c r="PH822" s="9"/>
      <c r="PI822" s="9"/>
      <c r="PJ822" s="9"/>
      <c r="PK822" s="9"/>
      <c r="PL822" s="9"/>
      <c r="PM822" s="9"/>
      <c r="PN822" s="9"/>
      <c r="PO822" s="9"/>
      <c r="PP822" s="9"/>
      <c r="PQ822" s="9"/>
      <c r="PR822" s="9"/>
      <c r="PS822" s="9"/>
      <c r="PT822" s="9"/>
      <c r="PU822" s="9"/>
      <c r="PV822" s="9"/>
      <c r="PW822" s="9"/>
      <c r="PX822" s="9"/>
      <c r="PY822" s="9"/>
      <c r="PZ822" s="9"/>
      <c r="QA822" s="9"/>
      <c r="QB822" s="9"/>
      <c r="QC822" s="9"/>
      <c r="QD822" s="9"/>
      <c r="QE822" s="9"/>
      <c r="QF822" s="9"/>
      <c r="QG822" s="9"/>
      <c r="QH822" s="9"/>
      <c r="QI822" s="9"/>
      <c r="QJ822" s="9"/>
      <c r="QK822" s="9"/>
      <c r="QL822" s="9"/>
      <c r="QM822" s="9"/>
      <c r="QN822" s="9"/>
      <c r="QO822" s="9"/>
      <c r="QP822" s="9"/>
      <c r="QQ822" s="9"/>
      <c r="QR822" s="9"/>
      <c r="QS822" s="9"/>
      <c r="QT822" s="9"/>
      <c r="QU822" s="9"/>
      <c r="QV822" s="9"/>
      <c r="QW822" s="9"/>
      <c r="QX822" s="9"/>
      <c r="QY822" s="9"/>
      <c r="QZ822" s="9"/>
      <c r="RA822" s="9"/>
      <c r="RB822" s="9"/>
      <c r="RC822" s="9"/>
      <c r="RD822" s="9"/>
      <c r="RE822" s="9"/>
      <c r="RF822" s="9"/>
      <c r="RG822" s="9"/>
      <c r="RH822" s="9"/>
      <c r="RI822" s="9"/>
      <c r="RJ822" s="9"/>
      <c r="RK822" s="9"/>
      <c r="RL822" s="9"/>
      <c r="RM822" s="9"/>
      <c r="RN822" s="9"/>
      <c r="RO822" s="9"/>
      <c r="RP822" s="9"/>
      <c r="RQ822" s="9"/>
      <c r="RR822" s="9"/>
      <c r="RS822" s="9"/>
      <c r="RT822" s="9"/>
      <c r="RU822" s="9"/>
      <c r="RV822" s="9"/>
      <c r="RW822" s="9"/>
      <c r="RX822" s="9"/>
      <c r="RY822" s="9"/>
      <c r="RZ822" s="9"/>
      <c r="SA822" s="9"/>
      <c r="SB822" s="9"/>
      <c r="SC822" s="9"/>
      <c r="SD822" s="9"/>
      <c r="SE822" s="9"/>
      <c r="SF822" s="9"/>
      <c r="SG822" s="9"/>
      <c r="SH822" s="9"/>
      <c r="SI822" s="9"/>
      <c r="SJ822" s="9"/>
      <c r="SK822" s="9"/>
      <c r="SL822" s="9"/>
      <c r="SM822" s="9"/>
      <c r="SN822" s="9"/>
      <c r="SO822" s="9"/>
      <c r="SP822" s="9"/>
      <c r="SQ822" s="9"/>
      <c r="SR822" s="9"/>
      <c r="SS822" s="9"/>
      <c r="ST822" s="9"/>
      <c r="SU822" s="9"/>
      <c r="SV822" s="9"/>
      <c r="SW822" s="9"/>
      <c r="SX822" s="9"/>
      <c r="SY822" s="9"/>
      <c r="SZ822" s="9"/>
      <c r="TA822" s="9"/>
      <c r="TB822" s="9"/>
      <c r="TC822" s="9"/>
      <c r="TD822" s="9"/>
      <c r="TE822" s="9"/>
      <c r="TF822" s="9"/>
      <c r="TG822" s="9"/>
      <c r="TH822" s="9"/>
      <c r="TI822" s="9"/>
      <c r="TJ822" s="9"/>
      <c r="TK822" s="9"/>
      <c r="TL822" s="9"/>
      <c r="TM822" s="9"/>
      <c r="TN822" s="9"/>
      <c r="TO822" s="9"/>
      <c r="TP822" s="9"/>
      <c r="TQ822" s="9"/>
      <c r="TR822" s="9"/>
      <c r="TS822" s="9"/>
      <c r="TT822" s="9"/>
      <c r="TU822" s="9"/>
      <c r="TV822" s="9"/>
      <c r="TW822" s="9"/>
      <c r="TX822" s="9"/>
      <c r="TY822" s="9"/>
      <c r="TZ822" s="9"/>
      <c r="UA822" s="9"/>
      <c r="UB822" s="9"/>
      <c r="UC822" s="9"/>
      <c r="UD822" s="9"/>
      <c r="UE822" s="9"/>
      <c r="UF822" s="9"/>
      <c r="UG822" s="9"/>
      <c r="UH822" s="9"/>
      <c r="UI822" s="9"/>
      <c r="UJ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9"/>
      <c r="IA823" s="9"/>
      <c r="IB823" s="9"/>
      <c r="IC823" s="9"/>
      <c r="ID823" s="9"/>
      <c r="IE823" s="9"/>
      <c r="IF823" s="9"/>
      <c r="IG823" s="9"/>
      <c r="IH823" s="9"/>
      <c r="II823" s="9"/>
      <c r="IJ823" s="9"/>
      <c r="IK823" s="9"/>
      <c r="IL823" s="9"/>
      <c r="IM823" s="9"/>
      <c r="IN823" s="9"/>
      <c r="IO823" s="9"/>
      <c r="IP823" s="9"/>
      <c r="IQ823" s="9"/>
      <c r="IR823" s="9"/>
      <c r="IS823" s="9"/>
      <c r="IT823" s="9"/>
      <c r="IU823" s="9"/>
      <c r="IV823" s="9"/>
      <c r="IW823" s="9"/>
      <c r="IX823" s="9"/>
      <c r="IY823" s="9"/>
      <c r="IZ823" s="9"/>
      <c r="JA823" s="9"/>
      <c r="JB823" s="9"/>
      <c r="JC823" s="9"/>
      <c r="JD823" s="9"/>
      <c r="JE823" s="9"/>
      <c r="JF823" s="9"/>
      <c r="JG823" s="9"/>
      <c r="JH823" s="9"/>
      <c r="JI823" s="9"/>
      <c r="JJ823" s="9"/>
      <c r="JK823" s="9"/>
      <c r="JL823" s="9"/>
      <c r="JM823" s="9"/>
      <c r="JN823" s="9"/>
      <c r="JO823" s="9"/>
      <c r="JP823" s="9"/>
      <c r="JQ823" s="9"/>
      <c r="JR823" s="9"/>
      <c r="JS823" s="9"/>
      <c r="JT823" s="9"/>
      <c r="JU823" s="9"/>
      <c r="JV823" s="9"/>
      <c r="JW823" s="9"/>
      <c r="JX823" s="9"/>
      <c r="JY823" s="9"/>
      <c r="JZ823" s="9"/>
      <c r="KA823" s="9"/>
      <c r="KB823" s="9"/>
      <c r="KC823" s="9"/>
      <c r="KD823" s="9"/>
      <c r="KE823" s="9"/>
      <c r="KF823" s="9"/>
      <c r="KG823" s="9"/>
      <c r="KH823" s="9"/>
      <c r="KI823" s="9"/>
      <c r="KJ823" s="9"/>
      <c r="KK823" s="9"/>
      <c r="KL823" s="9"/>
      <c r="KM823" s="9"/>
      <c r="KN823" s="9"/>
      <c r="KO823" s="9"/>
      <c r="KP823" s="9"/>
      <c r="KQ823" s="9"/>
      <c r="KR823" s="9"/>
      <c r="KS823" s="9"/>
      <c r="KT823" s="9"/>
      <c r="KU823" s="9"/>
      <c r="KV823" s="9"/>
      <c r="KW823" s="9"/>
      <c r="KX823" s="9"/>
      <c r="KY823" s="9"/>
      <c r="KZ823" s="9"/>
      <c r="LA823" s="9"/>
      <c r="LB823" s="9"/>
      <c r="LC823" s="9"/>
      <c r="LD823" s="9"/>
      <c r="LE823" s="9"/>
      <c r="LF823" s="9"/>
      <c r="LG823" s="9"/>
      <c r="LH823" s="9"/>
      <c r="LI823" s="9"/>
      <c r="LJ823" s="9"/>
      <c r="LK823" s="9"/>
      <c r="LL823" s="9"/>
      <c r="LM823" s="9"/>
      <c r="LN823" s="9"/>
      <c r="LO823" s="9"/>
      <c r="LP823" s="9"/>
      <c r="LQ823" s="9"/>
      <c r="LR823" s="9"/>
      <c r="LS823" s="9"/>
      <c r="LT823" s="9"/>
      <c r="LU823" s="9"/>
      <c r="LV823" s="9"/>
      <c r="LW823" s="9"/>
      <c r="LX823" s="9"/>
      <c r="LY823" s="9"/>
      <c r="LZ823" s="9"/>
      <c r="MA823" s="9"/>
      <c r="MB823" s="9"/>
      <c r="MC823" s="9"/>
      <c r="MD823" s="9"/>
      <c r="ME823" s="9"/>
      <c r="MF823" s="9"/>
      <c r="MG823" s="9"/>
      <c r="MH823" s="9"/>
      <c r="MI823" s="9"/>
      <c r="MJ823" s="9"/>
      <c r="MK823" s="9"/>
      <c r="ML823" s="9"/>
      <c r="MM823" s="9"/>
      <c r="MN823" s="9"/>
      <c r="MO823" s="9"/>
      <c r="MP823" s="9"/>
      <c r="MQ823" s="9"/>
      <c r="MR823" s="9"/>
      <c r="MS823" s="9"/>
      <c r="MT823" s="9"/>
      <c r="MU823" s="9"/>
      <c r="MV823" s="9"/>
      <c r="MW823" s="9"/>
      <c r="MX823" s="9"/>
      <c r="MY823" s="9"/>
      <c r="MZ823" s="9"/>
      <c r="NA823" s="9"/>
      <c r="NB823" s="9"/>
      <c r="NC823" s="9"/>
      <c r="ND823" s="9"/>
      <c r="NE823" s="9"/>
      <c r="NF823" s="9"/>
      <c r="NG823" s="9"/>
      <c r="NH823" s="9"/>
      <c r="NI823" s="9"/>
      <c r="NJ823" s="9"/>
      <c r="NK823" s="9"/>
      <c r="NL823" s="9"/>
      <c r="NM823" s="9"/>
      <c r="NN823" s="9"/>
      <c r="NO823" s="9"/>
      <c r="NP823" s="9"/>
      <c r="NQ823" s="9"/>
      <c r="NR823" s="9"/>
      <c r="NS823" s="9"/>
      <c r="NT823" s="9"/>
      <c r="NU823" s="9"/>
      <c r="NV823" s="9"/>
      <c r="NW823" s="9"/>
      <c r="NX823" s="9"/>
      <c r="NY823" s="9"/>
      <c r="NZ823" s="9"/>
      <c r="OA823" s="9"/>
      <c r="OB823" s="9"/>
      <c r="OC823" s="9"/>
      <c r="OD823" s="9"/>
      <c r="OE823" s="9"/>
      <c r="OF823" s="9"/>
      <c r="OG823" s="9"/>
      <c r="OH823" s="9"/>
      <c r="OI823" s="9"/>
      <c r="OJ823" s="9"/>
      <c r="OK823" s="9"/>
      <c r="OL823" s="9"/>
      <c r="OM823" s="9"/>
      <c r="ON823" s="9"/>
      <c r="OO823" s="9"/>
      <c r="OP823" s="9"/>
      <c r="OQ823" s="9"/>
      <c r="OR823" s="9"/>
      <c r="OS823" s="9"/>
      <c r="OT823" s="9"/>
      <c r="OU823" s="9"/>
      <c r="OV823" s="9"/>
      <c r="OW823" s="9"/>
      <c r="OX823" s="9"/>
      <c r="OY823" s="9"/>
      <c r="OZ823" s="9"/>
      <c r="PA823" s="9"/>
      <c r="PB823" s="9"/>
      <c r="PC823" s="9"/>
      <c r="PD823" s="9"/>
      <c r="PE823" s="9"/>
      <c r="PF823" s="9"/>
      <c r="PG823" s="9"/>
      <c r="PH823" s="9"/>
      <c r="PI823" s="9"/>
      <c r="PJ823" s="9"/>
      <c r="PK823" s="9"/>
      <c r="PL823" s="9"/>
      <c r="PM823" s="9"/>
      <c r="PN823" s="9"/>
      <c r="PO823" s="9"/>
      <c r="PP823" s="9"/>
      <c r="PQ823" s="9"/>
      <c r="PR823" s="9"/>
      <c r="PS823" s="9"/>
      <c r="PT823" s="9"/>
      <c r="PU823" s="9"/>
      <c r="PV823" s="9"/>
      <c r="PW823" s="9"/>
      <c r="PX823" s="9"/>
      <c r="PY823" s="9"/>
      <c r="PZ823" s="9"/>
      <c r="QA823" s="9"/>
      <c r="QB823" s="9"/>
      <c r="QC823" s="9"/>
      <c r="QD823" s="9"/>
      <c r="QE823" s="9"/>
      <c r="QF823" s="9"/>
      <c r="QG823" s="9"/>
      <c r="QH823" s="9"/>
      <c r="QI823" s="9"/>
      <c r="QJ823" s="9"/>
      <c r="QK823" s="9"/>
      <c r="QL823" s="9"/>
      <c r="QM823" s="9"/>
      <c r="QN823" s="9"/>
      <c r="QO823" s="9"/>
      <c r="QP823" s="9"/>
      <c r="QQ823" s="9"/>
      <c r="QR823" s="9"/>
      <c r="QS823" s="9"/>
      <c r="QT823" s="9"/>
      <c r="QU823" s="9"/>
      <c r="QV823" s="9"/>
      <c r="QW823" s="9"/>
      <c r="QX823" s="9"/>
      <c r="QY823" s="9"/>
      <c r="QZ823" s="9"/>
      <c r="RA823" s="9"/>
      <c r="RB823" s="9"/>
      <c r="RC823" s="9"/>
      <c r="RD823" s="9"/>
      <c r="RE823" s="9"/>
      <c r="RF823" s="9"/>
      <c r="RG823" s="9"/>
      <c r="RH823" s="9"/>
      <c r="RI823" s="9"/>
      <c r="RJ823" s="9"/>
      <c r="RK823" s="9"/>
      <c r="RL823" s="9"/>
      <c r="RM823" s="9"/>
      <c r="RN823" s="9"/>
      <c r="RO823" s="9"/>
      <c r="RP823" s="9"/>
      <c r="RQ823" s="9"/>
      <c r="RR823" s="9"/>
      <c r="RS823" s="9"/>
      <c r="RT823" s="9"/>
      <c r="RU823" s="9"/>
      <c r="RV823" s="9"/>
      <c r="RW823" s="9"/>
      <c r="RX823" s="9"/>
      <c r="RY823" s="9"/>
      <c r="RZ823" s="9"/>
      <c r="SA823" s="9"/>
      <c r="SB823" s="9"/>
      <c r="SC823" s="9"/>
      <c r="SD823" s="9"/>
      <c r="SE823" s="9"/>
      <c r="SF823" s="9"/>
      <c r="SG823" s="9"/>
      <c r="SH823" s="9"/>
      <c r="SI823" s="9"/>
      <c r="SJ823" s="9"/>
      <c r="SK823" s="9"/>
      <c r="SL823" s="9"/>
      <c r="SM823" s="9"/>
      <c r="SN823" s="9"/>
      <c r="SO823" s="9"/>
      <c r="SP823" s="9"/>
      <c r="SQ823" s="9"/>
      <c r="SR823" s="9"/>
      <c r="SS823" s="9"/>
      <c r="ST823" s="9"/>
      <c r="SU823" s="9"/>
      <c r="SV823" s="9"/>
      <c r="SW823" s="9"/>
      <c r="SX823" s="9"/>
      <c r="SY823" s="9"/>
      <c r="SZ823" s="9"/>
      <c r="TA823" s="9"/>
      <c r="TB823" s="9"/>
      <c r="TC823" s="9"/>
      <c r="TD823" s="9"/>
      <c r="TE823" s="9"/>
      <c r="TF823" s="9"/>
      <c r="TG823" s="9"/>
      <c r="TH823" s="9"/>
      <c r="TI823" s="9"/>
      <c r="TJ823" s="9"/>
      <c r="TK823" s="9"/>
      <c r="TL823" s="9"/>
      <c r="TM823" s="9"/>
      <c r="TN823" s="9"/>
      <c r="TO823" s="9"/>
      <c r="TP823" s="9"/>
      <c r="TQ823" s="9"/>
      <c r="TR823" s="9"/>
      <c r="TS823" s="9"/>
      <c r="TT823" s="9"/>
      <c r="TU823" s="9"/>
      <c r="TV823" s="9"/>
      <c r="TW823" s="9"/>
      <c r="TX823" s="9"/>
      <c r="TY823" s="9"/>
      <c r="TZ823" s="9"/>
      <c r="UA823" s="9"/>
      <c r="UB823" s="9"/>
      <c r="UC823" s="9"/>
      <c r="UD823" s="9"/>
      <c r="UE823" s="9"/>
      <c r="UF823" s="9"/>
      <c r="UG823" s="9"/>
      <c r="UH823" s="9"/>
      <c r="UI823" s="9"/>
      <c r="UJ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9"/>
      <c r="IA824" s="9"/>
      <c r="IB824" s="9"/>
      <c r="IC824" s="9"/>
      <c r="ID824" s="9"/>
      <c r="IE824" s="9"/>
      <c r="IF824" s="9"/>
      <c r="IG824" s="9"/>
      <c r="IH824" s="9"/>
      <c r="II824" s="9"/>
      <c r="IJ824" s="9"/>
      <c r="IK824" s="9"/>
      <c r="IL824" s="9"/>
      <c r="IM824" s="9"/>
      <c r="IN824" s="9"/>
      <c r="IO824" s="9"/>
      <c r="IP824" s="9"/>
      <c r="IQ824" s="9"/>
      <c r="IR824" s="9"/>
      <c r="IS824" s="9"/>
      <c r="IT824" s="9"/>
      <c r="IU824" s="9"/>
      <c r="IV824" s="9"/>
      <c r="IW824" s="9"/>
      <c r="IX824" s="9"/>
      <c r="IY824" s="9"/>
      <c r="IZ824" s="9"/>
      <c r="JA824" s="9"/>
      <c r="JB824" s="9"/>
      <c r="JC824" s="9"/>
      <c r="JD824" s="9"/>
      <c r="JE824" s="9"/>
      <c r="JF824" s="9"/>
      <c r="JG824" s="9"/>
      <c r="JH824" s="9"/>
      <c r="JI824" s="9"/>
      <c r="JJ824" s="9"/>
      <c r="JK824" s="9"/>
      <c r="JL824" s="9"/>
      <c r="JM824" s="9"/>
      <c r="JN824" s="9"/>
      <c r="JO824" s="9"/>
      <c r="JP824" s="9"/>
      <c r="JQ824" s="9"/>
      <c r="JR824" s="9"/>
      <c r="JS824" s="9"/>
      <c r="JT824" s="9"/>
      <c r="JU824" s="9"/>
      <c r="JV824" s="9"/>
      <c r="JW824" s="9"/>
      <c r="JX824" s="9"/>
      <c r="JY824" s="9"/>
      <c r="JZ824" s="9"/>
      <c r="KA824" s="9"/>
      <c r="KB824" s="9"/>
      <c r="KC824" s="9"/>
      <c r="KD824" s="9"/>
      <c r="KE824" s="9"/>
      <c r="KF824" s="9"/>
      <c r="KG824" s="9"/>
      <c r="KH824" s="9"/>
      <c r="KI824" s="9"/>
      <c r="KJ824" s="9"/>
      <c r="KK824" s="9"/>
      <c r="KL824" s="9"/>
      <c r="KM824" s="9"/>
      <c r="KN824" s="9"/>
      <c r="KO824" s="9"/>
      <c r="KP824" s="9"/>
      <c r="KQ824" s="9"/>
      <c r="KR824" s="9"/>
      <c r="KS824" s="9"/>
      <c r="KT824" s="9"/>
      <c r="KU824" s="9"/>
      <c r="KV824" s="9"/>
      <c r="KW824" s="9"/>
      <c r="KX824" s="9"/>
      <c r="KY824" s="9"/>
      <c r="KZ824" s="9"/>
      <c r="LA824" s="9"/>
      <c r="LB824" s="9"/>
      <c r="LC824" s="9"/>
      <c r="LD824" s="9"/>
      <c r="LE824" s="9"/>
      <c r="LF824" s="9"/>
      <c r="LG824" s="9"/>
      <c r="LH824" s="9"/>
      <c r="LI824" s="9"/>
      <c r="LJ824" s="9"/>
      <c r="LK824" s="9"/>
      <c r="LL824" s="9"/>
      <c r="LM824" s="9"/>
      <c r="LN824" s="9"/>
      <c r="LO824" s="9"/>
      <c r="LP824" s="9"/>
      <c r="LQ824" s="9"/>
      <c r="LR824" s="9"/>
      <c r="LS824" s="9"/>
      <c r="LT824" s="9"/>
      <c r="LU824" s="9"/>
      <c r="LV824" s="9"/>
      <c r="LW824" s="9"/>
      <c r="LX824" s="9"/>
      <c r="LY824" s="9"/>
      <c r="LZ824" s="9"/>
      <c r="MA824" s="9"/>
      <c r="MB824" s="9"/>
      <c r="MC824" s="9"/>
      <c r="MD824" s="9"/>
      <c r="ME824" s="9"/>
      <c r="MF824" s="9"/>
      <c r="MG824" s="9"/>
      <c r="MH824" s="9"/>
      <c r="MI824" s="9"/>
      <c r="MJ824" s="9"/>
      <c r="MK824" s="9"/>
      <c r="ML824" s="9"/>
      <c r="MM824" s="9"/>
      <c r="MN824" s="9"/>
      <c r="MO824" s="9"/>
      <c r="MP824" s="9"/>
      <c r="MQ824" s="9"/>
      <c r="MR824" s="9"/>
      <c r="MS824" s="9"/>
      <c r="MT824" s="9"/>
      <c r="MU824" s="9"/>
      <c r="MV824" s="9"/>
      <c r="MW824" s="9"/>
      <c r="MX824" s="9"/>
      <c r="MY824" s="9"/>
      <c r="MZ824" s="9"/>
      <c r="NA824" s="9"/>
      <c r="NB824" s="9"/>
      <c r="NC824" s="9"/>
      <c r="ND824" s="9"/>
      <c r="NE824" s="9"/>
      <c r="NF824" s="9"/>
      <c r="NG824" s="9"/>
      <c r="NH824" s="9"/>
      <c r="NI824" s="9"/>
      <c r="NJ824" s="9"/>
      <c r="NK824" s="9"/>
      <c r="NL824" s="9"/>
      <c r="NM824" s="9"/>
      <c r="NN824" s="9"/>
      <c r="NO824" s="9"/>
      <c r="NP824" s="9"/>
      <c r="NQ824" s="9"/>
      <c r="NR824" s="9"/>
      <c r="NS824" s="9"/>
      <c r="NT824" s="9"/>
      <c r="NU824" s="9"/>
      <c r="NV824" s="9"/>
      <c r="NW824" s="9"/>
      <c r="NX824" s="9"/>
      <c r="NY824" s="9"/>
      <c r="NZ824" s="9"/>
      <c r="OA824" s="9"/>
      <c r="OB824" s="9"/>
      <c r="OC824" s="9"/>
      <c r="OD824" s="9"/>
      <c r="OE824" s="9"/>
      <c r="OF824" s="9"/>
      <c r="OG824" s="9"/>
      <c r="OH824" s="9"/>
      <c r="OI824" s="9"/>
      <c r="OJ824" s="9"/>
      <c r="OK824" s="9"/>
      <c r="OL824" s="9"/>
      <c r="OM824" s="9"/>
      <c r="ON824" s="9"/>
      <c r="OO824" s="9"/>
      <c r="OP824" s="9"/>
      <c r="OQ824" s="9"/>
      <c r="OR824" s="9"/>
      <c r="OS824" s="9"/>
      <c r="OT824" s="9"/>
      <c r="OU824" s="9"/>
      <c r="OV824" s="9"/>
      <c r="OW824" s="9"/>
      <c r="OX824" s="9"/>
      <c r="OY824" s="9"/>
      <c r="OZ824" s="9"/>
      <c r="PA824" s="9"/>
      <c r="PB824" s="9"/>
      <c r="PC824" s="9"/>
      <c r="PD824" s="9"/>
      <c r="PE824" s="9"/>
      <c r="PF824" s="9"/>
      <c r="PG824" s="9"/>
      <c r="PH824" s="9"/>
      <c r="PI824" s="9"/>
      <c r="PJ824" s="9"/>
      <c r="PK824" s="9"/>
      <c r="PL824" s="9"/>
      <c r="PM824" s="9"/>
      <c r="PN824" s="9"/>
      <c r="PO824" s="9"/>
      <c r="PP824" s="9"/>
      <c r="PQ824" s="9"/>
      <c r="PR824" s="9"/>
      <c r="PS824" s="9"/>
      <c r="PT824" s="9"/>
      <c r="PU824" s="9"/>
      <c r="PV824" s="9"/>
      <c r="PW824" s="9"/>
      <c r="PX824" s="9"/>
      <c r="PY824" s="9"/>
      <c r="PZ824" s="9"/>
      <c r="QA824" s="9"/>
      <c r="QB824" s="9"/>
      <c r="QC824" s="9"/>
      <c r="QD824" s="9"/>
      <c r="QE824" s="9"/>
      <c r="QF824" s="9"/>
      <c r="QG824" s="9"/>
      <c r="QH824" s="9"/>
      <c r="QI824" s="9"/>
      <c r="QJ824" s="9"/>
      <c r="QK824" s="9"/>
      <c r="QL824" s="9"/>
      <c r="QM824" s="9"/>
      <c r="QN824" s="9"/>
      <c r="QO824" s="9"/>
      <c r="QP824" s="9"/>
      <c r="QQ824" s="9"/>
      <c r="QR824" s="9"/>
      <c r="QS824" s="9"/>
      <c r="QT824" s="9"/>
      <c r="QU824" s="9"/>
      <c r="QV824" s="9"/>
      <c r="QW824" s="9"/>
      <c r="QX824" s="9"/>
      <c r="QY824" s="9"/>
      <c r="QZ824" s="9"/>
      <c r="RA824" s="9"/>
      <c r="RB824" s="9"/>
      <c r="RC824" s="9"/>
      <c r="RD824" s="9"/>
      <c r="RE824" s="9"/>
      <c r="RF824" s="9"/>
      <c r="RG824" s="9"/>
      <c r="RH824" s="9"/>
      <c r="RI824" s="9"/>
      <c r="RJ824" s="9"/>
      <c r="RK824" s="9"/>
      <c r="RL824" s="9"/>
      <c r="RM824" s="9"/>
      <c r="RN824" s="9"/>
      <c r="RO824" s="9"/>
      <c r="RP824" s="9"/>
      <c r="RQ824" s="9"/>
      <c r="RR824" s="9"/>
      <c r="RS824" s="9"/>
      <c r="RT824" s="9"/>
      <c r="RU824" s="9"/>
      <c r="RV824" s="9"/>
      <c r="RW824" s="9"/>
      <c r="RX824" s="9"/>
      <c r="RY824" s="9"/>
      <c r="RZ824" s="9"/>
      <c r="SA824" s="9"/>
      <c r="SB824" s="9"/>
      <c r="SC824" s="9"/>
      <c r="SD824" s="9"/>
      <c r="SE824" s="9"/>
      <c r="SF824" s="9"/>
      <c r="SG824" s="9"/>
      <c r="SH824" s="9"/>
      <c r="SI824" s="9"/>
      <c r="SJ824" s="9"/>
      <c r="SK824" s="9"/>
      <c r="SL824" s="9"/>
      <c r="SM824" s="9"/>
      <c r="SN824" s="9"/>
      <c r="SO824" s="9"/>
      <c r="SP824" s="9"/>
      <c r="SQ824" s="9"/>
      <c r="SR824" s="9"/>
      <c r="SS824" s="9"/>
      <c r="ST824" s="9"/>
      <c r="SU824" s="9"/>
      <c r="SV824" s="9"/>
      <c r="SW824" s="9"/>
      <c r="SX824" s="9"/>
      <c r="SY824" s="9"/>
      <c r="SZ824" s="9"/>
      <c r="TA824" s="9"/>
      <c r="TB824" s="9"/>
      <c r="TC824" s="9"/>
      <c r="TD824" s="9"/>
      <c r="TE824" s="9"/>
      <c r="TF824" s="9"/>
      <c r="TG824" s="9"/>
      <c r="TH824" s="9"/>
      <c r="TI824" s="9"/>
      <c r="TJ824" s="9"/>
      <c r="TK824" s="9"/>
      <c r="TL824" s="9"/>
      <c r="TM824" s="9"/>
      <c r="TN824" s="9"/>
      <c r="TO824" s="9"/>
      <c r="TP824" s="9"/>
      <c r="TQ824" s="9"/>
      <c r="TR824" s="9"/>
      <c r="TS824" s="9"/>
      <c r="TT824" s="9"/>
      <c r="TU824" s="9"/>
      <c r="TV824" s="9"/>
      <c r="TW824" s="9"/>
      <c r="TX824" s="9"/>
      <c r="TY824" s="9"/>
      <c r="TZ824" s="9"/>
      <c r="UA824" s="9"/>
      <c r="UB824" s="9"/>
      <c r="UC824" s="9"/>
      <c r="UD824" s="9"/>
      <c r="UE824" s="9"/>
      <c r="UF824" s="9"/>
      <c r="UG824" s="9"/>
      <c r="UH824" s="9"/>
      <c r="UI824" s="9"/>
      <c r="UJ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  <c r="HO825" s="9"/>
      <c r="HP825" s="9"/>
      <c r="HQ825" s="9"/>
      <c r="HR825" s="9"/>
      <c r="HS825" s="9"/>
      <c r="HT825" s="9"/>
      <c r="HU825" s="9"/>
      <c r="HV825" s="9"/>
      <c r="HW825" s="9"/>
      <c r="HX825" s="9"/>
      <c r="HY825" s="9"/>
      <c r="HZ825" s="9"/>
      <c r="IA825" s="9"/>
      <c r="IB825" s="9"/>
      <c r="IC825" s="9"/>
      <c r="ID825" s="9"/>
      <c r="IE825" s="9"/>
      <c r="IF825" s="9"/>
      <c r="IG825" s="9"/>
      <c r="IH825" s="9"/>
      <c r="II825" s="9"/>
      <c r="IJ825" s="9"/>
      <c r="IK825" s="9"/>
      <c r="IL825" s="9"/>
      <c r="IM825" s="9"/>
      <c r="IN825" s="9"/>
      <c r="IO825" s="9"/>
      <c r="IP825" s="9"/>
      <c r="IQ825" s="9"/>
      <c r="IR825" s="9"/>
      <c r="IS825" s="9"/>
      <c r="IT825" s="9"/>
      <c r="IU825" s="9"/>
      <c r="IV825" s="9"/>
      <c r="IW825" s="9"/>
      <c r="IX825" s="9"/>
      <c r="IY825" s="9"/>
      <c r="IZ825" s="9"/>
      <c r="JA825" s="9"/>
      <c r="JB825" s="9"/>
      <c r="JC825" s="9"/>
      <c r="JD825" s="9"/>
      <c r="JE825" s="9"/>
      <c r="JF825" s="9"/>
      <c r="JG825" s="9"/>
      <c r="JH825" s="9"/>
      <c r="JI825" s="9"/>
      <c r="JJ825" s="9"/>
      <c r="JK825" s="9"/>
      <c r="JL825" s="9"/>
      <c r="JM825" s="9"/>
      <c r="JN825" s="9"/>
      <c r="JO825" s="9"/>
      <c r="JP825" s="9"/>
      <c r="JQ825" s="9"/>
      <c r="JR825" s="9"/>
      <c r="JS825" s="9"/>
      <c r="JT825" s="9"/>
      <c r="JU825" s="9"/>
      <c r="JV825" s="9"/>
      <c r="JW825" s="9"/>
      <c r="JX825" s="9"/>
      <c r="JY825" s="9"/>
      <c r="JZ825" s="9"/>
      <c r="KA825" s="9"/>
      <c r="KB825" s="9"/>
      <c r="KC825" s="9"/>
      <c r="KD825" s="9"/>
      <c r="KE825" s="9"/>
      <c r="KF825" s="9"/>
      <c r="KG825" s="9"/>
      <c r="KH825" s="9"/>
      <c r="KI825" s="9"/>
      <c r="KJ825" s="9"/>
      <c r="KK825" s="9"/>
      <c r="KL825" s="9"/>
      <c r="KM825" s="9"/>
      <c r="KN825" s="9"/>
      <c r="KO825" s="9"/>
      <c r="KP825" s="9"/>
      <c r="KQ825" s="9"/>
      <c r="KR825" s="9"/>
      <c r="KS825" s="9"/>
      <c r="KT825" s="9"/>
      <c r="KU825" s="9"/>
      <c r="KV825" s="9"/>
      <c r="KW825" s="9"/>
      <c r="KX825" s="9"/>
      <c r="KY825" s="9"/>
      <c r="KZ825" s="9"/>
      <c r="LA825" s="9"/>
      <c r="LB825" s="9"/>
      <c r="LC825" s="9"/>
      <c r="LD825" s="9"/>
      <c r="LE825" s="9"/>
      <c r="LF825" s="9"/>
      <c r="LG825" s="9"/>
      <c r="LH825" s="9"/>
      <c r="LI825" s="9"/>
      <c r="LJ825" s="9"/>
      <c r="LK825" s="9"/>
      <c r="LL825" s="9"/>
      <c r="LM825" s="9"/>
      <c r="LN825" s="9"/>
      <c r="LO825" s="9"/>
      <c r="LP825" s="9"/>
      <c r="LQ825" s="9"/>
      <c r="LR825" s="9"/>
      <c r="LS825" s="9"/>
      <c r="LT825" s="9"/>
      <c r="LU825" s="9"/>
      <c r="LV825" s="9"/>
      <c r="LW825" s="9"/>
      <c r="LX825" s="9"/>
      <c r="LY825" s="9"/>
      <c r="LZ825" s="9"/>
      <c r="MA825" s="9"/>
      <c r="MB825" s="9"/>
      <c r="MC825" s="9"/>
      <c r="MD825" s="9"/>
      <c r="ME825" s="9"/>
      <c r="MF825" s="9"/>
      <c r="MG825" s="9"/>
      <c r="MH825" s="9"/>
      <c r="MI825" s="9"/>
      <c r="MJ825" s="9"/>
      <c r="MK825" s="9"/>
      <c r="ML825" s="9"/>
      <c r="MM825" s="9"/>
      <c r="MN825" s="9"/>
      <c r="MO825" s="9"/>
      <c r="MP825" s="9"/>
      <c r="MQ825" s="9"/>
      <c r="MR825" s="9"/>
      <c r="MS825" s="9"/>
      <c r="MT825" s="9"/>
      <c r="MU825" s="9"/>
      <c r="MV825" s="9"/>
      <c r="MW825" s="9"/>
      <c r="MX825" s="9"/>
      <c r="MY825" s="9"/>
      <c r="MZ825" s="9"/>
      <c r="NA825" s="9"/>
      <c r="NB825" s="9"/>
      <c r="NC825" s="9"/>
      <c r="ND825" s="9"/>
      <c r="NE825" s="9"/>
      <c r="NF825" s="9"/>
      <c r="NG825" s="9"/>
      <c r="NH825" s="9"/>
      <c r="NI825" s="9"/>
      <c r="NJ825" s="9"/>
      <c r="NK825" s="9"/>
      <c r="NL825" s="9"/>
      <c r="NM825" s="9"/>
      <c r="NN825" s="9"/>
      <c r="NO825" s="9"/>
      <c r="NP825" s="9"/>
      <c r="NQ825" s="9"/>
      <c r="NR825" s="9"/>
      <c r="NS825" s="9"/>
      <c r="NT825" s="9"/>
      <c r="NU825" s="9"/>
      <c r="NV825" s="9"/>
      <c r="NW825" s="9"/>
      <c r="NX825" s="9"/>
      <c r="NY825" s="9"/>
      <c r="NZ825" s="9"/>
      <c r="OA825" s="9"/>
      <c r="OB825" s="9"/>
      <c r="OC825" s="9"/>
      <c r="OD825" s="9"/>
      <c r="OE825" s="9"/>
      <c r="OF825" s="9"/>
      <c r="OG825" s="9"/>
      <c r="OH825" s="9"/>
      <c r="OI825" s="9"/>
      <c r="OJ825" s="9"/>
      <c r="OK825" s="9"/>
      <c r="OL825" s="9"/>
      <c r="OM825" s="9"/>
      <c r="ON825" s="9"/>
      <c r="OO825" s="9"/>
      <c r="OP825" s="9"/>
      <c r="OQ825" s="9"/>
      <c r="OR825" s="9"/>
      <c r="OS825" s="9"/>
      <c r="OT825" s="9"/>
      <c r="OU825" s="9"/>
      <c r="OV825" s="9"/>
      <c r="OW825" s="9"/>
      <c r="OX825" s="9"/>
      <c r="OY825" s="9"/>
      <c r="OZ825" s="9"/>
      <c r="PA825" s="9"/>
      <c r="PB825" s="9"/>
      <c r="PC825" s="9"/>
      <c r="PD825" s="9"/>
      <c r="PE825" s="9"/>
      <c r="PF825" s="9"/>
      <c r="PG825" s="9"/>
      <c r="PH825" s="9"/>
      <c r="PI825" s="9"/>
      <c r="PJ825" s="9"/>
      <c r="PK825" s="9"/>
      <c r="PL825" s="9"/>
      <c r="PM825" s="9"/>
      <c r="PN825" s="9"/>
      <c r="PO825" s="9"/>
      <c r="PP825" s="9"/>
      <c r="PQ825" s="9"/>
      <c r="PR825" s="9"/>
      <c r="PS825" s="9"/>
      <c r="PT825" s="9"/>
      <c r="PU825" s="9"/>
      <c r="PV825" s="9"/>
      <c r="PW825" s="9"/>
      <c r="PX825" s="9"/>
      <c r="PY825" s="9"/>
      <c r="PZ825" s="9"/>
      <c r="QA825" s="9"/>
      <c r="QB825" s="9"/>
      <c r="QC825" s="9"/>
      <c r="QD825" s="9"/>
      <c r="QE825" s="9"/>
      <c r="QF825" s="9"/>
      <c r="QG825" s="9"/>
      <c r="QH825" s="9"/>
      <c r="QI825" s="9"/>
      <c r="QJ825" s="9"/>
      <c r="QK825" s="9"/>
      <c r="QL825" s="9"/>
      <c r="QM825" s="9"/>
      <c r="QN825" s="9"/>
      <c r="QO825" s="9"/>
      <c r="QP825" s="9"/>
      <c r="QQ825" s="9"/>
      <c r="QR825" s="9"/>
      <c r="QS825" s="9"/>
      <c r="QT825" s="9"/>
      <c r="QU825" s="9"/>
      <c r="QV825" s="9"/>
      <c r="QW825" s="9"/>
      <c r="QX825" s="9"/>
      <c r="QY825" s="9"/>
      <c r="QZ825" s="9"/>
      <c r="RA825" s="9"/>
      <c r="RB825" s="9"/>
      <c r="RC825" s="9"/>
      <c r="RD825" s="9"/>
      <c r="RE825" s="9"/>
      <c r="RF825" s="9"/>
      <c r="RG825" s="9"/>
      <c r="RH825" s="9"/>
      <c r="RI825" s="9"/>
      <c r="RJ825" s="9"/>
      <c r="RK825" s="9"/>
      <c r="RL825" s="9"/>
      <c r="RM825" s="9"/>
      <c r="RN825" s="9"/>
      <c r="RO825" s="9"/>
      <c r="RP825" s="9"/>
      <c r="RQ825" s="9"/>
      <c r="RR825" s="9"/>
      <c r="RS825" s="9"/>
      <c r="RT825" s="9"/>
      <c r="RU825" s="9"/>
      <c r="RV825" s="9"/>
      <c r="RW825" s="9"/>
      <c r="RX825" s="9"/>
      <c r="RY825" s="9"/>
      <c r="RZ825" s="9"/>
      <c r="SA825" s="9"/>
      <c r="SB825" s="9"/>
      <c r="SC825" s="9"/>
      <c r="SD825" s="9"/>
      <c r="SE825" s="9"/>
      <c r="SF825" s="9"/>
      <c r="SG825" s="9"/>
      <c r="SH825" s="9"/>
      <c r="SI825" s="9"/>
      <c r="SJ825" s="9"/>
      <c r="SK825" s="9"/>
      <c r="SL825" s="9"/>
      <c r="SM825" s="9"/>
      <c r="SN825" s="9"/>
      <c r="SO825" s="9"/>
      <c r="SP825" s="9"/>
      <c r="SQ825" s="9"/>
      <c r="SR825" s="9"/>
      <c r="SS825" s="9"/>
      <c r="ST825" s="9"/>
      <c r="SU825" s="9"/>
      <c r="SV825" s="9"/>
      <c r="SW825" s="9"/>
      <c r="SX825" s="9"/>
      <c r="SY825" s="9"/>
      <c r="SZ825" s="9"/>
      <c r="TA825" s="9"/>
      <c r="TB825" s="9"/>
      <c r="TC825" s="9"/>
      <c r="TD825" s="9"/>
      <c r="TE825" s="9"/>
      <c r="TF825" s="9"/>
      <c r="TG825" s="9"/>
      <c r="TH825" s="9"/>
      <c r="TI825" s="9"/>
      <c r="TJ825" s="9"/>
      <c r="TK825" s="9"/>
      <c r="TL825" s="9"/>
      <c r="TM825" s="9"/>
      <c r="TN825" s="9"/>
      <c r="TO825" s="9"/>
      <c r="TP825" s="9"/>
      <c r="TQ825" s="9"/>
      <c r="TR825" s="9"/>
      <c r="TS825" s="9"/>
      <c r="TT825" s="9"/>
      <c r="TU825" s="9"/>
      <c r="TV825" s="9"/>
      <c r="TW825" s="9"/>
      <c r="TX825" s="9"/>
      <c r="TY825" s="9"/>
      <c r="TZ825" s="9"/>
      <c r="UA825" s="9"/>
      <c r="UB825" s="9"/>
      <c r="UC825" s="9"/>
      <c r="UD825" s="9"/>
      <c r="UE825" s="9"/>
      <c r="UF825" s="9"/>
      <c r="UG825" s="9"/>
      <c r="UH825" s="9"/>
      <c r="UI825" s="9"/>
      <c r="UJ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  <c r="GA826" s="9"/>
      <c r="GB826" s="9"/>
      <c r="GC826" s="9"/>
      <c r="GD826" s="9"/>
      <c r="GE826" s="9"/>
      <c r="GF826" s="9"/>
      <c r="GG826" s="9"/>
      <c r="GH826" s="9"/>
      <c r="GI826" s="9"/>
      <c r="GJ826" s="9"/>
      <c r="GK826" s="9"/>
      <c r="GL826" s="9"/>
      <c r="GM826" s="9"/>
      <c r="GN826" s="9"/>
      <c r="GO826" s="9"/>
      <c r="GP826" s="9"/>
      <c r="GQ826" s="9"/>
      <c r="GR826" s="9"/>
      <c r="GS826" s="9"/>
      <c r="GT826" s="9"/>
      <c r="GU826" s="9"/>
      <c r="GV826" s="9"/>
      <c r="GW826" s="9"/>
      <c r="GX826" s="9"/>
      <c r="GY826" s="9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  <c r="HO826" s="9"/>
      <c r="HP826" s="9"/>
      <c r="HQ826" s="9"/>
      <c r="HR826" s="9"/>
      <c r="HS826" s="9"/>
      <c r="HT826" s="9"/>
      <c r="HU826" s="9"/>
      <c r="HV826" s="9"/>
      <c r="HW826" s="9"/>
      <c r="HX826" s="9"/>
      <c r="HY826" s="9"/>
      <c r="HZ826" s="9"/>
      <c r="IA826" s="9"/>
      <c r="IB826" s="9"/>
      <c r="IC826" s="9"/>
      <c r="ID826" s="9"/>
      <c r="IE826" s="9"/>
      <c r="IF826" s="9"/>
      <c r="IG826" s="9"/>
      <c r="IH826" s="9"/>
      <c r="II826" s="9"/>
      <c r="IJ826" s="9"/>
      <c r="IK826" s="9"/>
      <c r="IL826" s="9"/>
      <c r="IM826" s="9"/>
      <c r="IN826" s="9"/>
      <c r="IO826" s="9"/>
      <c r="IP826" s="9"/>
      <c r="IQ826" s="9"/>
      <c r="IR826" s="9"/>
      <c r="IS826" s="9"/>
      <c r="IT826" s="9"/>
      <c r="IU826" s="9"/>
      <c r="IV826" s="9"/>
      <c r="IW826" s="9"/>
      <c r="IX826" s="9"/>
      <c r="IY826" s="9"/>
      <c r="IZ826" s="9"/>
      <c r="JA826" s="9"/>
      <c r="JB826" s="9"/>
      <c r="JC826" s="9"/>
      <c r="JD826" s="9"/>
      <c r="JE826" s="9"/>
      <c r="JF826" s="9"/>
      <c r="JG826" s="9"/>
      <c r="JH826" s="9"/>
      <c r="JI826" s="9"/>
      <c r="JJ826" s="9"/>
      <c r="JK826" s="9"/>
      <c r="JL826" s="9"/>
      <c r="JM826" s="9"/>
      <c r="JN826" s="9"/>
      <c r="JO826" s="9"/>
      <c r="JP826" s="9"/>
      <c r="JQ826" s="9"/>
      <c r="JR826" s="9"/>
      <c r="JS826" s="9"/>
      <c r="JT826" s="9"/>
      <c r="JU826" s="9"/>
      <c r="JV826" s="9"/>
      <c r="JW826" s="9"/>
      <c r="JX826" s="9"/>
      <c r="JY826" s="9"/>
      <c r="JZ826" s="9"/>
      <c r="KA826" s="9"/>
      <c r="KB826" s="9"/>
      <c r="KC826" s="9"/>
      <c r="KD826" s="9"/>
      <c r="KE826" s="9"/>
      <c r="KF826" s="9"/>
      <c r="KG826" s="9"/>
      <c r="KH826" s="9"/>
      <c r="KI826" s="9"/>
      <c r="KJ826" s="9"/>
      <c r="KK826" s="9"/>
      <c r="KL826" s="9"/>
      <c r="KM826" s="9"/>
      <c r="KN826" s="9"/>
      <c r="KO826" s="9"/>
      <c r="KP826" s="9"/>
      <c r="KQ826" s="9"/>
      <c r="KR826" s="9"/>
      <c r="KS826" s="9"/>
      <c r="KT826" s="9"/>
      <c r="KU826" s="9"/>
      <c r="KV826" s="9"/>
      <c r="KW826" s="9"/>
      <c r="KX826" s="9"/>
      <c r="KY826" s="9"/>
      <c r="KZ826" s="9"/>
      <c r="LA826" s="9"/>
      <c r="LB826" s="9"/>
      <c r="LC826" s="9"/>
      <c r="LD826" s="9"/>
      <c r="LE826" s="9"/>
      <c r="LF826" s="9"/>
      <c r="LG826" s="9"/>
      <c r="LH826" s="9"/>
      <c r="LI826" s="9"/>
      <c r="LJ826" s="9"/>
      <c r="LK826" s="9"/>
      <c r="LL826" s="9"/>
      <c r="LM826" s="9"/>
      <c r="LN826" s="9"/>
      <c r="LO826" s="9"/>
      <c r="LP826" s="9"/>
      <c r="LQ826" s="9"/>
      <c r="LR826" s="9"/>
      <c r="LS826" s="9"/>
      <c r="LT826" s="9"/>
      <c r="LU826" s="9"/>
      <c r="LV826" s="9"/>
      <c r="LW826" s="9"/>
      <c r="LX826" s="9"/>
      <c r="LY826" s="9"/>
      <c r="LZ826" s="9"/>
      <c r="MA826" s="9"/>
      <c r="MB826" s="9"/>
      <c r="MC826" s="9"/>
      <c r="MD826" s="9"/>
      <c r="ME826" s="9"/>
      <c r="MF826" s="9"/>
      <c r="MG826" s="9"/>
      <c r="MH826" s="9"/>
      <c r="MI826" s="9"/>
      <c r="MJ826" s="9"/>
      <c r="MK826" s="9"/>
      <c r="ML826" s="9"/>
      <c r="MM826" s="9"/>
      <c r="MN826" s="9"/>
      <c r="MO826" s="9"/>
      <c r="MP826" s="9"/>
      <c r="MQ826" s="9"/>
      <c r="MR826" s="9"/>
      <c r="MS826" s="9"/>
      <c r="MT826" s="9"/>
      <c r="MU826" s="9"/>
      <c r="MV826" s="9"/>
      <c r="MW826" s="9"/>
      <c r="MX826" s="9"/>
      <c r="MY826" s="9"/>
      <c r="MZ826" s="9"/>
      <c r="NA826" s="9"/>
      <c r="NB826" s="9"/>
      <c r="NC826" s="9"/>
      <c r="ND826" s="9"/>
      <c r="NE826" s="9"/>
      <c r="NF826" s="9"/>
      <c r="NG826" s="9"/>
      <c r="NH826" s="9"/>
      <c r="NI826" s="9"/>
      <c r="NJ826" s="9"/>
      <c r="NK826" s="9"/>
      <c r="NL826" s="9"/>
      <c r="NM826" s="9"/>
      <c r="NN826" s="9"/>
      <c r="NO826" s="9"/>
      <c r="NP826" s="9"/>
      <c r="NQ826" s="9"/>
      <c r="NR826" s="9"/>
      <c r="NS826" s="9"/>
      <c r="NT826" s="9"/>
      <c r="NU826" s="9"/>
      <c r="NV826" s="9"/>
      <c r="NW826" s="9"/>
      <c r="NX826" s="9"/>
      <c r="NY826" s="9"/>
      <c r="NZ826" s="9"/>
      <c r="OA826" s="9"/>
      <c r="OB826" s="9"/>
      <c r="OC826" s="9"/>
      <c r="OD826" s="9"/>
      <c r="OE826" s="9"/>
      <c r="OF826" s="9"/>
      <c r="OG826" s="9"/>
      <c r="OH826" s="9"/>
      <c r="OI826" s="9"/>
      <c r="OJ826" s="9"/>
      <c r="OK826" s="9"/>
      <c r="OL826" s="9"/>
      <c r="OM826" s="9"/>
      <c r="ON826" s="9"/>
      <c r="OO826" s="9"/>
      <c r="OP826" s="9"/>
      <c r="OQ826" s="9"/>
      <c r="OR826" s="9"/>
      <c r="OS826" s="9"/>
      <c r="OT826" s="9"/>
      <c r="OU826" s="9"/>
      <c r="OV826" s="9"/>
      <c r="OW826" s="9"/>
      <c r="OX826" s="9"/>
      <c r="OY826" s="9"/>
      <c r="OZ826" s="9"/>
      <c r="PA826" s="9"/>
      <c r="PB826" s="9"/>
      <c r="PC826" s="9"/>
      <c r="PD826" s="9"/>
      <c r="PE826" s="9"/>
      <c r="PF826" s="9"/>
      <c r="PG826" s="9"/>
      <c r="PH826" s="9"/>
      <c r="PI826" s="9"/>
      <c r="PJ826" s="9"/>
      <c r="PK826" s="9"/>
      <c r="PL826" s="9"/>
      <c r="PM826" s="9"/>
      <c r="PN826" s="9"/>
      <c r="PO826" s="9"/>
      <c r="PP826" s="9"/>
      <c r="PQ826" s="9"/>
      <c r="PR826" s="9"/>
      <c r="PS826" s="9"/>
      <c r="PT826" s="9"/>
      <c r="PU826" s="9"/>
      <c r="PV826" s="9"/>
      <c r="PW826" s="9"/>
      <c r="PX826" s="9"/>
      <c r="PY826" s="9"/>
      <c r="PZ826" s="9"/>
      <c r="QA826" s="9"/>
      <c r="QB826" s="9"/>
      <c r="QC826" s="9"/>
      <c r="QD826" s="9"/>
      <c r="QE826" s="9"/>
      <c r="QF826" s="9"/>
      <c r="QG826" s="9"/>
      <c r="QH826" s="9"/>
      <c r="QI826" s="9"/>
      <c r="QJ826" s="9"/>
      <c r="QK826" s="9"/>
      <c r="QL826" s="9"/>
      <c r="QM826" s="9"/>
      <c r="QN826" s="9"/>
      <c r="QO826" s="9"/>
      <c r="QP826" s="9"/>
      <c r="QQ826" s="9"/>
      <c r="QR826" s="9"/>
      <c r="QS826" s="9"/>
      <c r="QT826" s="9"/>
      <c r="QU826" s="9"/>
      <c r="QV826" s="9"/>
      <c r="QW826" s="9"/>
      <c r="QX826" s="9"/>
      <c r="QY826" s="9"/>
      <c r="QZ826" s="9"/>
      <c r="RA826" s="9"/>
      <c r="RB826" s="9"/>
      <c r="RC826" s="9"/>
      <c r="RD826" s="9"/>
      <c r="RE826" s="9"/>
      <c r="RF826" s="9"/>
      <c r="RG826" s="9"/>
      <c r="RH826" s="9"/>
      <c r="RI826" s="9"/>
      <c r="RJ826" s="9"/>
      <c r="RK826" s="9"/>
      <c r="RL826" s="9"/>
      <c r="RM826" s="9"/>
      <c r="RN826" s="9"/>
      <c r="RO826" s="9"/>
      <c r="RP826" s="9"/>
      <c r="RQ826" s="9"/>
      <c r="RR826" s="9"/>
      <c r="RS826" s="9"/>
      <c r="RT826" s="9"/>
      <c r="RU826" s="9"/>
      <c r="RV826" s="9"/>
      <c r="RW826" s="9"/>
      <c r="RX826" s="9"/>
      <c r="RY826" s="9"/>
      <c r="RZ826" s="9"/>
      <c r="SA826" s="9"/>
      <c r="SB826" s="9"/>
      <c r="SC826" s="9"/>
      <c r="SD826" s="9"/>
      <c r="SE826" s="9"/>
      <c r="SF826" s="9"/>
      <c r="SG826" s="9"/>
      <c r="SH826" s="9"/>
      <c r="SI826" s="9"/>
      <c r="SJ826" s="9"/>
      <c r="SK826" s="9"/>
      <c r="SL826" s="9"/>
      <c r="SM826" s="9"/>
      <c r="SN826" s="9"/>
      <c r="SO826" s="9"/>
      <c r="SP826" s="9"/>
      <c r="SQ826" s="9"/>
      <c r="SR826" s="9"/>
      <c r="SS826" s="9"/>
      <c r="ST826" s="9"/>
      <c r="SU826" s="9"/>
      <c r="SV826" s="9"/>
      <c r="SW826" s="9"/>
      <c r="SX826" s="9"/>
      <c r="SY826" s="9"/>
      <c r="SZ826" s="9"/>
      <c r="TA826" s="9"/>
      <c r="TB826" s="9"/>
      <c r="TC826" s="9"/>
      <c r="TD826" s="9"/>
      <c r="TE826" s="9"/>
      <c r="TF826" s="9"/>
      <c r="TG826" s="9"/>
      <c r="TH826" s="9"/>
      <c r="TI826" s="9"/>
      <c r="TJ826" s="9"/>
      <c r="TK826" s="9"/>
      <c r="TL826" s="9"/>
      <c r="TM826" s="9"/>
      <c r="TN826" s="9"/>
      <c r="TO826" s="9"/>
      <c r="TP826" s="9"/>
      <c r="TQ826" s="9"/>
      <c r="TR826" s="9"/>
      <c r="TS826" s="9"/>
      <c r="TT826" s="9"/>
      <c r="TU826" s="9"/>
      <c r="TV826" s="9"/>
      <c r="TW826" s="9"/>
      <c r="TX826" s="9"/>
      <c r="TY826" s="9"/>
      <c r="TZ826" s="9"/>
      <c r="UA826" s="9"/>
      <c r="UB826" s="9"/>
      <c r="UC826" s="9"/>
      <c r="UD826" s="9"/>
      <c r="UE826" s="9"/>
      <c r="UF826" s="9"/>
      <c r="UG826" s="9"/>
      <c r="UH826" s="9"/>
      <c r="UI826" s="9"/>
      <c r="UJ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9"/>
      <c r="FP827" s="9"/>
      <c r="FQ827" s="9"/>
      <c r="FR827" s="9"/>
      <c r="FS827" s="9"/>
      <c r="FT827" s="9"/>
      <c r="FU827" s="9"/>
      <c r="FV827" s="9"/>
      <c r="FW827" s="9"/>
      <c r="FX827" s="9"/>
      <c r="FY827" s="9"/>
      <c r="FZ827" s="9"/>
      <c r="GA827" s="9"/>
      <c r="GB827" s="9"/>
      <c r="GC827" s="9"/>
      <c r="GD827" s="9"/>
      <c r="GE827" s="9"/>
      <c r="GF827" s="9"/>
      <c r="GG827" s="9"/>
      <c r="GH827" s="9"/>
      <c r="GI827" s="9"/>
      <c r="GJ827" s="9"/>
      <c r="GK827" s="9"/>
      <c r="GL827" s="9"/>
      <c r="GM827" s="9"/>
      <c r="GN827" s="9"/>
      <c r="GO827" s="9"/>
      <c r="GP827" s="9"/>
      <c r="GQ827" s="9"/>
      <c r="GR827" s="9"/>
      <c r="GS827" s="9"/>
      <c r="GT827" s="9"/>
      <c r="GU827" s="9"/>
      <c r="GV827" s="9"/>
      <c r="GW827" s="9"/>
      <c r="GX827" s="9"/>
      <c r="GY827" s="9"/>
      <c r="GZ827" s="9"/>
      <c r="HA827" s="9"/>
      <c r="HB827" s="9"/>
      <c r="HC827" s="9"/>
      <c r="HD827" s="9"/>
      <c r="HE827" s="9"/>
      <c r="HF827" s="9"/>
      <c r="HG827" s="9"/>
      <c r="HH827" s="9"/>
      <c r="HI827" s="9"/>
      <c r="HJ827" s="9"/>
      <c r="HK827" s="9"/>
      <c r="HL827" s="9"/>
      <c r="HM827" s="9"/>
      <c r="HN827" s="9"/>
      <c r="HO827" s="9"/>
      <c r="HP827" s="9"/>
      <c r="HQ827" s="9"/>
      <c r="HR827" s="9"/>
      <c r="HS827" s="9"/>
      <c r="HT827" s="9"/>
      <c r="HU827" s="9"/>
      <c r="HV827" s="9"/>
      <c r="HW827" s="9"/>
      <c r="HX827" s="9"/>
      <c r="HY827" s="9"/>
      <c r="HZ827" s="9"/>
      <c r="IA827" s="9"/>
      <c r="IB827" s="9"/>
      <c r="IC827" s="9"/>
      <c r="ID827" s="9"/>
      <c r="IE827" s="9"/>
      <c r="IF827" s="9"/>
      <c r="IG827" s="9"/>
      <c r="IH827" s="9"/>
      <c r="II827" s="9"/>
      <c r="IJ827" s="9"/>
      <c r="IK827" s="9"/>
      <c r="IL827" s="9"/>
      <c r="IM827" s="9"/>
      <c r="IN827" s="9"/>
      <c r="IO827" s="9"/>
      <c r="IP827" s="9"/>
      <c r="IQ827" s="9"/>
      <c r="IR827" s="9"/>
      <c r="IS827" s="9"/>
      <c r="IT827" s="9"/>
      <c r="IU827" s="9"/>
      <c r="IV827" s="9"/>
      <c r="IW827" s="9"/>
      <c r="IX827" s="9"/>
      <c r="IY827" s="9"/>
      <c r="IZ827" s="9"/>
      <c r="JA827" s="9"/>
      <c r="JB827" s="9"/>
      <c r="JC827" s="9"/>
      <c r="JD827" s="9"/>
      <c r="JE827" s="9"/>
      <c r="JF827" s="9"/>
      <c r="JG827" s="9"/>
      <c r="JH827" s="9"/>
      <c r="JI827" s="9"/>
      <c r="JJ827" s="9"/>
      <c r="JK827" s="9"/>
      <c r="JL827" s="9"/>
      <c r="JM827" s="9"/>
      <c r="JN827" s="9"/>
      <c r="JO827" s="9"/>
      <c r="JP827" s="9"/>
      <c r="JQ827" s="9"/>
      <c r="JR827" s="9"/>
      <c r="JS827" s="9"/>
      <c r="JT827" s="9"/>
      <c r="JU827" s="9"/>
      <c r="JV827" s="9"/>
      <c r="JW827" s="9"/>
      <c r="JX827" s="9"/>
      <c r="JY827" s="9"/>
      <c r="JZ827" s="9"/>
      <c r="KA827" s="9"/>
      <c r="KB827" s="9"/>
      <c r="KC827" s="9"/>
      <c r="KD827" s="9"/>
      <c r="KE827" s="9"/>
      <c r="KF827" s="9"/>
      <c r="KG827" s="9"/>
      <c r="KH827" s="9"/>
      <c r="KI827" s="9"/>
      <c r="KJ827" s="9"/>
      <c r="KK827" s="9"/>
      <c r="KL827" s="9"/>
      <c r="KM827" s="9"/>
      <c r="KN827" s="9"/>
      <c r="KO827" s="9"/>
      <c r="KP827" s="9"/>
      <c r="KQ827" s="9"/>
      <c r="KR827" s="9"/>
      <c r="KS827" s="9"/>
      <c r="KT827" s="9"/>
      <c r="KU827" s="9"/>
      <c r="KV827" s="9"/>
      <c r="KW827" s="9"/>
      <c r="KX827" s="9"/>
      <c r="KY827" s="9"/>
      <c r="KZ827" s="9"/>
      <c r="LA827" s="9"/>
      <c r="LB827" s="9"/>
      <c r="LC827" s="9"/>
      <c r="LD827" s="9"/>
      <c r="LE827" s="9"/>
      <c r="LF827" s="9"/>
      <c r="LG827" s="9"/>
      <c r="LH827" s="9"/>
      <c r="LI827" s="9"/>
      <c r="LJ827" s="9"/>
      <c r="LK827" s="9"/>
      <c r="LL827" s="9"/>
      <c r="LM827" s="9"/>
      <c r="LN827" s="9"/>
      <c r="LO827" s="9"/>
      <c r="LP827" s="9"/>
      <c r="LQ827" s="9"/>
      <c r="LR827" s="9"/>
      <c r="LS827" s="9"/>
      <c r="LT827" s="9"/>
      <c r="LU827" s="9"/>
      <c r="LV827" s="9"/>
      <c r="LW827" s="9"/>
      <c r="LX827" s="9"/>
      <c r="LY827" s="9"/>
      <c r="LZ827" s="9"/>
      <c r="MA827" s="9"/>
      <c r="MB827" s="9"/>
      <c r="MC827" s="9"/>
      <c r="MD827" s="9"/>
      <c r="ME827" s="9"/>
      <c r="MF827" s="9"/>
      <c r="MG827" s="9"/>
      <c r="MH827" s="9"/>
      <c r="MI827" s="9"/>
      <c r="MJ827" s="9"/>
      <c r="MK827" s="9"/>
      <c r="ML827" s="9"/>
      <c r="MM827" s="9"/>
      <c r="MN827" s="9"/>
      <c r="MO827" s="9"/>
      <c r="MP827" s="9"/>
      <c r="MQ827" s="9"/>
      <c r="MR827" s="9"/>
      <c r="MS827" s="9"/>
      <c r="MT827" s="9"/>
      <c r="MU827" s="9"/>
      <c r="MV827" s="9"/>
      <c r="MW827" s="9"/>
      <c r="MX827" s="9"/>
      <c r="MY827" s="9"/>
      <c r="MZ827" s="9"/>
      <c r="NA827" s="9"/>
      <c r="NB827" s="9"/>
      <c r="NC827" s="9"/>
      <c r="ND827" s="9"/>
      <c r="NE827" s="9"/>
      <c r="NF827" s="9"/>
      <c r="NG827" s="9"/>
      <c r="NH827" s="9"/>
      <c r="NI827" s="9"/>
      <c r="NJ827" s="9"/>
      <c r="NK827" s="9"/>
      <c r="NL827" s="9"/>
      <c r="NM827" s="9"/>
      <c r="NN827" s="9"/>
      <c r="NO827" s="9"/>
      <c r="NP827" s="9"/>
      <c r="NQ827" s="9"/>
      <c r="NR827" s="9"/>
      <c r="NS827" s="9"/>
      <c r="NT827" s="9"/>
      <c r="NU827" s="9"/>
      <c r="NV827" s="9"/>
      <c r="NW827" s="9"/>
      <c r="NX827" s="9"/>
      <c r="NY827" s="9"/>
      <c r="NZ827" s="9"/>
      <c r="OA827" s="9"/>
      <c r="OB827" s="9"/>
      <c r="OC827" s="9"/>
      <c r="OD827" s="9"/>
      <c r="OE827" s="9"/>
      <c r="OF827" s="9"/>
      <c r="OG827" s="9"/>
      <c r="OH827" s="9"/>
      <c r="OI827" s="9"/>
      <c r="OJ827" s="9"/>
      <c r="OK827" s="9"/>
      <c r="OL827" s="9"/>
      <c r="OM827" s="9"/>
      <c r="ON827" s="9"/>
      <c r="OO827" s="9"/>
      <c r="OP827" s="9"/>
      <c r="OQ827" s="9"/>
      <c r="OR827" s="9"/>
      <c r="OS827" s="9"/>
      <c r="OT827" s="9"/>
      <c r="OU827" s="9"/>
      <c r="OV827" s="9"/>
      <c r="OW827" s="9"/>
      <c r="OX827" s="9"/>
      <c r="OY827" s="9"/>
      <c r="OZ827" s="9"/>
      <c r="PA827" s="9"/>
      <c r="PB827" s="9"/>
      <c r="PC827" s="9"/>
      <c r="PD827" s="9"/>
      <c r="PE827" s="9"/>
      <c r="PF827" s="9"/>
      <c r="PG827" s="9"/>
      <c r="PH827" s="9"/>
      <c r="PI827" s="9"/>
      <c r="PJ827" s="9"/>
      <c r="PK827" s="9"/>
      <c r="PL827" s="9"/>
      <c r="PM827" s="9"/>
      <c r="PN827" s="9"/>
      <c r="PO827" s="9"/>
      <c r="PP827" s="9"/>
      <c r="PQ827" s="9"/>
      <c r="PR827" s="9"/>
      <c r="PS827" s="9"/>
      <c r="PT827" s="9"/>
      <c r="PU827" s="9"/>
      <c r="PV827" s="9"/>
      <c r="PW827" s="9"/>
      <c r="PX827" s="9"/>
      <c r="PY827" s="9"/>
      <c r="PZ827" s="9"/>
      <c r="QA827" s="9"/>
      <c r="QB827" s="9"/>
      <c r="QC827" s="9"/>
      <c r="QD827" s="9"/>
      <c r="QE827" s="9"/>
      <c r="QF827" s="9"/>
      <c r="QG827" s="9"/>
      <c r="QH827" s="9"/>
      <c r="QI827" s="9"/>
      <c r="QJ827" s="9"/>
      <c r="QK827" s="9"/>
      <c r="QL827" s="9"/>
      <c r="QM827" s="9"/>
      <c r="QN827" s="9"/>
      <c r="QO827" s="9"/>
      <c r="QP827" s="9"/>
      <c r="QQ827" s="9"/>
      <c r="QR827" s="9"/>
      <c r="QS827" s="9"/>
      <c r="QT827" s="9"/>
      <c r="QU827" s="9"/>
      <c r="QV827" s="9"/>
      <c r="QW827" s="9"/>
      <c r="QX827" s="9"/>
      <c r="QY827" s="9"/>
      <c r="QZ827" s="9"/>
      <c r="RA827" s="9"/>
      <c r="RB827" s="9"/>
      <c r="RC827" s="9"/>
      <c r="RD827" s="9"/>
      <c r="RE827" s="9"/>
      <c r="RF827" s="9"/>
      <c r="RG827" s="9"/>
      <c r="RH827" s="9"/>
      <c r="RI827" s="9"/>
      <c r="RJ827" s="9"/>
      <c r="RK827" s="9"/>
      <c r="RL827" s="9"/>
      <c r="RM827" s="9"/>
      <c r="RN827" s="9"/>
      <c r="RO827" s="9"/>
      <c r="RP827" s="9"/>
      <c r="RQ827" s="9"/>
      <c r="RR827" s="9"/>
      <c r="RS827" s="9"/>
      <c r="RT827" s="9"/>
      <c r="RU827" s="9"/>
      <c r="RV827" s="9"/>
      <c r="RW827" s="9"/>
      <c r="RX827" s="9"/>
      <c r="RY827" s="9"/>
      <c r="RZ827" s="9"/>
      <c r="SA827" s="9"/>
      <c r="SB827" s="9"/>
      <c r="SC827" s="9"/>
      <c r="SD827" s="9"/>
      <c r="SE827" s="9"/>
      <c r="SF827" s="9"/>
      <c r="SG827" s="9"/>
      <c r="SH827" s="9"/>
      <c r="SI827" s="9"/>
      <c r="SJ827" s="9"/>
      <c r="SK827" s="9"/>
      <c r="SL827" s="9"/>
      <c r="SM827" s="9"/>
      <c r="SN827" s="9"/>
      <c r="SO827" s="9"/>
      <c r="SP827" s="9"/>
      <c r="SQ827" s="9"/>
      <c r="SR827" s="9"/>
      <c r="SS827" s="9"/>
      <c r="ST827" s="9"/>
      <c r="SU827" s="9"/>
      <c r="SV827" s="9"/>
      <c r="SW827" s="9"/>
      <c r="SX827" s="9"/>
      <c r="SY827" s="9"/>
      <c r="SZ827" s="9"/>
      <c r="TA827" s="9"/>
      <c r="TB827" s="9"/>
      <c r="TC827" s="9"/>
      <c r="TD827" s="9"/>
      <c r="TE827" s="9"/>
      <c r="TF827" s="9"/>
      <c r="TG827" s="9"/>
      <c r="TH827" s="9"/>
      <c r="TI827" s="9"/>
      <c r="TJ827" s="9"/>
      <c r="TK827" s="9"/>
      <c r="TL827" s="9"/>
      <c r="TM827" s="9"/>
      <c r="TN827" s="9"/>
      <c r="TO827" s="9"/>
      <c r="TP827" s="9"/>
      <c r="TQ827" s="9"/>
      <c r="TR827" s="9"/>
      <c r="TS827" s="9"/>
      <c r="TT827" s="9"/>
      <c r="TU827" s="9"/>
      <c r="TV827" s="9"/>
      <c r="TW827" s="9"/>
      <c r="TX827" s="9"/>
      <c r="TY827" s="9"/>
      <c r="TZ827" s="9"/>
      <c r="UA827" s="9"/>
      <c r="UB827" s="9"/>
      <c r="UC827" s="9"/>
      <c r="UD827" s="9"/>
      <c r="UE827" s="9"/>
      <c r="UF827" s="9"/>
      <c r="UG827" s="9"/>
      <c r="UH827" s="9"/>
      <c r="UI827" s="9"/>
      <c r="UJ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  <c r="GA828" s="9"/>
      <c r="GB828" s="9"/>
      <c r="GC828" s="9"/>
      <c r="GD828" s="9"/>
      <c r="GE828" s="9"/>
      <c r="GF828" s="9"/>
      <c r="GG828" s="9"/>
      <c r="GH828" s="9"/>
      <c r="GI828" s="9"/>
      <c r="GJ828" s="9"/>
      <c r="GK828" s="9"/>
      <c r="GL828" s="9"/>
      <c r="GM828" s="9"/>
      <c r="GN828" s="9"/>
      <c r="GO828" s="9"/>
      <c r="GP828" s="9"/>
      <c r="GQ828" s="9"/>
      <c r="GR828" s="9"/>
      <c r="GS828" s="9"/>
      <c r="GT828" s="9"/>
      <c r="GU828" s="9"/>
      <c r="GV828" s="9"/>
      <c r="GW828" s="9"/>
      <c r="GX828" s="9"/>
      <c r="GY828" s="9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  <c r="HO828" s="9"/>
      <c r="HP828" s="9"/>
      <c r="HQ828" s="9"/>
      <c r="HR828" s="9"/>
      <c r="HS828" s="9"/>
      <c r="HT828" s="9"/>
      <c r="HU828" s="9"/>
      <c r="HV828" s="9"/>
      <c r="HW828" s="9"/>
      <c r="HX828" s="9"/>
      <c r="HY828" s="9"/>
      <c r="HZ828" s="9"/>
      <c r="IA828" s="9"/>
      <c r="IB828" s="9"/>
      <c r="IC828" s="9"/>
      <c r="ID828" s="9"/>
      <c r="IE828" s="9"/>
      <c r="IF828" s="9"/>
      <c r="IG828" s="9"/>
      <c r="IH828" s="9"/>
      <c r="II828" s="9"/>
      <c r="IJ828" s="9"/>
      <c r="IK828" s="9"/>
      <c r="IL828" s="9"/>
      <c r="IM828" s="9"/>
      <c r="IN828" s="9"/>
      <c r="IO828" s="9"/>
      <c r="IP828" s="9"/>
      <c r="IQ828" s="9"/>
      <c r="IR828" s="9"/>
      <c r="IS828" s="9"/>
      <c r="IT828" s="9"/>
      <c r="IU828" s="9"/>
      <c r="IV828" s="9"/>
      <c r="IW828" s="9"/>
      <c r="IX828" s="9"/>
      <c r="IY828" s="9"/>
      <c r="IZ828" s="9"/>
      <c r="JA828" s="9"/>
      <c r="JB828" s="9"/>
      <c r="JC828" s="9"/>
      <c r="JD828" s="9"/>
      <c r="JE828" s="9"/>
      <c r="JF828" s="9"/>
      <c r="JG828" s="9"/>
      <c r="JH828" s="9"/>
      <c r="JI828" s="9"/>
      <c r="JJ828" s="9"/>
      <c r="JK828" s="9"/>
      <c r="JL828" s="9"/>
      <c r="JM828" s="9"/>
      <c r="JN828" s="9"/>
      <c r="JO828" s="9"/>
      <c r="JP828" s="9"/>
      <c r="JQ828" s="9"/>
      <c r="JR828" s="9"/>
      <c r="JS828" s="9"/>
      <c r="JT828" s="9"/>
      <c r="JU828" s="9"/>
      <c r="JV828" s="9"/>
      <c r="JW828" s="9"/>
      <c r="JX828" s="9"/>
      <c r="JY828" s="9"/>
      <c r="JZ828" s="9"/>
      <c r="KA828" s="9"/>
      <c r="KB828" s="9"/>
      <c r="KC828" s="9"/>
      <c r="KD828" s="9"/>
      <c r="KE828" s="9"/>
      <c r="KF828" s="9"/>
      <c r="KG828" s="9"/>
      <c r="KH828" s="9"/>
      <c r="KI828" s="9"/>
      <c r="KJ828" s="9"/>
      <c r="KK828" s="9"/>
      <c r="KL828" s="9"/>
      <c r="KM828" s="9"/>
      <c r="KN828" s="9"/>
      <c r="KO828" s="9"/>
      <c r="KP828" s="9"/>
      <c r="KQ828" s="9"/>
      <c r="KR828" s="9"/>
      <c r="KS828" s="9"/>
      <c r="KT828" s="9"/>
      <c r="KU828" s="9"/>
      <c r="KV828" s="9"/>
      <c r="KW828" s="9"/>
      <c r="KX828" s="9"/>
      <c r="KY828" s="9"/>
      <c r="KZ828" s="9"/>
      <c r="LA828" s="9"/>
      <c r="LB828" s="9"/>
      <c r="LC828" s="9"/>
      <c r="LD828" s="9"/>
      <c r="LE828" s="9"/>
      <c r="LF828" s="9"/>
      <c r="LG828" s="9"/>
      <c r="LH828" s="9"/>
      <c r="LI828" s="9"/>
      <c r="LJ828" s="9"/>
      <c r="LK828" s="9"/>
      <c r="LL828" s="9"/>
      <c r="LM828" s="9"/>
      <c r="LN828" s="9"/>
      <c r="LO828" s="9"/>
      <c r="LP828" s="9"/>
      <c r="LQ828" s="9"/>
      <c r="LR828" s="9"/>
      <c r="LS828" s="9"/>
      <c r="LT828" s="9"/>
      <c r="LU828" s="9"/>
      <c r="LV828" s="9"/>
      <c r="LW828" s="9"/>
      <c r="LX828" s="9"/>
      <c r="LY828" s="9"/>
      <c r="LZ828" s="9"/>
      <c r="MA828" s="9"/>
      <c r="MB828" s="9"/>
      <c r="MC828" s="9"/>
      <c r="MD828" s="9"/>
      <c r="ME828" s="9"/>
      <c r="MF828" s="9"/>
      <c r="MG828" s="9"/>
      <c r="MH828" s="9"/>
      <c r="MI828" s="9"/>
      <c r="MJ828" s="9"/>
      <c r="MK828" s="9"/>
      <c r="ML828" s="9"/>
      <c r="MM828" s="9"/>
      <c r="MN828" s="9"/>
      <c r="MO828" s="9"/>
      <c r="MP828" s="9"/>
      <c r="MQ828" s="9"/>
      <c r="MR828" s="9"/>
      <c r="MS828" s="9"/>
      <c r="MT828" s="9"/>
      <c r="MU828" s="9"/>
      <c r="MV828" s="9"/>
      <c r="MW828" s="9"/>
      <c r="MX828" s="9"/>
      <c r="MY828" s="9"/>
      <c r="MZ828" s="9"/>
      <c r="NA828" s="9"/>
      <c r="NB828" s="9"/>
      <c r="NC828" s="9"/>
      <c r="ND828" s="9"/>
      <c r="NE828" s="9"/>
      <c r="NF828" s="9"/>
      <c r="NG828" s="9"/>
      <c r="NH828" s="9"/>
      <c r="NI828" s="9"/>
      <c r="NJ828" s="9"/>
      <c r="NK828" s="9"/>
      <c r="NL828" s="9"/>
      <c r="NM828" s="9"/>
      <c r="NN828" s="9"/>
      <c r="NO828" s="9"/>
      <c r="NP828" s="9"/>
      <c r="NQ828" s="9"/>
      <c r="NR828" s="9"/>
      <c r="NS828" s="9"/>
      <c r="NT828" s="9"/>
      <c r="NU828" s="9"/>
      <c r="NV828" s="9"/>
      <c r="NW828" s="9"/>
      <c r="NX828" s="9"/>
      <c r="NY828" s="9"/>
      <c r="NZ828" s="9"/>
      <c r="OA828" s="9"/>
      <c r="OB828" s="9"/>
      <c r="OC828" s="9"/>
      <c r="OD828" s="9"/>
      <c r="OE828" s="9"/>
      <c r="OF828" s="9"/>
      <c r="OG828" s="9"/>
      <c r="OH828" s="9"/>
      <c r="OI828" s="9"/>
      <c r="OJ828" s="9"/>
      <c r="OK828" s="9"/>
      <c r="OL828" s="9"/>
      <c r="OM828" s="9"/>
      <c r="ON828" s="9"/>
      <c r="OO828" s="9"/>
      <c r="OP828" s="9"/>
      <c r="OQ828" s="9"/>
      <c r="OR828" s="9"/>
      <c r="OS828" s="9"/>
      <c r="OT828" s="9"/>
      <c r="OU828" s="9"/>
      <c r="OV828" s="9"/>
      <c r="OW828" s="9"/>
      <c r="OX828" s="9"/>
      <c r="OY828" s="9"/>
      <c r="OZ828" s="9"/>
      <c r="PA828" s="9"/>
      <c r="PB828" s="9"/>
      <c r="PC828" s="9"/>
      <c r="PD828" s="9"/>
      <c r="PE828" s="9"/>
      <c r="PF828" s="9"/>
      <c r="PG828" s="9"/>
      <c r="PH828" s="9"/>
      <c r="PI828" s="9"/>
      <c r="PJ828" s="9"/>
      <c r="PK828" s="9"/>
      <c r="PL828" s="9"/>
      <c r="PM828" s="9"/>
      <c r="PN828" s="9"/>
      <c r="PO828" s="9"/>
      <c r="PP828" s="9"/>
      <c r="PQ828" s="9"/>
      <c r="PR828" s="9"/>
      <c r="PS828" s="9"/>
      <c r="PT828" s="9"/>
      <c r="PU828" s="9"/>
      <c r="PV828" s="9"/>
      <c r="PW828" s="9"/>
      <c r="PX828" s="9"/>
      <c r="PY828" s="9"/>
      <c r="PZ828" s="9"/>
      <c r="QA828" s="9"/>
      <c r="QB828" s="9"/>
      <c r="QC828" s="9"/>
      <c r="QD828" s="9"/>
      <c r="QE828" s="9"/>
      <c r="QF828" s="9"/>
      <c r="QG828" s="9"/>
      <c r="QH828" s="9"/>
      <c r="QI828" s="9"/>
      <c r="QJ828" s="9"/>
      <c r="QK828" s="9"/>
      <c r="QL828" s="9"/>
      <c r="QM828" s="9"/>
      <c r="QN828" s="9"/>
      <c r="QO828" s="9"/>
      <c r="QP828" s="9"/>
      <c r="QQ828" s="9"/>
      <c r="QR828" s="9"/>
      <c r="QS828" s="9"/>
      <c r="QT828" s="9"/>
      <c r="QU828" s="9"/>
      <c r="QV828" s="9"/>
      <c r="QW828" s="9"/>
      <c r="QX828" s="9"/>
      <c r="QY828" s="9"/>
      <c r="QZ828" s="9"/>
      <c r="RA828" s="9"/>
      <c r="RB828" s="9"/>
      <c r="RC828" s="9"/>
      <c r="RD828" s="9"/>
      <c r="RE828" s="9"/>
      <c r="RF828" s="9"/>
      <c r="RG828" s="9"/>
      <c r="RH828" s="9"/>
      <c r="RI828" s="9"/>
      <c r="RJ828" s="9"/>
      <c r="RK828" s="9"/>
      <c r="RL828" s="9"/>
      <c r="RM828" s="9"/>
      <c r="RN828" s="9"/>
      <c r="RO828" s="9"/>
      <c r="RP828" s="9"/>
      <c r="RQ828" s="9"/>
      <c r="RR828" s="9"/>
      <c r="RS828" s="9"/>
      <c r="RT828" s="9"/>
      <c r="RU828" s="9"/>
      <c r="RV828" s="9"/>
      <c r="RW828" s="9"/>
      <c r="RX828" s="9"/>
      <c r="RY828" s="9"/>
      <c r="RZ828" s="9"/>
      <c r="SA828" s="9"/>
      <c r="SB828" s="9"/>
      <c r="SC828" s="9"/>
      <c r="SD828" s="9"/>
      <c r="SE828" s="9"/>
      <c r="SF828" s="9"/>
      <c r="SG828" s="9"/>
      <c r="SH828" s="9"/>
      <c r="SI828" s="9"/>
      <c r="SJ828" s="9"/>
      <c r="SK828" s="9"/>
      <c r="SL828" s="9"/>
      <c r="SM828" s="9"/>
      <c r="SN828" s="9"/>
      <c r="SO828" s="9"/>
      <c r="SP828" s="9"/>
      <c r="SQ828" s="9"/>
      <c r="SR828" s="9"/>
      <c r="SS828" s="9"/>
      <c r="ST828" s="9"/>
      <c r="SU828" s="9"/>
      <c r="SV828" s="9"/>
      <c r="SW828" s="9"/>
      <c r="SX828" s="9"/>
      <c r="SY828" s="9"/>
      <c r="SZ828" s="9"/>
      <c r="TA828" s="9"/>
      <c r="TB828" s="9"/>
      <c r="TC828" s="9"/>
      <c r="TD828" s="9"/>
      <c r="TE828" s="9"/>
      <c r="TF828" s="9"/>
      <c r="TG828" s="9"/>
      <c r="TH828" s="9"/>
      <c r="TI828" s="9"/>
      <c r="TJ828" s="9"/>
      <c r="TK828" s="9"/>
      <c r="TL828" s="9"/>
      <c r="TM828" s="9"/>
      <c r="TN828" s="9"/>
      <c r="TO828" s="9"/>
      <c r="TP828" s="9"/>
      <c r="TQ828" s="9"/>
      <c r="TR828" s="9"/>
      <c r="TS828" s="9"/>
      <c r="TT828" s="9"/>
      <c r="TU828" s="9"/>
      <c r="TV828" s="9"/>
      <c r="TW828" s="9"/>
      <c r="TX828" s="9"/>
      <c r="TY828" s="9"/>
      <c r="TZ828" s="9"/>
      <c r="UA828" s="9"/>
      <c r="UB828" s="9"/>
      <c r="UC828" s="9"/>
      <c r="UD828" s="9"/>
      <c r="UE828" s="9"/>
      <c r="UF828" s="9"/>
      <c r="UG828" s="9"/>
      <c r="UH828" s="9"/>
      <c r="UI828" s="9"/>
      <c r="UJ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/>
      <c r="FQ829" s="9"/>
      <c r="FR829" s="9"/>
      <c r="FS829" s="9"/>
      <c r="FT829" s="9"/>
      <c r="FU829" s="9"/>
      <c r="FV829" s="9"/>
      <c r="FW829" s="9"/>
      <c r="FX829" s="9"/>
      <c r="FY829" s="9"/>
      <c r="FZ829" s="9"/>
      <c r="GA829" s="9"/>
      <c r="GB829" s="9"/>
      <c r="GC829" s="9"/>
      <c r="GD829" s="9"/>
      <c r="GE829" s="9"/>
      <c r="GF829" s="9"/>
      <c r="GG829" s="9"/>
      <c r="GH829" s="9"/>
      <c r="GI829" s="9"/>
      <c r="GJ829" s="9"/>
      <c r="GK829" s="9"/>
      <c r="GL829" s="9"/>
      <c r="GM829" s="9"/>
      <c r="GN829" s="9"/>
      <c r="GO829" s="9"/>
      <c r="GP829" s="9"/>
      <c r="GQ829" s="9"/>
      <c r="GR829" s="9"/>
      <c r="GS829" s="9"/>
      <c r="GT829" s="9"/>
      <c r="GU829" s="9"/>
      <c r="GV829" s="9"/>
      <c r="GW829" s="9"/>
      <c r="GX829" s="9"/>
      <c r="GY829" s="9"/>
      <c r="GZ829" s="9"/>
      <c r="HA829" s="9"/>
      <c r="HB829" s="9"/>
      <c r="HC829" s="9"/>
      <c r="HD829" s="9"/>
      <c r="HE829" s="9"/>
      <c r="HF829" s="9"/>
      <c r="HG829" s="9"/>
      <c r="HH829" s="9"/>
      <c r="HI829" s="9"/>
      <c r="HJ829" s="9"/>
      <c r="HK829" s="9"/>
      <c r="HL829" s="9"/>
      <c r="HM829" s="9"/>
      <c r="HN829" s="9"/>
      <c r="HO829" s="9"/>
      <c r="HP829" s="9"/>
      <c r="HQ829" s="9"/>
      <c r="HR829" s="9"/>
      <c r="HS829" s="9"/>
      <c r="HT829" s="9"/>
      <c r="HU829" s="9"/>
      <c r="HV829" s="9"/>
      <c r="HW829" s="9"/>
      <c r="HX829" s="9"/>
      <c r="HY829" s="9"/>
      <c r="HZ829" s="9"/>
      <c r="IA829" s="9"/>
      <c r="IB829" s="9"/>
      <c r="IC829" s="9"/>
      <c r="ID829" s="9"/>
      <c r="IE829" s="9"/>
      <c r="IF829" s="9"/>
      <c r="IG829" s="9"/>
      <c r="IH829" s="9"/>
      <c r="II829" s="9"/>
      <c r="IJ829" s="9"/>
      <c r="IK829" s="9"/>
      <c r="IL829" s="9"/>
      <c r="IM829" s="9"/>
      <c r="IN829" s="9"/>
      <c r="IO829" s="9"/>
      <c r="IP829" s="9"/>
      <c r="IQ829" s="9"/>
      <c r="IR829" s="9"/>
      <c r="IS829" s="9"/>
      <c r="IT829" s="9"/>
      <c r="IU829" s="9"/>
      <c r="IV829" s="9"/>
      <c r="IW829" s="9"/>
      <c r="IX829" s="9"/>
      <c r="IY829" s="9"/>
      <c r="IZ829" s="9"/>
      <c r="JA829" s="9"/>
      <c r="JB829" s="9"/>
      <c r="JC829" s="9"/>
      <c r="JD829" s="9"/>
      <c r="JE829" s="9"/>
      <c r="JF829" s="9"/>
      <c r="JG829" s="9"/>
      <c r="JH829" s="9"/>
      <c r="JI829" s="9"/>
      <c r="JJ829" s="9"/>
      <c r="JK829" s="9"/>
      <c r="JL829" s="9"/>
      <c r="JM829" s="9"/>
      <c r="JN829" s="9"/>
      <c r="JO829" s="9"/>
      <c r="JP829" s="9"/>
      <c r="JQ829" s="9"/>
      <c r="JR829" s="9"/>
      <c r="JS829" s="9"/>
      <c r="JT829" s="9"/>
      <c r="JU829" s="9"/>
      <c r="JV829" s="9"/>
      <c r="JW829" s="9"/>
      <c r="JX829" s="9"/>
      <c r="JY829" s="9"/>
      <c r="JZ829" s="9"/>
      <c r="KA829" s="9"/>
      <c r="KB829" s="9"/>
      <c r="KC829" s="9"/>
      <c r="KD829" s="9"/>
      <c r="KE829" s="9"/>
      <c r="KF829" s="9"/>
      <c r="KG829" s="9"/>
      <c r="KH829" s="9"/>
      <c r="KI829" s="9"/>
      <c r="KJ829" s="9"/>
      <c r="KK829" s="9"/>
      <c r="KL829" s="9"/>
      <c r="KM829" s="9"/>
      <c r="KN829" s="9"/>
      <c r="KO829" s="9"/>
      <c r="KP829" s="9"/>
      <c r="KQ829" s="9"/>
      <c r="KR829" s="9"/>
      <c r="KS829" s="9"/>
      <c r="KT829" s="9"/>
      <c r="KU829" s="9"/>
      <c r="KV829" s="9"/>
      <c r="KW829" s="9"/>
      <c r="KX829" s="9"/>
      <c r="KY829" s="9"/>
      <c r="KZ829" s="9"/>
      <c r="LA829" s="9"/>
      <c r="LB829" s="9"/>
      <c r="LC829" s="9"/>
      <c r="LD829" s="9"/>
      <c r="LE829" s="9"/>
      <c r="LF829" s="9"/>
      <c r="LG829" s="9"/>
      <c r="LH829" s="9"/>
      <c r="LI829" s="9"/>
      <c r="LJ829" s="9"/>
      <c r="LK829" s="9"/>
      <c r="LL829" s="9"/>
      <c r="LM829" s="9"/>
      <c r="LN829" s="9"/>
      <c r="LO829" s="9"/>
      <c r="LP829" s="9"/>
      <c r="LQ829" s="9"/>
      <c r="LR829" s="9"/>
      <c r="LS829" s="9"/>
      <c r="LT829" s="9"/>
      <c r="LU829" s="9"/>
      <c r="LV829" s="9"/>
      <c r="LW829" s="9"/>
      <c r="LX829" s="9"/>
      <c r="LY829" s="9"/>
      <c r="LZ829" s="9"/>
      <c r="MA829" s="9"/>
      <c r="MB829" s="9"/>
      <c r="MC829" s="9"/>
      <c r="MD829" s="9"/>
      <c r="ME829" s="9"/>
      <c r="MF829" s="9"/>
      <c r="MG829" s="9"/>
      <c r="MH829" s="9"/>
      <c r="MI829" s="9"/>
      <c r="MJ829" s="9"/>
      <c r="MK829" s="9"/>
      <c r="ML829" s="9"/>
      <c r="MM829" s="9"/>
      <c r="MN829" s="9"/>
      <c r="MO829" s="9"/>
      <c r="MP829" s="9"/>
      <c r="MQ829" s="9"/>
      <c r="MR829" s="9"/>
      <c r="MS829" s="9"/>
      <c r="MT829" s="9"/>
      <c r="MU829" s="9"/>
      <c r="MV829" s="9"/>
      <c r="MW829" s="9"/>
      <c r="MX829" s="9"/>
      <c r="MY829" s="9"/>
      <c r="MZ829" s="9"/>
      <c r="NA829" s="9"/>
      <c r="NB829" s="9"/>
      <c r="NC829" s="9"/>
      <c r="ND829" s="9"/>
      <c r="NE829" s="9"/>
      <c r="NF829" s="9"/>
      <c r="NG829" s="9"/>
      <c r="NH829" s="9"/>
      <c r="NI829" s="9"/>
      <c r="NJ829" s="9"/>
      <c r="NK829" s="9"/>
      <c r="NL829" s="9"/>
      <c r="NM829" s="9"/>
      <c r="NN829" s="9"/>
      <c r="NO829" s="9"/>
      <c r="NP829" s="9"/>
      <c r="NQ829" s="9"/>
      <c r="NR829" s="9"/>
      <c r="NS829" s="9"/>
      <c r="NT829" s="9"/>
      <c r="NU829" s="9"/>
      <c r="NV829" s="9"/>
      <c r="NW829" s="9"/>
      <c r="NX829" s="9"/>
      <c r="NY829" s="9"/>
      <c r="NZ829" s="9"/>
      <c r="OA829" s="9"/>
      <c r="OB829" s="9"/>
      <c r="OC829" s="9"/>
      <c r="OD829" s="9"/>
      <c r="OE829" s="9"/>
      <c r="OF829" s="9"/>
      <c r="OG829" s="9"/>
      <c r="OH829" s="9"/>
      <c r="OI829" s="9"/>
      <c r="OJ829" s="9"/>
      <c r="OK829" s="9"/>
      <c r="OL829" s="9"/>
      <c r="OM829" s="9"/>
      <c r="ON829" s="9"/>
      <c r="OO829" s="9"/>
      <c r="OP829" s="9"/>
      <c r="OQ829" s="9"/>
      <c r="OR829" s="9"/>
      <c r="OS829" s="9"/>
      <c r="OT829" s="9"/>
      <c r="OU829" s="9"/>
      <c r="OV829" s="9"/>
      <c r="OW829" s="9"/>
      <c r="OX829" s="9"/>
      <c r="OY829" s="9"/>
      <c r="OZ829" s="9"/>
      <c r="PA829" s="9"/>
      <c r="PB829" s="9"/>
      <c r="PC829" s="9"/>
      <c r="PD829" s="9"/>
      <c r="PE829" s="9"/>
      <c r="PF829" s="9"/>
      <c r="PG829" s="9"/>
      <c r="PH829" s="9"/>
      <c r="PI829" s="9"/>
      <c r="PJ829" s="9"/>
      <c r="PK829" s="9"/>
      <c r="PL829" s="9"/>
      <c r="PM829" s="9"/>
      <c r="PN829" s="9"/>
      <c r="PO829" s="9"/>
      <c r="PP829" s="9"/>
      <c r="PQ829" s="9"/>
      <c r="PR829" s="9"/>
      <c r="PS829" s="9"/>
      <c r="PT829" s="9"/>
      <c r="PU829" s="9"/>
      <c r="PV829" s="9"/>
      <c r="PW829" s="9"/>
      <c r="PX829" s="9"/>
      <c r="PY829" s="9"/>
      <c r="PZ829" s="9"/>
      <c r="QA829" s="9"/>
      <c r="QB829" s="9"/>
      <c r="QC829" s="9"/>
      <c r="QD829" s="9"/>
      <c r="QE829" s="9"/>
      <c r="QF829" s="9"/>
      <c r="QG829" s="9"/>
      <c r="QH829" s="9"/>
      <c r="QI829" s="9"/>
      <c r="QJ829" s="9"/>
      <c r="QK829" s="9"/>
      <c r="QL829" s="9"/>
      <c r="QM829" s="9"/>
      <c r="QN829" s="9"/>
      <c r="QO829" s="9"/>
      <c r="QP829" s="9"/>
      <c r="QQ829" s="9"/>
      <c r="QR829" s="9"/>
      <c r="QS829" s="9"/>
      <c r="QT829" s="9"/>
      <c r="QU829" s="9"/>
      <c r="QV829" s="9"/>
      <c r="QW829" s="9"/>
      <c r="QX829" s="9"/>
      <c r="QY829" s="9"/>
      <c r="QZ829" s="9"/>
      <c r="RA829" s="9"/>
      <c r="RB829" s="9"/>
      <c r="RC829" s="9"/>
      <c r="RD829" s="9"/>
      <c r="RE829" s="9"/>
      <c r="RF829" s="9"/>
      <c r="RG829" s="9"/>
      <c r="RH829" s="9"/>
      <c r="RI829" s="9"/>
      <c r="RJ829" s="9"/>
      <c r="RK829" s="9"/>
      <c r="RL829" s="9"/>
      <c r="RM829" s="9"/>
      <c r="RN829" s="9"/>
      <c r="RO829" s="9"/>
      <c r="RP829" s="9"/>
      <c r="RQ829" s="9"/>
      <c r="RR829" s="9"/>
      <c r="RS829" s="9"/>
      <c r="RT829" s="9"/>
      <c r="RU829" s="9"/>
      <c r="RV829" s="9"/>
      <c r="RW829" s="9"/>
      <c r="RX829" s="9"/>
      <c r="RY829" s="9"/>
      <c r="RZ829" s="9"/>
      <c r="SA829" s="9"/>
      <c r="SB829" s="9"/>
      <c r="SC829" s="9"/>
      <c r="SD829" s="9"/>
      <c r="SE829" s="9"/>
      <c r="SF829" s="9"/>
      <c r="SG829" s="9"/>
      <c r="SH829" s="9"/>
      <c r="SI829" s="9"/>
      <c r="SJ829" s="9"/>
      <c r="SK829" s="9"/>
      <c r="SL829" s="9"/>
      <c r="SM829" s="9"/>
      <c r="SN829" s="9"/>
      <c r="SO829" s="9"/>
      <c r="SP829" s="9"/>
      <c r="SQ829" s="9"/>
      <c r="SR829" s="9"/>
      <c r="SS829" s="9"/>
      <c r="ST829" s="9"/>
      <c r="SU829" s="9"/>
      <c r="SV829" s="9"/>
      <c r="SW829" s="9"/>
      <c r="SX829" s="9"/>
      <c r="SY829" s="9"/>
      <c r="SZ829" s="9"/>
      <c r="TA829" s="9"/>
      <c r="TB829" s="9"/>
      <c r="TC829" s="9"/>
      <c r="TD829" s="9"/>
      <c r="TE829" s="9"/>
      <c r="TF829" s="9"/>
      <c r="TG829" s="9"/>
      <c r="TH829" s="9"/>
      <c r="TI829" s="9"/>
      <c r="TJ829" s="9"/>
      <c r="TK829" s="9"/>
      <c r="TL829" s="9"/>
      <c r="TM829" s="9"/>
      <c r="TN829" s="9"/>
      <c r="TO829" s="9"/>
      <c r="TP829" s="9"/>
      <c r="TQ829" s="9"/>
      <c r="TR829" s="9"/>
      <c r="TS829" s="9"/>
      <c r="TT829" s="9"/>
      <c r="TU829" s="9"/>
      <c r="TV829" s="9"/>
      <c r="TW829" s="9"/>
      <c r="TX829" s="9"/>
      <c r="TY829" s="9"/>
      <c r="TZ829" s="9"/>
      <c r="UA829" s="9"/>
      <c r="UB829" s="9"/>
      <c r="UC829" s="9"/>
      <c r="UD829" s="9"/>
      <c r="UE829" s="9"/>
      <c r="UF829" s="9"/>
      <c r="UG829" s="9"/>
      <c r="UH829" s="9"/>
      <c r="UI829" s="9"/>
      <c r="UJ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  <c r="HO830" s="9"/>
      <c r="HP830" s="9"/>
      <c r="HQ830" s="9"/>
      <c r="HR830" s="9"/>
      <c r="HS830" s="9"/>
      <c r="HT830" s="9"/>
      <c r="HU830" s="9"/>
      <c r="HV830" s="9"/>
      <c r="HW830" s="9"/>
      <c r="HX830" s="9"/>
      <c r="HY830" s="9"/>
      <c r="HZ830" s="9"/>
      <c r="IA830" s="9"/>
      <c r="IB830" s="9"/>
      <c r="IC830" s="9"/>
      <c r="ID830" s="9"/>
      <c r="IE830" s="9"/>
      <c r="IF830" s="9"/>
      <c r="IG830" s="9"/>
      <c r="IH830" s="9"/>
      <c r="II830" s="9"/>
      <c r="IJ830" s="9"/>
      <c r="IK830" s="9"/>
      <c r="IL830" s="9"/>
      <c r="IM830" s="9"/>
      <c r="IN830" s="9"/>
      <c r="IO830" s="9"/>
      <c r="IP830" s="9"/>
      <c r="IQ830" s="9"/>
      <c r="IR830" s="9"/>
      <c r="IS830" s="9"/>
      <c r="IT830" s="9"/>
      <c r="IU830" s="9"/>
      <c r="IV830" s="9"/>
      <c r="IW830" s="9"/>
      <c r="IX830" s="9"/>
      <c r="IY830" s="9"/>
      <c r="IZ830" s="9"/>
      <c r="JA830" s="9"/>
      <c r="JB830" s="9"/>
      <c r="JC830" s="9"/>
      <c r="JD830" s="9"/>
      <c r="JE830" s="9"/>
      <c r="JF830" s="9"/>
      <c r="JG830" s="9"/>
      <c r="JH830" s="9"/>
      <c r="JI830" s="9"/>
      <c r="JJ830" s="9"/>
      <c r="JK830" s="9"/>
      <c r="JL830" s="9"/>
      <c r="JM830" s="9"/>
      <c r="JN830" s="9"/>
      <c r="JO830" s="9"/>
      <c r="JP830" s="9"/>
      <c r="JQ830" s="9"/>
      <c r="JR830" s="9"/>
      <c r="JS830" s="9"/>
      <c r="JT830" s="9"/>
      <c r="JU830" s="9"/>
      <c r="JV830" s="9"/>
      <c r="JW830" s="9"/>
      <c r="JX830" s="9"/>
      <c r="JY830" s="9"/>
      <c r="JZ830" s="9"/>
      <c r="KA830" s="9"/>
      <c r="KB830" s="9"/>
      <c r="KC830" s="9"/>
      <c r="KD830" s="9"/>
      <c r="KE830" s="9"/>
      <c r="KF830" s="9"/>
      <c r="KG830" s="9"/>
      <c r="KH830" s="9"/>
      <c r="KI830" s="9"/>
      <c r="KJ830" s="9"/>
      <c r="KK830" s="9"/>
      <c r="KL830" s="9"/>
      <c r="KM830" s="9"/>
      <c r="KN830" s="9"/>
      <c r="KO830" s="9"/>
      <c r="KP830" s="9"/>
      <c r="KQ830" s="9"/>
      <c r="KR830" s="9"/>
      <c r="KS830" s="9"/>
      <c r="KT830" s="9"/>
      <c r="KU830" s="9"/>
      <c r="KV830" s="9"/>
      <c r="KW830" s="9"/>
      <c r="KX830" s="9"/>
      <c r="KY830" s="9"/>
      <c r="KZ830" s="9"/>
      <c r="LA830" s="9"/>
      <c r="LB830" s="9"/>
      <c r="LC830" s="9"/>
      <c r="LD830" s="9"/>
      <c r="LE830" s="9"/>
      <c r="LF830" s="9"/>
      <c r="LG830" s="9"/>
      <c r="LH830" s="9"/>
      <c r="LI830" s="9"/>
      <c r="LJ830" s="9"/>
      <c r="LK830" s="9"/>
      <c r="LL830" s="9"/>
      <c r="LM830" s="9"/>
      <c r="LN830" s="9"/>
      <c r="LO830" s="9"/>
      <c r="LP830" s="9"/>
      <c r="LQ830" s="9"/>
      <c r="LR830" s="9"/>
      <c r="LS830" s="9"/>
      <c r="LT830" s="9"/>
      <c r="LU830" s="9"/>
      <c r="LV830" s="9"/>
      <c r="LW830" s="9"/>
      <c r="LX830" s="9"/>
      <c r="LY830" s="9"/>
      <c r="LZ830" s="9"/>
      <c r="MA830" s="9"/>
      <c r="MB830" s="9"/>
      <c r="MC830" s="9"/>
      <c r="MD830" s="9"/>
      <c r="ME830" s="9"/>
      <c r="MF830" s="9"/>
      <c r="MG830" s="9"/>
      <c r="MH830" s="9"/>
      <c r="MI830" s="9"/>
      <c r="MJ830" s="9"/>
      <c r="MK830" s="9"/>
      <c r="ML830" s="9"/>
      <c r="MM830" s="9"/>
      <c r="MN830" s="9"/>
      <c r="MO830" s="9"/>
      <c r="MP830" s="9"/>
      <c r="MQ830" s="9"/>
      <c r="MR830" s="9"/>
      <c r="MS830" s="9"/>
      <c r="MT830" s="9"/>
      <c r="MU830" s="9"/>
      <c r="MV830" s="9"/>
      <c r="MW830" s="9"/>
      <c r="MX830" s="9"/>
      <c r="MY830" s="9"/>
      <c r="MZ830" s="9"/>
      <c r="NA830" s="9"/>
      <c r="NB830" s="9"/>
      <c r="NC830" s="9"/>
      <c r="ND830" s="9"/>
      <c r="NE830" s="9"/>
      <c r="NF830" s="9"/>
      <c r="NG830" s="9"/>
      <c r="NH830" s="9"/>
      <c r="NI830" s="9"/>
      <c r="NJ830" s="9"/>
      <c r="NK830" s="9"/>
      <c r="NL830" s="9"/>
      <c r="NM830" s="9"/>
      <c r="NN830" s="9"/>
      <c r="NO830" s="9"/>
      <c r="NP830" s="9"/>
      <c r="NQ830" s="9"/>
      <c r="NR830" s="9"/>
      <c r="NS830" s="9"/>
      <c r="NT830" s="9"/>
      <c r="NU830" s="9"/>
      <c r="NV830" s="9"/>
      <c r="NW830" s="9"/>
      <c r="NX830" s="9"/>
      <c r="NY830" s="9"/>
      <c r="NZ830" s="9"/>
      <c r="OA830" s="9"/>
      <c r="OB830" s="9"/>
      <c r="OC830" s="9"/>
      <c r="OD830" s="9"/>
      <c r="OE830" s="9"/>
      <c r="OF830" s="9"/>
      <c r="OG830" s="9"/>
      <c r="OH830" s="9"/>
      <c r="OI830" s="9"/>
      <c r="OJ830" s="9"/>
      <c r="OK830" s="9"/>
      <c r="OL830" s="9"/>
      <c r="OM830" s="9"/>
      <c r="ON830" s="9"/>
      <c r="OO830" s="9"/>
      <c r="OP830" s="9"/>
      <c r="OQ830" s="9"/>
      <c r="OR830" s="9"/>
      <c r="OS830" s="9"/>
      <c r="OT830" s="9"/>
      <c r="OU830" s="9"/>
      <c r="OV830" s="9"/>
      <c r="OW830" s="9"/>
      <c r="OX830" s="9"/>
      <c r="OY830" s="9"/>
      <c r="OZ830" s="9"/>
      <c r="PA830" s="9"/>
      <c r="PB830" s="9"/>
      <c r="PC830" s="9"/>
      <c r="PD830" s="9"/>
      <c r="PE830" s="9"/>
      <c r="PF830" s="9"/>
      <c r="PG830" s="9"/>
      <c r="PH830" s="9"/>
      <c r="PI830" s="9"/>
      <c r="PJ830" s="9"/>
      <c r="PK830" s="9"/>
      <c r="PL830" s="9"/>
      <c r="PM830" s="9"/>
      <c r="PN830" s="9"/>
      <c r="PO830" s="9"/>
      <c r="PP830" s="9"/>
      <c r="PQ830" s="9"/>
      <c r="PR830" s="9"/>
      <c r="PS830" s="9"/>
      <c r="PT830" s="9"/>
      <c r="PU830" s="9"/>
      <c r="PV830" s="9"/>
      <c r="PW830" s="9"/>
      <c r="PX830" s="9"/>
      <c r="PY830" s="9"/>
      <c r="PZ830" s="9"/>
      <c r="QA830" s="9"/>
      <c r="QB830" s="9"/>
      <c r="QC830" s="9"/>
      <c r="QD830" s="9"/>
      <c r="QE830" s="9"/>
      <c r="QF830" s="9"/>
      <c r="QG830" s="9"/>
      <c r="QH830" s="9"/>
      <c r="QI830" s="9"/>
      <c r="QJ830" s="9"/>
      <c r="QK830" s="9"/>
      <c r="QL830" s="9"/>
      <c r="QM830" s="9"/>
      <c r="QN830" s="9"/>
      <c r="QO830" s="9"/>
      <c r="QP830" s="9"/>
      <c r="QQ830" s="9"/>
      <c r="QR830" s="9"/>
      <c r="QS830" s="9"/>
      <c r="QT830" s="9"/>
      <c r="QU830" s="9"/>
      <c r="QV830" s="9"/>
      <c r="QW830" s="9"/>
      <c r="QX830" s="9"/>
      <c r="QY830" s="9"/>
      <c r="QZ830" s="9"/>
      <c r="RA830" s="9"/>
      <c r="RB830" s="9"/>
      <c r="RC830" s="9"/>
      <c r="RD830" s="9"/>
      <c r="RE830" s="9"/>
      <c r="RF830" s="9"/>
      <c r="RG830" s="9"/>
      <c r="RH830" s="9"/>
      <c r="RI830" s="9"/>
      <c r="RJ830" s="9"/>
      <c r="RK830" s="9"/>
      <c r="RL830" s="9"/>
      <c r="RM830" s="9"/>
      <c r="RN830" s="9"/>
      <c r="RO830" s="9"/>
      <c r="RP830" s="9"/>
      <c r="RQ830" s="9"/>
      <c r="RR830" s="9"/>
      <c r="RS830" s="9"/>
      <c r="RT830" s="9"/>
      <c r="RU830" s="9"/>
      <c r="RV830" s="9"/>
      <c r="RW830" s="9"/>
      <c r="RX830" s="9"/>
      <c r="RY830" s="9"/>
      <c r="RZ830" s="9"/>
      <c r="SA830" s="9"/>
      <c r="SB830" s="9"/>
      <c r="SC830" s="9"/>
      <c r="SD830" s="9"/>
      <c r="SE830" s="9"/>
      <c r="SF830" s="9"/>
      <c r="SG830" s="9"/>
      <c r="SH830" s="9"/>
      <c r="SI830" s="9"/>
      <c r="SJ830" s="9"/>
      <c r="SK830" s="9"/>
      <c r="SL830" s="9"/>
      <c r="SM830" s="9"/>
      <c r="SN830" s="9"/>
      <c r="SO830" s="9"/>
      <c r="SP830" s="9"/>
      <c r="SQ830" s="9"/>
      <c r="SR830" s="9"/>
      <c r="SS830" s="9"/>
      <c r="ST830" s="9"/>
      <c r="SU830" s="9"/>
      <c r="SV830" s="9"/>
      <c r="SW830" s="9"/>
      <c r="SX830" s="9"/>
      <c r="SY830" s="9"/>
      <c r="SZ830" s="9"/>
      <c r="TA830" s="9"/>
      <c r="TB830" s="9"/>
      <c r="TC830" s="9"/>
      <c r="TD830" s="9"/>
      <c r="TE830" s="9"/>
      <c r="TF830" s="9"/>
      <c r="TG830" s="9"/>
      <c r="TH830" s="9"/>
      <c r="TI830" s="9"/>
      <c r="TJ830" s="9"/>
      <c r="TK830" s="9"/>
      <c r="TL830" s="9"/>
      <c r="TM830" s="9"/>
      <c r="TN830" s="9"/>
      <c r="TO830" s="9"/>
      <c r="TP830" s="9"/>
      <c r="TQ830" s="9"/>
      <c r="TR830" s="9"/>
      <c r="TS830" s="9"/>
      <c r="TT830" s="9"/>
      <c r="TU830" s="9"/>
      <c r="TV830" s="9"/>
      <c r="TW830" s="9"/>
      <c r="TX830" s="9"/>
      <c r="TY830" s="9"/>
      <c r="TZ830" s="9"/>
      <c r="UA830" s="9"/>
      <c r="UB830" s="9"/>
      <c r="UC830" s="9"/>
      <c r="UD830" s="9"/>
      <c r="UE830" s="9"/>
      <c r="UF830" s="9"/>
      <c r="UG830" s="9"/>
      <c r="UH830" s="9"/>
      <c r="UI830" s="9"/>
      <c r="UJ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  <c r="GA831" s="9"/>
      <c r="GB831" s="9"/>
      <c r="GC831" s="9"/>
      <c r="GD831" s="9"/>
      <c r="GE831" s="9"/>
      <c r="GF831" s="9"/>
      <c r="GG831" s="9"/>
      <c r="GH831" s="9"/>
      <c r="GI831" s="9"/>
      <c r="GJ831" s="9"/>
      <c r="GK831" s="9"/>
      <c r="GL831" s="9"/>
      <c r="GM831" s="9"/>
      <c r="GN831" s="9"/>
      <c r="GO831" s="9"/>
      <c r="GP831" s="9"/>
      <c r="GQ831" s="9"/>
      <c r="GR831" s="9"/>
      <c r="GS831" s="9"/>
      <c r="GT831" s="9"/>
      <c r="GU831" s="9"/>
      <c r="GV831" s="9"/>
      <c r="GW831" s="9"/>
      <c r="GX831" s="9"/>
      <c r="GY831" s="9"/>
      <c r="GZ831" s="9"/>
      <c r="HA831" s="9"/>
      <c r="HB831" s="9"/>
      <c r="HC831" s="9"/>
      <c r="HD831" s="9"/>
      <c r="HE831" s="9"/>
      <c r="HF831" s="9"/>
      <c r="HG831" s="9"/>
      <c r="HH831" s="9"/>
      <c r="HI831" s="9"/>
      <c r="HJ831" s="9"/>
      <c r="HK831" s="9"/>
      <c r="HL831" s="9"/>
      <c r="HM831" s="9"/>
      <c r="HN831" s="9"/>
      <c r="HO831" s="9"/>
      <c r="HP831" s="9"/>
      <c r="HQ831" s="9"/>
      <c r="HR831" s="9"/>
      <c r="HS831" s="9"/>
      <c r="HT831" s="9"/>
      <c r="HU831" s="9"/>
      <c r="HV831" s="9"/>
      <c r="HW831" s="9"/>
      <c r="HX831" s="9"/>
      <c r="HY831" s="9"/>
      <c r="HZ831" s="9"/>
      <c r="IA831" s="9"/>
      <c r="IB831" s="9"/>
      <c r="IC831" s="9"/>
      <c r="ID831" s="9"/>
      <c r="IE831" s="9"/>
      <c r="IF831" s="9"/>
      <c r="IG831" s="9"/>
      <c r="IH831" s="9"/>
      <c r="II831" s="9"/>
      <c r="IJ831" s="9"/>
      <c r="IK831" s="9"/>
      <c r="IL831" s="9"/>
      <c r="IM831" s="9"/>
      <c r="IN831" s="9"/>
      <c r="IO831" s="9"/>
      <c r="IP831" s="9"/>
      <c r="IQ831" s="9"/>
      <c r="IR831" s="9"/>
      <c r="IS831" s="9"/>
      <c r="IT831" s="9"/>
      <c r="IU831" s="9"/>
      <c r="IV831" s="9"/>
      <c r="IW831" s="9"/>
      <c r="IX831" s="9"/>
      <c r="IY831" s="9"/>
      <c r="IZ831" s="9"/>
      <c r="JA831" s="9"/>
      <c r="JB831" s="9"/>
      <c r="JC831" s="9"/>
      <c r="JD831" s="9"/>
      <c r="JE831" s="9"/>
      <c r="JF831" s="9"/>
      <c r="JG831" s="9"/>
      <c r="JH831" s="9"/>
      <c r="JI831" s="9"/>
      <c r="JJ831" s="9"/>
      <c r="JK831" s="9"/>
      <c r="JL831" s="9"/>
      <c r="JM831" s="9"/>
      <c r="JN831" s="9"/>
      <c r="JO831" s="9"/>
      <c r="JP831" s="9"/>
      <c r="JQ831" s="9"/>
      <c r="JR831" s="9"/>
      <c r="JS831" s="9"/>
      <c r="JT831" s="9"/>
      <c r="JU831" s="9"/>
      <c r="JV831" s="9"/>
      <c r="JW831" s="9"/>
      <c r="JX831" s="9"/>
      <c r="JY831" s="9"/>
      <c r="JZ831" s="9"/>
      <c r="KA831" s="9"/>
      <c r="KB831" s="9"/>
      <c r="KC831" s="9"/>
      <c r="KD831" s="9"/>
      <c r="KE831" s="9"/>
      <c r="KF831" s="9"/>
      <c r="KG831" s="9"/>
      <c r="KH831" s="9"/>
      <c r="KI831" s="9"/>
      <c r="KJ831" s="9"/>
      <c r="KK831" s="9"/>
      <c r="KL831" s="9"/>
      <c r="KM831" s="9"/>
      <c r="KN831" s="9"/>
      <c r="KO831" s="9"/>
      <c r="KP831" s="9"/>
      <c r="KQ831" s="9"/>
      <c r="KR831" s="9"/>
      <c r="KS831" s="9"/>
      <c r="KT831" s="9"/>
      <c r="KU831" s="9"/>
      <c r="KV831" s="9"/>
      <c r="KW831" s="9"/>
      <c r="KX831" s="9"/>
      <c r="KY831" s="9"/>
      <c r="KZ831" s="9"/>
      <c r="LA831" s="9"/>
      <c r="LB831" s="9"/>
      <c r="LC831" s="9"/>
      <c r="LD831" s="9"/>
      <c r="LE831" s="9"/>
      <c r="LF831" s="9"/>
      <c r="LG831" s="9"/>
      <c r="LH831" s="9"/>
      <c r="LI831" s="9"/>
      <c r="LJ831" s="9"/>
      <c r="LK831" s="9"/>
      <c r="LL831" s="9"/>
      <c r="LM831" s="9"/>
      <c r="LN831" s="9"/>
      <c r="LO831" s="9"/>
      <c r="LP831" s="9"/>
      <c r="LQ831" s="9"/>
      <c r="LR831" s="9"/>
      <c r="LS831" s="9"/>
      <c r="LT831" s="9"/>
      <c r="LU831" s="9"/>
      <c r="LV831" s="9"/>
      <c r="LW831" s="9"/>
      <c r="LX831" s="9"/>
      <c r="LY831" s="9"/>
      <c r="LZ831" s="9"/>
      <c r="MA831" s="9"/>
      <c r="MB831" s="9"/>
      <c r="MC831" s="9"/>
      <c r="MD831" s="9"/>
      <c r="ME831" s="9"/>
      <c r="MF831" s="9"/>
      <c r="MG831" s="9"/>
      <c r="MH831" s="9"/>
      <c r="MI831" s="9"/>
      <c r="MJ831" s="9"/>
      <c r="MK831" s="9"/>
      <c r="ML831" s="9"/>
      <c r="MM831" s="9"/>
      <c r="MN831" s="9"/>
      <c r="MO831" s="9"/>
      <c r="MP831" s="9"/>
      <c r="MQ831" s="9"/>
      <c r="MR831" s="9"/>
      <c r="MS831" s="9"/>
      <c r="MT831" s="9"/>
      <c r="MU831" s="9"/>
      <c r="MV831" s="9"/>
      <c r="MW831" s="9"/>
      <c r="MX831" s="9"/>
      <c r="MY831" s="9"/>
      <c r="MZ831" s="9"/>
      <c r="NA831" s="9"/>
      <c r="NB831" s="9"/>
      <c r="NC831" s="9"/>
      <c r="ND831" s="9"/>
      <c r="NE831" s="9"/>
      <c r="NF831" s="9"/>
      <c r="NG831" s="9"/>
      <c r="NH831" s="9"/>
      <c r="NI831" s="9"/>
      <c r="NJ831" s="9"/>
      <c r="NK831" s="9"/>
      <c r="NL831" s="9"/>
      <c r="NM831" s="9"/>
      <c r="NN831" s="9"/>
      <c r="NO831" s="9"/>
      <c r="NP831" s="9"/>
      <c r="NQ831" s="9"/>
      <c r="NR831" s="9"/>
      <c r="NS831" s="9"/>
      <c r="NT831" s="9"/>
      <c r="NU831" s="9"/>
      <c r="NV831" s="9"/>
      <c r="NW831" s="9"/>
      <c r="NX831" s="9"/>
      <c r="NY831" s="9"/>
      <c r="NZ831" s="9"/>
      <c r="OA831" s="9"/>
      <c r="OB831" s="9"/>
      <c r="OC831" s="9"/>
      <c r="OD831" s="9"/>
      <c r="OE831" s="9"/>
      <c r="OF831" s="9"/>
      <c r="OG831" s="9"/>
      <c r="OH831" s="9"/>
      <c r="OI831" s="9"/>
      <c r="OJ831" s="9"/>
      <c r="OK831" s="9"/>
      <c r="OL831" s="9"/>
      <c r="OM831" s="9"/>
      <c r="ON831" s="9"/>
      <c r="OO831" s="9"/>
      <c r="OP831" s="9"/>
      <c r="OQ831" s="9"/>
      <c r="OR831" s="9"/>
      <c r="OS831" s="9"/>
      <c r="OT831" s="9"/>
      <c r="OU831" s="9"/>
      <c r="OV831" s="9"/>
      <c r="OW831" s="9"/>
      <c r="OX831" s="9"/>
      <c r="OY831" s="9"/>
      <c r="OZ831" s="9"/>
      <c r="PA831" s="9"/>
      <c r="PB831" s="9"/>
      <c r="PC831" s="9"/>
      <c r="PD831" s="9"/>
      <c r="PE831" s="9"/>
      <c r="PF831" s="9"/>
      <c r="PG831" s="9"/>
      <c r="PH831" s="9"/>
      <c r="PI831" s="9"/>
      <c r="PJ831" s="9"/>
      <c r="PK831" s="9"/>
      <c r="PL831" s="9"/>
      <c r="PM831" s="9"/>
      <c r="PN831" s="9"/>
      <c r="PO831" s="9"/>
      <c r="PP831" s="9"/>
      <c r="PQ831" s="9"/>
      <c r="PR831" s="9"/>
      <c r="PS831" s="9"/>
      <c r="PT831" s="9"/>
      <c r="PU831" s="9"/>
      <c r="PV831" s="9"/>
      <c r="PW831" s="9"/>
      <c r="PX831" s="9"/>
      <c r="PY831" s="9"/>
      <c r="PZ831" s="9"/>
      <c r="QA831" s="9"/>
      <c r="QB831" s="9"/>
      <c r="QC831" s="9"/>
      <c r="QD831" s="9"/>
      <c r="QE831" s="9"/>
      <c r="QF831" s="9"/>
      <c r="QG831" s="9"/>
      <c r="QH831" s="9"/>
      <c r="QI831" s="9"/>
      <c r="QJ831" s="9"/>
      <c r="QK831" s="9"/>
      <c r="QL831" s="9"/>
      <c r="QM831" s="9"/>
      <c r="QN831" s="9"/>
      <c r="QO831" s="9"/>
      <c r="QP831" s="9"/>
      <c r="QQ831" s="9"/>
      <c r="QR831" s="9"/>
      <c r="QS831" s="9"/>
      <c r="QT831" s="9"/>
      <c r="QU831" s="9"/>
      <c r="QV831" s="9"/>
      <c r="QW831" s="9"/>
      <c r="QX831" s="9"/>
      <c r="QY831" s="9"/>
      <c r="QZ831" s="9"/>
      <c r="RA831" s="9"/>
      <c r="RB831" s="9"/>
      <c r="RC831" s="9"/>
      <c r="RD831" s="9"/>
      <c r="RE831" s="9"/>
      <c r="RF831" s="9"/>
      <c r="RG831" s="9"/>
      <c r="RH831" s="9"/>
      <c r="RI831" s="9"/>
      <c r="RJ831" s="9"/>
      <c r="RK831" s="9"/>
      <c r="RL831" s="9"/>
      <c r="RM831" s="9"/>
      <c r="RN831" s="9"/>
      <c r="RO831" s="9"/>
      <c r="RP831" s="9"/>
      <c r="RQ831" s="9"/>
      <c r="RR831" s="9"/>
      <c r="RS831" s="9"/>
      <c r="RT831" s="9"/>
      <c r="RU831" s="9"/>
      <c r="RV831" s="9"/>
      <c r="RW831" s="9"/>
      <c r="RX831" s="9"/>
      <c r="RY831" s="9"/>
      <c r="RZ831" s="9"/>
      <c r="SA831" s="9"/>
      <c r="SB831" s="9"/>
      <c r="SC831" s="9"/>
      <c r="SD831" s="9"/>
      <c r="SE831" s="9"/>
      <c r="SF831" s="9"/>
      <c r="SG831" s="9"/>
      <c r="SH831" s="9"/>
      <c r="SI831" s="9"/>
      <c r="SJ831" s="9"/>
      <c r="SK831" s="9"/>
      <c r="SL831" s="9"/>
      <c r="SM831" s="9"/>
      <c r="SN831" s="9"/>
      <c r="SO831" s="9"/>
      <c r="SP831" s="9"/>
      <c r="SQ831" s="9"/>
      <c r="SR831" s="9"/>
      <c r="SS831" s="9"/>
      <c r="ST831" s="9"/>
      <c r="SU831" s="9"/>
      <c r="SV831" s="9"/>
      <c r="SW831" s="9"/>
      <c r="SX831" s="9"/>
      <c r="SY831" s="9"/>
      <c r="SZ831" s="9"/>
      <c r="TA831" s="9"/>
      <c r="TB831" s="9"/>
      <c r="TC831" s="9"/>
      <c r="TD831" s="9"/>
      <c r="TE831" s="9"/>
      <c r="TF831" s="9"/>
      <c r="TG831" s="9"/>
      <c r="TH831" s="9"/>
      <c r="TI831" s="9"/>
      <c r="TJ831" s="9"/>
      <c r="TK831" s="9"/>
      <c r="TL831" s="9"/>
      <c r="TM831" s="9"/>
      <c r="TN831" s="9"/>
      <c r="TO831" s="9"/>
      <c r="TP831" s="9"/>
      <c r="TQ831" s="9"/>
      <c r="TR831" s="9"/>
      <c r="TS831" s="9"/>
      <c r="TT831" s="9"/>
      <c r="TU831" s="9"/>
      <c r="TV831" s="9"/>
      <c r="TW831" s="9"/>
      <c r="TX831" s="9"/>
      <c r="TY831" s="9"/>
      <c r="TZ831" s="9"/>
      <c r="UA831" s="9"/>
      <c r="UB831" s="9"/>
      <c r="UC831" s="9"/>
      <c r="UD831" s="9"/>
      <c r="UE831" s="9"/>
      <c r="UF831" s="9"/>
      <c r="UG831" s="9"/>
      <c r="UH831" s="9"/>
      <c r="UI831" s="9"/>
      <c r="UJ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9"/>
      <c r="IA832" s="9"/>
      <c r="IB832" s="9"/>
      <c r="IC832" s="9"/>
      <c r="ID832" s="9"/>
      <c r="IE832" s="9"/>
      <c r="IF832" s="9"/>
      <c r="IG832" s="9"/>
      <c r="IH832" s="9"/>
      <c r="II832" s="9"/>
      <c r="IJ832" s="9"/>
      <c r="IK832" s="9"/>
      <c r="IL832" s="9"/>
      <c r="IM832" s="9"/>
      <c r="IN832" s="9"/>
      <c r="IO832" s="9"/>
      <c r="IP832" s="9"/>
      <c r="IQ832" s="9"/>
      <c r="IR832" s="9"/>
      <c r="IS832" s="9"/>
      <c r="IT832" s="9"/>
      <c r="IU832" s="9"/>
      <c r="IV832" s="9"/>
      <c r="IW832" s="9"/>
      <c r="IX832" s="9"/>
      <c r="IY832" s="9"/>
      <c r="IZ832" s="9"/>
      <c r="JA832" s="9"/>
      <c r="JB832" s="9"/>
      <c r="JC832" s="9"/>
      <c r="JD832" s="9"/>
      <c r="JE832" s="9"/>
      <c r="JF832" s="9"/>
      <c r="JG832" s="9"/>
      <c r="JH832" s="9"/>
      <c r="JI832" s="9"/>
      <c r="JJ832" s="9"/>
      <c r="JK832" s="9"/>
      <c r="JL832" s="9"/>
      <c r="JM832" s="9"/>
      <c r="JN832" s="9"/>
      <c r="JO832" s="9"/>
      <c r="JP832" s="9"/>
      <c r="JQ832" s="9"/>
      <c r="JR832" s="9"/>
      <c r="JS832" s="9"/>
      <c r="JT832" s="9"/>
      <c r="JU832" s="9"/>
      <c r="JV832" s="9"/>
      <c r="JW832" s="9"/>
      <c r="JX832" s="9"/>
      <c r="JY832" s="9"/>
      <c r="JZ832" s="9"/>
      <c r="KA832" s="9"/>
      <c r="KB832" s="9"/>
      <c r="KC832" s="9"/>
      <c r="KD832" s="9"/>
      <c r="KE832" s="9"/>
      <c r="KF832" s="9"/>
      <c r="KG832" s="9"/>
      <c r="KH832" s="9"/>
      <c r="KI832" s="9"/>
      <c r="KJ832" s="9"/>
      <c r="KK832" s="9"/>
      <c r="KL832" s="9"/>
      <c r="KM832" s="9"/>
      <c r="KN832" s="9"/>
      <c r="KO832" s="9"/>
      <c r="KP832" s="9"/>
      <c r="KQ832" s="9"/>
      <c r="KR832" s="9"/>
      <c r="KS832" s="9"/>
      <c r="KT832" s="9"/>
      <c r="KU832" s="9"/>
      <c r="KV832" s="9"/>
      <c r="KW832" s="9"/>
      <c r="KX832" s="9"/>
      <c r="KY832" s="9"/>
      <c r="KZ832" s="9"/>
      <c r="LA832" s="9"/>
      <c r="LB832" s="9"/>
      <c r="LC832" s="9"/>
      <c r="LD832" s="9"/>
      <c r="LE832" s="9"/>
      <c r="LF832" s="9"/>
      <c r="LG832" s="9"/>
      <c r="LH832" s="9"/>
      <c r="LI832" s="9"/>
      <c r="LJ832" s="9"/>
      <c r="LK832" s="9"/>
      <c r="LL832" s="9"/>
      <c r="LM832" s="9"/>
      <c r="LN832" s="9"/>
      <c r="LO832" s="9"/>
      <c r="LP832" s="9"/>
      <c r="LQ832" s="9"/>
      <c r="LR832" s="9"/>
      <c r="LS832" s="9"/>
      <c r="LT832" s="9"/>
      <c r="LU832" s="9"/>
      <c r="LV832" s="9"/>
      <c r="LW832" s="9"/>
      <c r="LX832" s="9"/>
      <c r="LY832" s="9"/>
      <c r="LZ832" s="9"/>
      <c r="MA832" s="9"/>
      <c r="MB832" s="9"/>
      <c r="MC832" s="9"/>
      <c r="MD832" s="9"/>
      <c r="ME832" s="9"/>
      <c r="MF832" s="9"/>
      <c r="MG832" s="9"/>
      <c r="MH832" s="9"/>
      <c r="MI832" s="9"/>
      <c r="MJ832" s="9"/>
      <c r="MK832" s="9"/>
      <c r="ML832" s="9"/>
      <c r="MM832" s="9"/>
      <c r="MN832" s="9"/>
      <c r="MO832" s="9"/>
      <c r="MP832" s="9"/>
      <c r="MQ832" s="9"/>
      <c r="MR832" s="9"/>
      <c r="MS832" s="9"/>
      <c r="MT832" s="9"/>
      <c r="MU832" s="9"/>
      <c r="MV832" s="9"/>
      <c r="MW832" s="9"/>
      <c r="MX832" s="9"/>
      <c r="MY832" s="9"/>
      <c r="MZ832" s="9"/>
      <c r="NA832" s="9"/>
      <c r="NB832" s="9"/>
      <c r="NC832" s="9"/>
      <c r="ND832" s="9"/>
      <c r="NE832" s="9"/>
      <c r="NF832" s="9"/>
      <c r="NG832" s="9"/>
      <c r="NH832" s="9"/>
      <c r="NI832" s="9"/>
      <c r="NJ832" s="9"/>
      <c r="NK832" s="9"/>
      <c r="NL832" s="9"/>
      <c r="NM832" s="9"/>
      <c r="NN832" s="9"/>
      <c r="NO832" s="9"/>
      <c r="NP832" s="9"/>
      <c r="NQ832" s="9"/>
      <c r="NR832" s="9"/>
      <c r="NS832" s="9"/>
      <c r="NT832" s="9"/>
      <c r="NU832" s="9"/>
      <c r="NV832" s="9"/>
      <c r="NW832" s="9"/>
      <c r="NX832" s="9"/>
      <c r="NY832" s="9"/>
      <c r="NZ832" s="9"/>
      <c r="OA832" s="9"/>
      <c r="OB832" s="9"/>
      <c r="OC832" s="9"/>
      <c r="OD832" s="9"/>
      <c r="OE832" s="9"/>
      <c r="OF832" s="9"/>
      <c r="OG832" s="9"/>
      <c r="OH832" s="9"/>
      <c r="OI832" s="9"/>
      <c r="OJ832" s="9"/>
      <c r="OK832" s="9"/>
      <c r="OL832" s="9"/>
      <c r="OM832" s="9"/>
      <c r="ON832" s="9"/>
      <c r="OO832" s="9"/>
      <c r="OP832" s="9"/>
      <c r="OQ832" s="9"/>
      <c r="OR832" s="9"/>
      <c r="OS832" s="9"/>
      <c r="OT832" s="9"/>
      <c r="OU832" s="9"/>
      <c r="OV832" s="9"/>
      <c r="OW832" s="9"/>
      <c r="OX832" s="9"/>
      <c r="OY832" s="9"/>
      <c r="OZ832" s="9"/>
      <c r="PA832" s="9"/>
      <c r="PB832" s="9"/>
      <c r="PC832" s="9"/>
      <c r="PD832" s="9"/>
      <c r="PE832" s="9"/>
      <c r="PF832" s="9"/>
      <c r="PG832" s="9"/>
      <c r="PH832" s="9"/>
      <c r="PI832" s="9"/>
      <c r="PJ832" s="9"/>
      <c r="PK832" s="9"/>
      <c r="PL832" s="9"/>
      <c r="PM832" s="9"/>
      <c r="PN832" s="9"/>
      <c r="PO832" s="9"/>
      <c r="PP832" s="9"/>
      <c r="PQ832" s="9"/>
      <c r="PR832" s="9"/>
      <c r="PS832" s="9"/>
      <c r="PT832" s="9"/>
      <c r="PU832" s="9"/>
      <c r="PV832" s="9"/>
      <c r="PW832" s="9"/>
      <c r="PX832" s="9"/>
      <c r="PY832" s="9"/>
      <c r="PZ832" s="9"/>
      <c r="QA832" s="9"/>
      <c r="QB832" s="9"/>
      <c r="QC832" s="9"/>
      <c r="QD832" s="9"/>
      <c r="QE832" s="9"/>
      <c r="QF832" s="9"/>
      <c r="QG832" s="9"/>
      <c r="QH832" s="9"/>
      <c r="QI832" s="9"/>
      <c r="QJ832" s="9"/>
      <c r="QK832" s="9"/>
      <c r="QL832" s="9"/>
      <c r="QM832" s="9"/>
      <c r="QN832" s="9"/>
      <c r="QO832" s="9"/>
      <c r="QP832" s="9"/>
      <c r="QQ832" s="9"/>
      <c r="QR832" s="9"/>
      <c r="QS832" s="9"/>
      <c r="QT832" s="9"/>
      <c r="QU832" s="9"/>
      <c r="QV832" s="9"/>
      <c r="QW832" s="9"/>
      <c r="QX832" s="9"/>
      <c r="QY832" s="9"/>
      <c r="QZ832" s="9"/>
      <c r="RA832" s="9"/>
      <c r="RB832" s="9"/>
      <c r="RC832" s="9"/>
      <c r="RD832" s="9"/>
      <c r="RE832" s="9"/>
      <c r="RF832" s="9"/>
      <c r="RG832" s="9"/>
      <c r="RH832" s="9"/>
      <c r="RI832" s="9"/>
      <c r="RJ832" s="9"/>
      <c r="RK832" s="9"/>
      <c r="RL832" s="9"/>
      <c r="RM832" s="9"/>
      <c r="RN832" s="9"/>
      <c r="RO832" s="9"/>
      <c r="RP832" s="9"/>
      <c r="RQ832" s="9"/>
      <c r="RR832" s="9"/>
      <c r="RS832" s="9"/>
      <c r="RT832" s="9"/>
      <c r="RU832" s="9"/>
      <c r="RV832" s="9"/>
      <c r="RW832" s="9"/>
      <c r="RX832" s="9"/>
      <c r="RY832" s="9"/>
      <c r="RZ832" s="9"/>
      <c r="SA832" s="9"/>
      <c r="SB832" s="9"/>
      <c r="SC832" s="9"/>
      <c r="SD832" s="9"/>
      <c r="SE832" s="9"/>
      <c r="SF832" s="9"/>
      <c r="SG832" s="9"/>
      <c r="SH832" s="9"/>
      <c r="SI832" s="9"/>
      <c r="SJ832" s="9"/>
      <c r="SK832" s="9"/>
      <c r="SL832" s="9"/>
      <c r="SM832" s="9"/>
      <c r="SN832" s="9"/>
      <c r="SO832" s="9"/>
      <c r="SP832" s="9"/>
      <c r="SQ832" s="9"/>
      <c r="SR832" s="9"/>
      <c r="SS832" s="9"/>
      <c r="ST832" s="9"/>
      <c r="SU832" s="9"/>
      <c r="SV832" s="9"/>
      <c r="SW832" s="9"/>
      <c r="SX832" s="9"/>
      <c r="SY832" s="9"/>
      <c r="SZ832" s="9"/>
      <c r="TA832" s="9"/>
      <c r="TB832" s="9"/>
      <c r="TC832" s="9"/>
      <c r="TD832" s="9"/>
      <c r="TE832" s="9"/>
      <c r="TF832" s="9"/>
      <c r="TG832" s="9"/>
      <c r="TH832" s="9"/>
      <c r="TI832" s="9"/>
      <c r="TJ832" s="9"/>
      <c r="TK832" s="9"/>
      <c r="TL832" s="9"/>
      <c r="TM832" s="9"/>
      <c r="TN832" s="9"/>
      <c r="TO832" s="9"/>
      <c r="TP832" s="9"/>
      <c r="TQ832" s="9"/>
      <c r="TR832" s="9"/>
      <c r="TS832" s="9"/>
      <c r="TT832" s="9"/>
      <c r="TU832" s="9"/>
      <c r="TV832" s="9"/>
      <c r="TW832" s="9"/>
      <c r="TX832" s="9"/>
      <c r="TY832" s="9"/>
      <c r="TZ832" s="9"/>
      <c r="UA832" s="9"/>
      <c r="UB832" s="9"/>
      <c r="UC832" s="9"/>
      <c r="UD832" s="9"/>
      <c r="UE832" s="9"/>
      <c r="UF832" s="9"/>
      <c r="UG832" s="9"/>
      <c r="UH832" s="9"/>
      <c r="UI832" s="9"/>
      <c r="UJ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  <c r="HO833" s="9"/>
      <c r="HP833" s="9"/>
      <c r="HQ833" s="9"/>
      <c r="HR833" s="9"/>
      <c r="HS833" s="9"/>
      <c r="HT833" s="9"/>
      <c r="HU833" s="9"/>
      <c r="HV833" s="9"/>
      <c r="HW833" s="9"/>
      <c r="HX833" s="9"/>
      <c r="HY833" s="9"/>
      <c r="HZ833" s="9"/>
      <c r="IA833" s="9"/>
      <c r="IB833" s="9"/>
      <c r="IC833" s="9"/>
      <c r="ID833" s="9"/>
      <c r="IE833" s="9"/>
      <c r="IF833" s="9"/>
      <c r="IG833" s="9"/>
      <c r="IH833" s="9"/>
      <c r="II833" s="9"/>
      <c r="IJ833" s="9"/>
      <c r="IK833" s="9"/>
      <c r="IL833" s="9"/>
      <c r="IM833" s="9"/>
      <c r="IN833" s="9"/>
      <c r="IO833" s="9"/>
      <c r="IP833" s="9"/>
      <c r="IQ833" s="9"/>
      <c r="IR833" s="9"/>
      <c r="IS833" s="9"/>
      <c r="IT833" s="9"/>
      <c r="IU833" s="9"/>
      <c r="IV833" s="9"/>
      <c r="IW833" s="9"/>
      <c r="IX833" s="9"/>
      <c r="IY833" s="9"/>
      <c r="IZ833" s="9"/>
      <c r="JA833" s="9"/>
      <c r="JB833" s="9"/>
      <c r="JC833" s="9"/>
      <c r="JD833" s="9"/>
      <c r="JE833" s="9"/>
      <c r="JF833" s="9"/>
      <c r="JG833" s="9"/>
      <c r="JH833" s="9"/>
      <c r="JI833" s="9"/>
      <c r="JJ833" s="9"/>
      <c r="JK833" s="9"/>
      <c r="JL833" s="9"/>
      <c r="JM833" s="9"/>
      <c r="JN833" s="9"/>
      <c r="JO833" s="9"/>
      <c r="JP833" s="9"/>
      <c r="JQ833" s="9"/>
      <c r="JR833" s="9"/>
      <c r="JS833" s="9"/>
      <c r="JT833" s="9"/>
      <c r="JU833" s="9"/>
      <c r="JV833" s="9"/>
      <c r="JW833" s="9"/>
      <c r="JX833" s="9"/>
      <c r="JY833" s="9"/>
      <c r="JZ833" s="9"/>
      <c r="KA833" s="9"/>
      <c r="KB833" s="9"/>
      <c r="KC833" s="9"/>
      <c r="KD833" s="9"/>
      <c r="KE833" s="9"/>
      <c r="KF833" s="9"/>
      <c r="KG833" s="9"/>
      <c r="KH833" s="9"/>
      <c r="KI833" s="9"/>
      <c r="KJ833" s="9"/>
      <c r="KK833" s="9"/>
      <c r="KL833" s="9"/>
      <c r="KM833" s="9"/>
      <c r="KN833" s="9"/>
      <c r="KO833" s="9"/>
      <c r="KP833" s="9"/>
      <c r="KQ833" s="9"/>
      <c r="KR833" s="9"/>
      <c r="KS833" s="9"/>
      <c r="KT833" s="9"/>
      <c r="KU833" s="9"/>
      <c r="KV833" s="9"/>
      <c r="KW833" s="9"/>
      <c r="KX833" s="9"/>
      <c r="KY833" s="9"/>
      <c r="KZ833" s="9"/>
      <c r="LA833" s="9"/>
      <c r="LB833" s="9"/>
      <c r="LC833" s="9"/>
      <c r="LD833" s="9"/>
      <c r="LE833" s="9"/>
      <c r="LF833" s="9"/>
      <c r="LG833" s="9"/>
      <c r="LH833" s="9"/>
      <c r="LI833" s="9"/>
      <c r="LJ833" s="9"/>
      <c r="LK833" s="9"/>
      <c r="LL833" s="9"/>
      <c r="LM833" s="9"/>
      <c r="LN833" s="9"/>
      <c r="LO833" s="9"/>
      <c r="LP833" s="9"/>
      <c r="LQ833" s="9"/>
      <c r="LR833" s="9"/>
      <c r="LS833" s="9"/>
      <c r="LT833" s="9"/>
      <c r="LU833" s="9"/>
      <c r="LV833" s="9"/>
      <c r="LW833" s="9"/>
      <c r="LX833" s="9"/>
      <c r="LY833" s="9"/>
      <c r="LZ833" s="9"/>
      <c r="MA833" s="9"/>
      <c r="MB833" s="9"/>
      <c r="MC833" s="9"/>
      <c r="MD833" s="9"/>
      <c r="ME833" s="9"/>
      <c r="MF833" s="9"/>
      <c r="MG833" s="9"/>
      <c r="MH833" s="9"/>
      <c r="MI833" s="9"/>
      <c r="MJ833" s="9"/>
      <c r="MK833" s="9"/>
      <c r="ML833" s="9"/>
      <c r="MM833" s="9"/>
      <c r="MN833" s="9"/>
      <c r="MO833" s="9"/>
      <c r="MP833" s="9"/>
      <c r="MQ833" s="9"/>
      <c r="MR833" s="9"/>
      <c r="MS833" s="9"/>
      <c r="MT833" s="9"/>
      <c r="MU833" s="9"/>
      <c r="MV833" s="9"/>
      <c r="MW833" s="9"/>
      <c r="MX833" s="9"/>
      <c r="MY833" s="9"/>
      <c r="MZ833" s="9"/>
      <c r="NA833" s="9"/>
      <c r="NB833" s="9"/>
      <c r="NC833" s="9"/>
      <c r="ND833" s="9"/>
      <c r="NE833" s="9"/>
      <c r="NF833" s="9"/>
      <c r="NG833" s="9"/>
      <c r="NH833" s="9"/>
      <c r="NI833" s="9"/>
      <c r="NJ833" s="9"/>
      <c r="NK833" s="9"/>
      <c r="NL833" s="9"/>
      <c r="NM833" s="9"/>
      <c r="NN833" s="9"/>
      <c r="NO833" s="9"/>
      <c r="NP833" s="9"/>
      <c r="NQ833" s="9"/>
      <c r="NR833" s="9"/>
      <c r="NS833" s="9"/>
      <c r="NT833" s="9"/>
      <c r="NU833" s="9"/>
      <c r="NV833" s="9"/>
      <c r="NW833" s="9"/>
      <c r="NX833" s="9"/>
      <c r="NY833" s="9"/>
      <c r="NZ833" s="9"/>
      <c r="OA833" s="9"/>
      <c r="OB833" s="9"/>
      <c r="OC833" s="9"/>
      <c r="OD833" s="9"/>
      <c r="OE833" s="9"/>
      <c r="OF833" s="9"/>
      <c r="OG833" s="9"/>
      <c r="OH833" s="9"/>
      <c r="OI833" s="9"/>
      <c r="OJ833" s="9"/>
      <c r="OK833" s="9"/>
      <c r="OL833" s="9"/>
      <c r="OM833" s="9"/>
      <c r="ON833" s="9"/>
      <c r="OO833" s="9"/>
      <c r="OP833" s="9"/>
      <c r="OQ833" s="9"/>
      <c r="OR833" s="9"/>
      <c r="OS833" s="9"/>
      <c r="OT833" s="9"/>
      <c r="OU833" s="9"/>
      <c r="OV833" s="9"/>
      <c r="OW833" s="9"/>
      <c r="OX833" s="9"/>
      <c r="OY833" s="9"/>
      <c r="OZ833" s="9"/>
      <c r="PA833" s="9"/>
      <c r="PB833" s="9"/>
      <c r="PC833" s="9"/>
      <c r="PD833" s="9"/>
      <c r="PE833" s="9"/>
      <c r="PF833" s="9"/>
      <c r="PG833" s="9"/>
      <c r="PH833" s="9"/>
      <c r="PI833" s="9"/>
      <c r="PJ833" s="9"/>
      <c r="PK833" s="9"/>
      <c r="PL833" s="9"/>
      <c r="PM833" s="9"/>
      <c r="PN833" s="9"/>
      <c r="PO833" s="9"/>
      <c r="PP833" s="9"/>
      <c r="PQ833" s="9"/>
      <c r="PR833" s="9"/>
      <c r="PS833" s="9"/>
      <c r="PT833" s="9"/>
      <c r="PU833" s="9"/>
      <c r="PV833" s="9"/>
      <c r="PW833" s="9"/>
      <c r="PX833" s="9"/>
      <c r="PY833" s="9"/>
      <c r="PZ833" s="9"/>
      <c r="QA833" s="9"/>
      <c r="QB833" s="9"/>
      <c r="QC833" s="9"/>
      <c r="QD833" s="9"/>
      <c r="QE833" s="9"/>
      <c r="QF833" s="9"/>
      <c r="QG833" s="9"/>
      <c r="QH833" s="9"/>
      <c r="QI833" s="9"/>
      <c r="QJ833" s="9"/>
      <c r="QK833" s="9"/>
      <c r="QL833" s="9"/>
      <c r="QM833" s="9"/>
      <c r="QN833" s="9"/>
      <c r="QO833" s="9"/>
      <c r="QP833" s="9"/>
      <c r="QQ833" s="9"/>
      <c r="QR833" s="9"/>
      <c r="QS833" s="9"/>
      <c r="QT833" s="9"/>
      <c r="QU833" s="9"/>
      <c r="QV833" s="9"/>
      <c r="QW833" s="9"/>
      <c r="QX833" s="9"/>
      <c r="QY833" s="9"/>
      <c r="QZ833" s="9"/>
      <c r="RA833" s="9"/>
      <c r="RB833" s="9"/>
      <c r="RC833" s="9"/>
      <c r="RD833" s="9"/>
      <c r="RE833" s="9"/>
      <c r="RF833" s="9"/>
      <c r="RG833" s="9"/>
      <c r="RH833" s="9"/>
      <c r="RI833" s="9"/>
      <c r="RJ833" s="9"/>
      <c r="RK833" s="9"/>
      <c r="RL833" s="9"/>
      <c r="RM833" s="9"/>
      <c r="RN833" s="9"/>
      <c r="RO833" s="9"/>
      <c r="RP833" s="9"/>
      <c r="RQ833" s="9"/>
      <c r="RR833" s="9"/>
      <c r="RS833" s="9"/>
      <c r="RT833" s="9"/>
      <c r="RU833" s="9"/>
      <c r="RV833" s="9"/>
      <c r="RW833" s="9"/>
      <c r="RX833" s="9"/>
      <c r="RY833" s="9"/>
      <c r="RZ833" s="9"/>
      <c r="SA833" s="9"/>
      <c r="SB833" s="9"/>
      <c r="SC833" s="9"/>
      <c r="SD833" s="9"/>
      <c r="SE833" s="9"/>
      <c r="SF833" s="9"/>
      <c r="SG833" s="9"/>
      <c r="SH833" s="9"/>
      <c r="SI833" s="9"/>
      <c r="SJ833" s="9"/>
      <c r="SK833" s="9"/>
      <c r="SL833" s="9"/>
      <c r="SM833" s="9"/>
      <c r="SN833" s="9"/>
      <c r="SO833" s="9"/>
      <c r="SP833" s="9"/>
      <c r="SQ833" s="9"/>
      <c r="SR833" s="9"/>
      <c r="SS833" s="9"/>
      <c r="ST833" s="9"/>
      <c r="SU833" s="9"/>
      <c r="SV833" s="9"/>
      <c r="SW833" s="9"/>
      <c r="SX833" s="9"/>
      <c r="SY833" s="9"/>
      <c r="SZ833" s="9"/>
      <c r="TA833" s="9"/>
      <c r="TB833" s="9"/>
      <c r="TC833" s="9"/>
      <c r="TD833" s="9"/>
      <c r="TE833" s="9"/>
      <c r="TF833" s="9"/>
      <c r="TG833" s="9"/>
      <c r="TH833" s="9"/>
      <c r="TI833" s="9"/>
      <c r="TJ833" s="9"/>
      <c r="TK833" s="9"/>
      <c r="TL833" s="9"/>
      <c r="TM833" s="9"/>
      <c r="TN833" s="9"/>
      <c r="TO833" s="9"/>
      <c r="TP833" s="9"/>
      <c r="TQ833" s="9"/>
      <c r="TR833" s="9"/>
      <c r="TS833" s="9"/>
      <c r="TT833" s="9"/>
      <c r="TU833" s="9"/>
      <c r="TV833" s="9"/>
      <c r="TW833" s="9"/>
      <c r="TX833" s="9"/>
      <c r="TY833" s="9"/>
      <c r="TZ833" s="9"/>
      <c r="UA833" s="9"/>
      <c r="UB833" s="9"/>
      <c r="UC833" s="9"/>
      <c r="UD833" s="9"/>
      <c r="UE833" s="9"/>
      <c r="UF833" s="9"/>
      <c r="UG833" s="9"/>
      <c r="UH833" s="9"/>
      <c r="UI833" s="9"/>
      <c r="UJ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9"/>
      <c r="IA834" s="9"/>
      <c r="IB834" s="9"/>
      <c r="IC834" s="9"/>
      <c r="ID834" s="9"/>
      <c r="IE834" s="9"/>
      <c r="IF834" s="9"/>
      <c r="IG834" s="9"/>
      <c r="IH834" s="9"/>
      <c r="II834" s="9"/>
      <c r="IJ834" s="9"/>
      <c r="IK834" s="9"/>
      <c r="IL834" s="9"/>
      <c r="IM834" s="9"/>
      <c r="IN834" s="9"/>
      <c r="IO834" s="9"/>
      <c r="IP834" s="9"/>
      <c r="IQ834" s="9"/>
      <c r="IR834" s="9"/>
      <c r="IS834" s="9"/>
      <c r="IT834" s="9"/>
      <c r="IU834" s="9"/>
      <c r="IV834" s="9"/>
      <c r="IW834" s="9"/>
      <c r="IX834" s="9"/>
      <c r="IY834" s="9"/>
      <c r="IZ834" s="9"/>
      <c r="JA834" s="9"/>
      <c r="JB834" s="9"/>
      <c r="JC834" s="9"/>
      <c r="JD834" s="9"/>
      <c r="JE834" s="9"/>
      <c r="JF834" s="9"/>
      <c r="JG834" s="9"/>
      <c r="JH834" s="9"/>
      <c r="JI834" s="9"/>
      <c r="JJ834" s="9"/>
      <c r="JK834" s="9"/>
      <c r="JL834" s="9"/>
      <c r="JM834" s="9"/>
      <c r="JN834" s="9"/>
      <c r="JO834" s="9"/>
      <c r="JP834" s="9"/>
      <c r="JQ834" s="9"/>
      <c r="JR834" s="9"/>
      <c r="JS834" s="9"/>
      <c r="JT834" s="9"/>
      <c r="JU834" s="9"/>
      <c r="JV834" s="9"/>
      <c r="JW834" s="9"/>
      <c r="JX834" s="9"/>
      <c r="JY834" s="9"/>
      <c r="JZ834" s="9"/>
      <c r="KA834" s="9"/>
      <c r="KB834" s="9"/>
      <c r="KC834" s="9"/>
      <c r="KD834" s="9"/>
      <c r="KE834" s="9"/>
      <c r="KF834" s="9"/>
      <c r="KG834" s="9"/>
      <c r="KH834" s="9"/>
      <c r="KI834" s="9"/>
      <c r="KJ834" s="9"/>
      <c r="KK834" s="9"/>
      <c r="KL834" s="9"/>
      <c r="KM834" s="9"/>
      <c r="KN834" s="9"/>
      <c r="KO834" s="9"/>
      <c r="KP834" s="9"/>
      <c r="KQ834" s="9"/>
      <c r="KR834" s="9"/>
      <c r="KS834" s="9"/>
      <c r="KT834" s="9"/>
      <c r="KU834" s="9"/>
      <c r="KV834" s="9"/>
      <c r="KW834" s="9"/>
      <c r="KX834" s="9"/>
      <c r="KY834" s="9"/>
      <c r="KZ834" s="9"/>
      <c r="LA834" s="9"/>
      <c r="LB834" s="9"/>
      <c r="LC834" s="9"/>
      <c r="LD834" s="9"/>
      <c r="LE834" s="9"/>
      <c r="LF834" s="9"/>
      <c r="LG834" s="9"/>
      <c r="LH834" s="9"/>
      <c r="LI834" s="9"/>
      <c r="LJ834" s="9"/>
      <c r="LK834" s="9"/>
      <c r="LL834" s="9"/>
      <c r="LM834" s="9"/>
      <c r="LN834" s="9"/>
      <c r="LO834" s="9"/>
      <c r="LP834" s="9"/>
      <c r="LQ834" s="9"/>
      <c r="LR834" s="9"/>
      <c r="LS834" s="9"/>
      <c r="LT834" s="9"/>
      <c r="LU834" s="9"/>
      <c r="LV834" s="9"/>
      <c r="LW834" s="9"/>
      <c r="LX834" s="9"/>
      <c r="LY834" s="9"/>
      <c r="LZ834" s="9"/>
      <c r="MA834" s="9"/>
      <c r="MB834" s="9"/>
      <c r="MC834" s="9"/>
      <c r="MD834" s="9"/>
      <c r="ME834" s="9"/>
      <c r="MF834" s="9"/>
      <c r="MG834" s="9"/>
      <c r="MH834" s="9"/>
      <c r="MI834" s="9"/>
      <c r="MJ834" s="9"/>
      <c r="MK834" s="9"/>
      <c r="ML834" s="9"/>
      <c r="MM834" s="9"/>
      <c r="MN834" s="9"/>
      <c r="MO834" s="9"/>
      <c r="MP834" s="9"/>
      <c r="MQ834" s="9"/>
      <c r="MR834" s="9"/>
      <c r="MS834" s="9"/>
      <c r="MT834" s="9"/>
      <c r="MU834" s="9"/>
      <c r="MV834" s="9"/>
      <c r="MW834" s="9"/>
      <c r="MX834" s="9"/>
      <c r="MY834" s="9"/>
      <c r="MZ834" s="9"/>
      <c r="NA834" s="9"/>
      <c r="NB834" s="9"/>
      <c r="NC834" s="9"/>
      <c r="ND834" s="9"/>
      <c r="NE834" s="9"/>
      <c r="NF834" s="9"/>
      <c r="NG834" s="9"/>
      <c r="NH834" s="9"/>
      <c r="NI834" s="9"/>
      <c r="NJ834" s="9"/>
      <c r="NK834" s="9"/>
      <c r="NL834" s="9"/>
      <c r="NM834" s="9"/>
      <c r="NN834" s="9"/>
      <c r="NO834" s="9"/>
      <c r="NP834" s="9"/>
      <c r="NQ834" s="9"/>
      <c r="NR834" s="9"/>
      <c r="NS834" s="9"/>
      <c r="NT834" s="9"/>
      <c r="NU834" s="9"/>
      <c r="NV834" s="9"/>
      <c r="NW834" s="9"/>
      <c r="NX834" s="9"/>
      <c r="NY834" s="9"/>
      <c r="NZ834" s="9"/>
      <c r="OA834" s="9"/>
      <c r="OB834" s="9"/>
      <c r="OC834" s="9"/>
      <c r="OD834" s="9"/>
      <c r="OE834" s="9"/>
      <c r="OF834" s="9"/>
      <c r="OG834" s="9"/>
      <c r="OH834" s="9"/>
      <c r="OI834" s="9"/>
      <c r="OJ834" s="9"/>
      <c r="OK834" s="9"/>
      <c r="OL834" s="9"/>
      <c r="OM834" s="9"/>
      <c r="ON834" s="9"/>
      <c r="OO834" s="9"/>
      <c r="OP834" s="9"/>
      <c r="OQ834" s="9"/>
      <c r="OR834" s="9"/>
      <c r="OS834" s="9"/>
      <c r="OT834" s="9"/>
      <c r="OU834" s="9"/>
      <c r="OV834" s="9"/>
      <c r="OW834" s="9"/>
      <c r="OX834" s="9"/>
      <c r="OY834" s="9"/>
      <c r="OZ834" s="9"/>
      <c r="PA834" s="9"/>
      <c r="PB834" s="9"/>
      <c r="PC834" s="9"/>
      <c r="PD834" s="9"/>
      <c r="PE834" s="9"/>
      <c r="PF834" s="9"/>
      <c r="PG834" s="9"/>
      <c r="PH834" s="9"/>
      <c r="PI834" s="9"/>
      <c r="PJ834" s="9"/>
      <c r="PK834" s="9"/>
      <c r="PL834" s="9"/>
      <c r="PM834" s="9"/>
      <c r="PN834" s="9"/>
      <c r="PO834" s="9"/>
      <c r="PP834" s="9"/>
      <c r="PQ834" s="9"/>
      <c r="PR834" s="9"/>
      <c r="PS834" s="9"/>
      <c r="PT834" s="9"/>
      <c r="PU834" s="9"/>
      <c r="PV834" s="9"/>
      <c r="PW834" s="9"/>
      <c r="PX834" s="9"/>
      <c r="PY834" s="9"/>
      <c r="PZ834" s="9"/>
      <c r="QA834" s="9"/>
      <c r="QB834" s="9"/>
      <c r="QC834" s="9"/>
      <c r="QD834" s="9"/>
      <c r="QE834" s="9"/>
      <c r="QF834" s="9"/>
      <c r="QG834" s="9"/>
      <c r="QH834" s="9"/>
      <c r="QI834" s="9"/>
      <c r="QJ834" s="9"/>
      <c r="QK834" s="9"/>
      <c r="QL834" s="9"/>
      <c r="QM834" s="9"/>
      <c r="QN834" s="9"/>
      <c r="QO834" s="9"/>
      <c r="QP834" s="9"/>
      <c r="QQ834" s="9"/>
      <c r="QR834" s="9"/>
      <c r="QS834" s="9"/>
      <c r="QT834" s="9"/>
      <c r="QU834" s="9"/>
      <c r="QV834" s="9"/>
      <c r="QW834" s="9"/>
      <c r="QX834" s="9"/>
      <c r="QY834" s="9"/>
      <c r="QZ834" s="9"/>
      <c r="RA834" s="9"/>
      <c r="RB834" s="9"/>
      <c r="RC834" s="9"/>
      <c r="RD834" s="9"/>
      <c r="RE834" s="9"/>
      <c r="RF834" s="9"/>
      <c r="RG834" s="9"/>
      <c r="RH834" s="9"/>
      <c r="RI834" s="9"/>
      <c r="RJ834" s="9"/>
      <c r="RK834" s="9"/>
      <c r="RL834" s="9"/>
      <c r="RM834" s="9"/>
      <c r="RN834" s="9"/>
      <c r="RO834" s="9"/>
      <c r="RP834" s="9"/>
      <c r="RQ834" s="9"/>
      <c r="RR834" s="9"/>
      <c r="RS834" s="9"/>
      <c r="RT834" s="9"/>
      <c r="RU834" s="9"/>
      <c r="RV834" s="9"/>
      <c r="RW834" s="9"/>
      <c r="RX834" s="9"/>
      <c r="RY834" s="9"/>
      <c r="RZ834" s="9"/>
      <c r="SA834" s="9"/>
      <c r="SB834" s="9"/>
      <c r="SC834" s="9"/>
      <c r="SD834" s="9"/>
      <c r="SE834" s="9"/>
      <c r="SF834" s="9"/>
      <c r="SG834" s="9"/>
      <c r="SH834" s="9"/>
      <c r="SI834" s="9"/>
      <c r="SJ834" s="9"/>
      <c r="SK834" s="9"/>
      <c r="SL834" s="9"/>
      <c r="SM834" s="9"/>
      <c r="SN834" s="9"/>
      <c r="SO834" s="9"/>
      <c r="SP834" s="9"/>
      <c r="SQ834" s="9"/>
      <c r="SR834" s="9"/>
      <c r="SS834" s="9"/>
      <c r="ST834" s="9"/>
      <c r="SU834" s="9"/>
      <c r="SV834" s="9"/>
      <c r="SW834" s="9"/>
      <c r="SX834" s="9"/>
      <c r="SY834" s="9"/>
      <c r="SZ834" s="9"/>
      <c r="TA834" s="9"/>
      <c r="TB834" s="9"/>
      <c r="TC834" s="9"/>
      <c r="TD834" s="9"/>
      <c r="TE834" s="9"/>
      <c r="TF834" s="9"/>
      <c r="TG834" s="9"/>
      <c r="TH834" s="9"/>
      <c r="TI834" s="9"/>
      <c r="TJ834" s="9"/>
      <c r="TK834" s="9"/>
      <c r="TL834" s="9"/>
      <c r="TM834" s="9"/>
      <c r="TN834" s="9"/>
      <c r="TO834" s="9"/>
      <c r="TP834" s="9"/>
      <c r="TQ834" s="9"/>
      <c r="TR834" s="9"/>
      <c r="TS834" s="9"/>
      <c r="TT834" s="9"/>
      <c r="TU834" s="9"/>
      <c r="TV834" s="9"/>
      <c r="TW834" s="9"/>
      <c r="TX834" s="9"/>
      <c r="TY834" s="9"/>
      <c r="TZ834" s="9"/>
      <c r="UA834" s="9"/>
      <c r="UB834" s="9"/>
      <c r="UC834" s="9"/>
      <c r="UD834" s="9"/>
      <c r="UE834" s="9"/>
      <c r="UF834" s="9"/>
      <c r="UG834" s="9"/>
      <c r="UH834" s="9"/>
      <c r="UI834" s="9"/>
      <c r="UJ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9"/>
      <c r="IA835" s="9"/>
      <c r="IB835" s="9"/>
      <c r="IC835" s="9"/>
      <c r="ID835" s="9"/>
      <c r="IE835" s="9"/>
      <c r="IF835" s="9"/>
      <c r="IG835" s="9"/>
      <c r="IH835" s="9"/>
      <c r="II835" s="9"/>
      <c r="IJ835" s="9"/>
      <c r="IK835" s="9"/>
      <c r="IL835" s="9"/>
      <c r="IM835" s="9"/>
      <c r="IN835" s="9"/>
      <c r="IO835" s="9"/>
      <c r="IP835" s="9"/>
      <c r="IQ835" s="9"/>
      <c r="IR835" s="9"/>
      <c r="IS835" s="9"/>
      <c r="IT835" s="9"/>
      <c r="IU835" s="9"/>
      <c r="IV835" s="9"/>
      <c r="IW835" s="9"/>
      <c r="IX835" s="9"/>
      <c r="IY835" s="9"/>
      <c r="IZ835" s="9"/>
      <c r="JA835" s="9"/>
      <c r="JB835" s="9"/>
      <c r="JC835" s="9"/>
      <c r="JD835" s="9"/>
      <c r="JE835" s="9"/>
      <c r="JF835" s="9"/>
      <c r="JG835" s="9"/>
      <c r="JH835" s="9"/>
      <c r="JI835" s="9"/>
      <c r="JJ835" s="9"/>
      <c r="JK835" s="9"/>
      <c r="JL835" s="9"/>
      <c r="JM835" s="9"/>
      <c r="JN835" s="9"/>
      <c r="JO835" s="9"/>
      <c r="JP835" s="9"/>
      <c r="JQ835" s="9"/>
      <c r="JR835" s="9"/>
      <c r="JS835" s="9"/>
      <c r="JT835" s="9"/>
      <c r="JU835" s="9"/>
      <c r="JV835" s="9"/>
      <c r="JW835" s="9"/>
      <c r="JX835" s="9"/>
      <c r="JY835" s="9"/>
      <c r="JZ835" s="9"/>
      <c r="KA835" s="9"/>
      <c r="KB835" s="9"/>
      <c r="KC835" s="9"/>
      <c r="KD835" s="9"/>
      <c r="KE835" s="9"/>
      <c r="KF835" s="9"/>
      <c r="KG835" s="9"/>
      <c r="KH835" s="9"/>
      <c r="KI835" s="9"/>
      <c r="KJ835" s="9"/>
      <c r="KK835" s="9"/>
      <c r="KL835" s="9"/>
      <c r="KM835" s="9"/>
      <c r="KN835" s="9"/>
      <c r="KO835" s="9"/>
      <c r="KP835" s="9"/>
      <c r="KQ835" s="9"/>
      <c r="KR835" s="9"/>
      <c r="KS835" s="9"/>
      <c r="KT835" s="9"/>
      <c r="KU835" s="9"/>
      <c r="KV835" s="9"/>
      <c r="KW835" s="9"/>
      <c r="KX835" s="9"/>
      <c r="KY835" s="9"/>
      <c r="KZ835" s="9"/>
      <c r="LA835" s="9"/>
      <c r="LB835" s="9"/>
      <c r="LC835" s="9"/>
      <c r="LD835" s="9"/>
      <c r="LE835" s="9"/>
      <c r="LF835" s="9"/>
      <c r="LG835" s="9"/>
      <c r="LH835" s="9"/>
      <c r="LI835" s="9"/>
      <c r="LJ835" s="9"/>
      <c r="LK835" s="9"/>
      <c r="LL835" s="9"/>
      <c r="LM835" s="9"/>
      <c r="LN835" s="9"/>
      <c r="LO835" s="9"/>
      <c r="LP835" s="9"/>
      <c r="LQ835" s="9"/>
      <c r="LR835" s="9"/>
      <c r="LS835" s="9"/>
      <c r="LT835" s="9"/>
      <c r="LU835" s="9"/>
      <c r="LV835" s="9"/>
      <c r="LW835" s="9"/>
      <c r="LX835" s="9"/>
      <c r="LY835" s="9"/>
      <c r="LZ835" s="9"/>
      <c r="MA835" s="9"/>
      <c r="MB835" s="9"/>
      <c r="MC835" s="9"/>
      <c r="MD835" s="9"/>
      <c r="ME835" s="9"/>
      <c r="MF835" s="9"/>
      <c r="MG835" s="9"/>
      <c r="MH835" s="9"/>
      <c r="MI835" s="9"/>
      <c r="MJ835" s="9"/>
      <c r="MK835" s="9"/>
      <c r="ML835" s="9"/>
      <c r="MM835" s="9"/>
      <c r="MN835" s="9"/>
      <c r="MO835" s="9"/>
      <c r="MP835" s="9"/>
      <c r="MQ835" s="9"/>
      <c r="MR835" s="9"/>
      <c r="MS835" s="9"/>
      <c r="MT835" s="9"/>
      <c r="MU835" s="9"/>
      <c r="MV835" s="9"/>
      <c r="MW835" s="9"/>
      <c r="MX835" s="9"/>
      <c r="MY835" s="9"/>
      <c r="MZ835" s="9"/>
      <c r="NA835" s="9"/>
      <c r="NB835" s="9"/>
      <c r="NC835" s="9"/>
      <c r="ND835" s="9"/>
      <c r="NE835" s="9"/>
      <c r="NF835" s="9"/>
      <c r="NG835" s="9"/>
      <c r="NH835" s="9"/>
      <c r="NI835" s="9"/>
      <c r="NJ835" s="9"/>
      <c r="NK835" s="9"/>
      <c r="NL835" s="9"/>
      <c r="NM835" s="9"/>
      <c r="NN835" s="9"/>
      <c r="NO835" s="9"/>
      <c r="NP835" s="9"/>
      <c r="NQ835" s="9"/>
      <c r="NR835" s="9"/>
      <c r="NS835" s="9"/>
      <c r="NT835" s="9"/>
      <c r="NU835" s="9"/>
      <c r="NV835" s="9"/>
      <c r="NW835" s="9"/>
      <c r="NX835" s="9"/>
      <c r="NY835" s="9"/>
      <c r="NZ835" s="9"/>
      <c r="OA835" s="9"/>
      <c r="OB835" s="9"/>
      <c r="OC835" s="9"/>
      <c r="OD835" s="9"/>
      <c r="OE835" s="9"/>
      <c r="OF835" s="9"/>
      <c r="OG835" s="9"/>
      <c r="OH835" s="9"/>
      <c r="OI835" s="9"/>
      <c r="OJ835" s="9"/>
      <c r="OK835" s="9"/>
      <c r="OL835" s="9"/>
      <c r="OM835" s="9"/>
      <c r="ON835" s="9"/>
      <c r="OO835" s="9"/>
      <c r="OP835" s="9"/>
      <c r="OQ835" s="9"/>
      <c r="OR835" s="9"/>
      <c r="OS835" s="9"/>
      <c r="OT835" s="9"/>
      <c r="OU835" s="9"/>
      <c r="OV835" s="9"/>
      <c r="OW835" s="9"/>
      <c r="OX835" s="9"/>
      <c r="OY835" s="9"/>
      <c r="OZ835" s="9"/>
      <c r="PA835" s="9"/>
      <c r="PB835" s="9"/>
      <c r="PC835" s="9"/>
      <c r="PD835" s="9"/>
      <c r="PE835" s="9"/>
      <c r="PF835" s="9"/>
      <c r="PG835" s="9"/>
      <c r="PH835" s="9"/>
      <c r="PI835" s="9"/>
      <c r="PJ835" s="9"/>
      <c r="PK835" s="9"/>
      <c r="PL835" s="9"/>
      <c r="PM835" s="9"/>
      <c r="PN835" s="9"/>
      <c r="PO835" s="9"/>
      <c r="PP835" s="9"/>
      <c r="PQ835" s="9"/>
      <c r="PR835" s="9"/>
      <c r="PS835" s="9"/>
      <c r="PT835" s="9"/>
      <c r="PU835" s="9"/>
      <c r="PV835" s="9"/>
      <c r="PW835" s="9"/>
      <c r="PX835" s="9"/>
      <c r="PY835" s="9"/>
      <c r="PZ835" s="9"/>
      <c r="QA835" s="9"/>
      <c r="QB835" s="9"/>
      <c r="QC835" s="9"/>
      <c r="QD835" s="9"/>
      <c r="QE835" s="9"/>
      <c r="QF835" s="9"/>
      <c r="QG835" s="9"/>
      <c r="QH835" s="9"/>
      <c r="QI835" s="9"/>
      <c r="QJ835" s="9"/>
      <c r="QK835" s="9"/>
      <c r="QL835" s="9"/>
      <c r="QM835" s="9"/>
      <c r="QN835" s="9"/>
      <c r="QO835" s="9"/>
      <c r="QP835" s="9"/>
      <c r="QQ835" s="9"/>
      <c r="QR835" s="9"/>
      <c r="QS835" s="9"/>
      <c r="QT835" s="9"/>
      <c r="QU835" s="9"/>
      <c r="QV835" s="9"/>
      <c r="QW835" s="9"/>
      <c r="QX835" s="9"/>
      <c r="QY835" s="9"/>
      <c r="QZ835" s="9"/>
      <c r="RA835" s="9"/>
      <c r="RB835" s="9"/>
      <c r="RC835" s="9"/>
      <c r="RD835" s="9"/>
      <c r="RE835" s="9"/>
      <c r="RF835" s="9"/>
      <c r="RG835" s="9"/>
      <c r="RH835" s="9"/>
      <c r="RI835" s="9"/>
      <c r="RJ835" s="9"/>
      <c r="RK835" s="9"/>
      <c r="RL835" s="9"/>
      <c r="RM835" s="9"/>
      <c r="RN835" s="9"/>
      <c r="RO835" s="9"/>
      <c r="RP835" s="9"/>
      <c r="RQ835" s="9"/>
      <c r="RR835" s="9"/>
      <c r="RS835" s="9"/>
      <c r="RT835" s="9"/>
      <c r="RU835" s="9"/>
      <c r="RV835" s="9"/>
      <c r="RW835" s="9"/>
      <c r="RX835" s="9"/>
      <c r="RY835" s="9"/>
      <c r="RZ835" s="9"/>
      <c r="SA835" s="9"/>
      <c r="SB835" s="9"/>
      <c r="SC835" s="9"/>
      <c r="SD835" s="9"/>
      <c r="SE835" s="9"/>
      <c r="SF835" s="9"/>
      <c r="SG835" s="9"/>
      <c r="SH835" s="9"/>
      <c r="SI835" s="9"/>
      <c r="SJ835" s="9"/>
      <c r="SK835" s="9"/>
      <c r="SL835" s="9"/>
      <c r="SM835" s="9"/>
      <c r="SN835" s="9"/>
      <c r="SO835" s="9"/>
      <c r="SP835" s="9"/>
      <c r="SQ835" s="9"/>
      <c r="SR835" s="9"/>
      <c r="SS835" s="9"/>
      <c r="ST835" s="9"/>
      <c r="SU835" s="9"/>
      <c r="SV835" s="9"/>
      <c r="SW835" s="9"/>
      <c r="SX835" s="9"/>
      <c r="SY835" s="9"/>
      <c r="SZ835" s="9"/>
      <c r="TA835" s="9"/>
      <c r="TB835" s="9"/>
      <c r="TC835" s="9"/>
      <c r="TD835" s="9"/>
      <c r="TE835" s="9"/>
      <c r="TF835" s="9"/>
      <c r="TG835" s="9"/>
      <c r="TH835" s="9"/>
      <c r="TI835" s="9"/>
      <c r="TJ835" s="9"/>
      <c r="TK835" s="9"/>
      <c r="TL835" s="9"/>
      <c r="TM835" s="9"/>
      <c r="TN835" s="9"/>
      <c r="TO835" s="9"/>
      <c r="TP835" s="9"/>
      <c r="TQ835" s="9"/>
      <c r="TR835" s="9"/>
      <c r="TS835" s="9"/>
      <c r="TT835" s="9"/>
      <c r="TU835" s="9"/>
      <c r="TV835" s="9"/>
      <c r="TW835" s="9"/>
      <c r="TX835" s="9"/>
      <c r="TY835" s="9"/>
      <c r="TZ835" s="9"/>
      <c r="UA835" s="9"/>
      <c r="UB835" s="9"/>
      <c r="UC835" s="9"/>
      <c r="UD835" s="9"/>
      <c r="UE835" s="9"/>
      <c r="UF835" s="9"/>
      <c r="UG835" s="9"/>
      <c r="UH835" s="9"/>
      <c r="UI835" s="9"/>
      <c r="UJ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9"/>
      <c r="IA836" s="9"/>
      <c r="IB836" s="9"/>
      <c r="IC836" s="9"/>
      <c r="ID836" s="9"/>
      <c r="IE836" s="9"/>
      <c r="IF836" s="9"/>
      <c r="IG836" s="9"/>
      <c r="IH836" s="9"/>
      <c r="II836" s="9"/>
      <c r="IJ836" s="9"/>
      <c r="IK836" s="9"/>
      <c r="IL836" s="9"/>
      <c r="IM836" s="9"/>
      <c r="IN836" s="9"/>
      <c r="IO836" s="9"/>
      <c r="IP836" s="9"/>
      <c r="IQ836" s="9"/>
      <c r="IR836" s="9"/>
      <c r="IS836" s="9"/>
      <c r="IT836" s="9"/>
      <c r="IU836" s="9"/>
      <c r="IV836" s="9"/>
      <c r="IW836" s="9"/>
      <c r="IX836" s="9"/>
      <c r="IY836" s="9"/>
      <c r="IZ836" s="9"/>
      <c r="JA836" s="9"/>
      <c r="JB836" s="9"/>
      <c r="JC836" s="9"/>
      <c r="JD836" s="9"/>
      <c r="JE836" s="9"/>
      <c r="JF836" s="9"/>
      <c r="JG836" s="9"/>
      <c r="JH836" s="9"/>
      <c r="JI836" s="9"/>
      <c r="JJ836" s="9"/>
      <c r="JK836" s="9"/>
      <c r="JL836" s="9"/>
      <c r="JM836" s="9"/>
      <c r="JN836" s="9"/>
      <c r="JO836" s="9"/>
      <c r="JP836" s="9"/>
      <c r="JQ836" s="9"/>
      <c r="JR836" s="9"/>
      <c r="JS836" s="9"/>
      <c r="JT836" s="9"/>
      <c r="JU836" s="9"/>
      <c r="JV836" s="9"/>
      <c r="JW836" s="9"/>
      <c r="JX836" s="9"/>
      <c r="JY836" s="9"/>
      <c r="JZ836" s="9"/>
      <c r="KA836" s="9"/>
      <c r="KB836" s="9"/>
      <c r="KC836" s="9"/>
      <c r="KD836" s="9"/>
      <c r="KE836" s="9"/>
      <c r="KF836" s="9"/>
      <c r="KG836" s="9"/>
      <c r="KH836" s="9"/>
      <c r="KI836" s="9"/>
      <c r="KJ836" s="9"/>
      <c r="KK836" s="9"/>
      <c r="KL836" s="9"/>
      <c r="KM836" s="9"/>
      <c r="KN836" s="9"/>
      <c r="KO836" s="9"/>
      <c r="KP836" s="9"/>
      <c r="KQ836" s="9"/>
      <c r="KR836" s="9"/>
      <c r="KS836" s="9"/>
      <c r="KT836" s="9"/>
      <c r="KU836" s="9"/>
      <c r="KV836" s="9"/>
      <c r="KW836" s="9"/>
      <c r="KX836" s="9"/>
      <c r="KY836" s="9"/>
      <c r="KZ836" s="9"/>
      <c r="LA836" s="9"/>
      <c r="LB836" s="9"/>
      <c r="LC836" s="9"/>
      <c r="LD836" s="9"/>
      <c r="LE836" s="9"/>
      <c r="LF836" s="9"/>
      <c r="LG836" s="9"/>
      <c r="LH836" s="9"/>
      <c r="LI836" s="9"/>
      <c r="LJ836" s="9"/>
      <c r="LK836" s="9"/>
      <c r="LL836" s="9"/>
      <c r="LM836" s="9"/>
      <c r="LN836" s="9"/>
      <c r="LO836" s="9"/>
      <c r="LP836" s="9"/>
      <c r="LQ836" s="9"/>
      <c r="LR836" s="9"/>
      <c r="LS836" s="9"/>
      <c r="LT836" s="9"/>
      <c r="LU836" s="9"/>
      <c r="LV836" s="9"/>
      <c r="LW836" s="9"/>
      <c r="LX836" s="9"/>
      <c r="LY836" s="9"/>
      <c r="LZ836" s="9"/>
      <c r="MA836" s="9"/>
      <c r="MB836" s="9"/>
      <c r="MC836" s="9"/>
      <c r="MD836" s="9"/>
      <c r="ME836" s="9"/>
      <c r="MF836" s="9"/>
      <c r="MG836" s="9"/>
      <c r="MH836" s="9"/>
      <c r="MI836" s="9"/>
      <c r="MJ836" s="9"/>
      <c r="MK836" s="9"/>
      <c r="ML836" s="9"/>
      <c r="MM836" s="9"/>
      <c r="MN836" s="9"/>
      <c r="MO836" s="9"/>
      <c r="MP836" s="9"/>
      <c r="MQ836" s="9"/>
      <c r="MR836" s="9"/>
      <c r="MS836" s="9"/>
      <c r="MT836" s="9"/>
      <c r="MU836" s="9"/>
      <c r="MV836" s="9"/>
      <c r="MW836" s="9"/>
      <c r="MX836" s="9"/>
      <c r="MY836" s="9"/>
      <c r="MZ836" s="9"/>
      <c r="NA836" s="9"/>
      <c r="NB836" s="9"/>
      <c r="NC836" s="9"/>
      <c r="ND836" s="9"/>
      <c r="NE836" s="9"/>
      <c r="NF836" s="9"/>
      <c r="NG836" s="9"/>
      <c r="NH836" s="9"/>
      <c r="NI836" s="9"/>
      <c r="NJ836" s="9"/>
      <c r="NK836" s="9"/>
      <c r="NL836" s="9"/>
      <c r="NM836" s="9"/>
      <c r="NN836" s="9"/>
      <c r="NO836" s="9"/>
      <c r="NP836" s="9"/>
      <c r="NQ836" s="9"/>
      <c r="NR836" s="9"/>
      <c r="NS836" s="9"/>
      <c r="NT836" s="9"/>
      <c r="NU836" s="9"/>
      <c r="NV836" s="9"/>
      <c r="NW836" s="9"/>
      <c r="NX836" s="9"/>
      <c r="NY836" s="9"/>
      <c r="NZ836" s="9"/>
      <c r="OA836" s="9"/>
      <c r="OB836" s="9"/>
      <c r="OC836" s="9"/>
      <c r="OD836" s="9"/>
      <c r="OE836" s="9"/>
      <c r="OF836" s="9"/>
      <c r="OG836" s="9"/>
      <c r="OH836" s="9"/>
      <c r="OI836" s="9"/>
      <c r="OJ836" s="9"/>
      <c r="OK836" s="9"/>
      <c r="OL836" s="9"/>
      <c r="OM836" s="9"/>
      <c r="ON836" s="9"/>
      <c r="OO836" s="9"/>
      <c r="OP836" s="9"/>
      <c r="OQ836" s="9"/>
      <c r="OR836" s="9"/>
      <c r="OS836" s="9"/>
      <c r="OT836" s="9"/>
      <c r="OU836" s="9"/>
      <c r="OV836" s="9"/>
      <c r="OW836" s="9"/>
      <c r="OX836" s="9"/>
      <c r="OY836" s="9"/>
      <c r="OZ836" s="9"/>
      <c r="PA836" s="9"/>
      <c r="PB836" s="9"/>
      <c r="PC836" s="9"/>
      <c r="PD836" s="9"/>
      <c r="PE836" s="9"/>
      <c r="PF836" s="9"/>
      <c r="PG836" s="9"/>
      <c r="PH836" s="9"/>
      <c r="PI836" s="9"/>
      <c r="PJ836" s="9"/>
      <c r="PK836" s="9"/>
      <c r="PL836" s="9"/>
      <c r="PM836" s="9"/>
      <c r="PN836" s="9"/>
      <c r="PO836" s="9"/>
      <c r="PP836" s="9"/>
      <c r="PQ836" s="9"/>
      <c r="PR836" s="9"/>
      <c r="PS836" s="9"/>
      <c r="PT836" s="9"/>
      <c r="PU836" s="9"/>
      <c r="PV836" s="9"/>
      <c r="PW836" s="9"/>
      <c r="PX836" s="9"/>
      <c r="PY836" s="9"/>
      <c r="PZ836" s="9"/>
      <c r="QA836" s="9"/>
      <c r="QB836" s="9"/>
      <c r="QC836" s="9"/>
      <c r="QD836" s="9"/>
      <c r="QE836" s="9"/>
      <c r="QF836" s="9"/>
      <c r="QG836" s="9"/>
      <c r="QH836" s="9"/>
      <c r="QI836" s="9"/>
      <c r="QJ836" s="9"/>
      <c r="QK836" s="9"/>
      <c r="QL836" s="9"/>
      <c r="QM836" s="9"/>
      <c r="QN836" s="9"/>
      <c r="QO836" s="9"/>
      <c r="QP836" s="9"/>
      <c r="QQ836" s="9"/>
      <c r="QR836" s="9"/>
      <c r="QS836" s="9"/>
      <c r="QT836" s="9"/>
      <c r="QU836" s="9"/>
      <c r="QV836" s="9"/>
      <c r="QW836" s="9"/>
      <c r="QX836" s="9"/>
      <c r="QY836" s="9"/>
      <c r="QZ836" s="9"/>
      <c r="RA836" s="9"/>
      <c r="RB836" s="9"/>
      <c r="RC836" s="9"/>
      <c r="RD836" s="9"/>
      <c r="RE836" s="9"/>
      <c r="RF836" s="9"/>
      <c r="RG836" s="9"/>
      <c r="RH836" s="9"/>
      <c r="RI836" s="9"/>
      <c r="RJ836" s="9"/>
      <c r="RK836" s="9"/>
      <c r="RL836" s="9"/>
      <c r="RM836" s="9"/>
      <c r="RN836" s="9"/>
      <c r="RO836" s="9"/>
      <c r="RP836" s="9"/>
      <c r="RQ836" s="9"/>
      <c r="RR836" s="9"/>
      <c r="RS836" s="9"/>
      <c r="RT836" s="9"/>
      <c r="RU836" s="9"/>
      <c r="RV836" s="9"/>
      <c r="RW836" s="9"/>
      <c r="RX836" s="9"/>
      <c r="RY836" s="9"/>
      <c r="RZ836" s="9"/>
      <c r="SA836" s="9"/>
      <c r="SB836" s="9"/>
      <c r="SC836" s="9"/>
      <c r="SD836" s="9"/>
      <c r="SE836" s="9"/>
      <c r="SF836" s="9"/>
      <c r="SG836" s="9"/>
      <c r="SH836" s="9"/>
      <c r="SI836" s="9"/>
      <c r="SJ836" s="9"/>
      <c r="SK836" s="9"/>
      <c r="SL836" s="9"/>
      <c r="SM836" s="9"/>
      <c r="SN836" s="9"/>
      <c r="SO836" s="9"/>
      <c r="SP836" s="9"/>
      <c r="SQ836" s="9"/>
      <c r="SR836" s="9"/>
      <c r="SS836" s="9"/>
      <c r="ST836" s="9"/>
      <c r="SU836" s="9"/>
      <c r="SV836" s="9"/>
      <c r="SW836" s="9"/>
      <c r="SX836" s="9"/>
      <c r="SY836" s="9"/>
      <c r="SZ836" s="9"/>
      <c r="TA836" s="9"/>
      <c r="TB836" s="9"/>
      <c r="TC836" s="9"/>
      <c r="TD836" s="9"/>
      <c r="TE836" s="9"/>
      <c r="TF836" s="9"/>
      <c r="TG836" s="9"/>
      <c r="TH836" s="9"/>
      <c r="TI836" s="9"/>
      <c r="TJ836" s="9"/>
      <c r="TK836" s="9"/>
      <c r="TL836" s="9"/>
      <c r="TM836" s="9"/>
      <c r="TN836" s="9"/>
      <c r="TO836" s="9"/>
      <c r="TP836" s="9"/>
      <c r="TQ836" s="9"/>
      <c r="TR836" s="9"/>
      <c r="TS836" s="9"/>
      <c r="TT836" s="9"/>
      <c r="TU836" s="9"/>
      <c r="TV836" s="9"/>
      <c r="TW836" s="9"/>
      <c r="TX836" s="9"/>
      <c r="TY836" s="9"/>
      <c r="TZ836" s="9"/>
      <c r="UA836" s="9"/>
      <c r="UB836" s="9"/>
      <c r="UC836" s="9"/>
      <c r="UD836" s="9"/>
      <c r="UE836" s="9"/>
      <c r="UF836" s="9"/>
      <c r="UG836" s="9"/>
      <c r="UH836" s="9"/>
      <c r="UI836" s="9"/>
      <c r="UJ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  <c r="HO837" s="9"/>
      <c r="HP837" s="9"/>
      <c r="HQ837" s="9"/>
      <c r="HR837" s="9"/>
      <c r="HS837" s="9"/>
      <c r="HT837" s="9"/>
      <c r="HU837" s="9"/>
      <c r="HV837" s="9"/>
      <c r="HW837" s="9"/>
      <c r="HX837" s="9"/>
      <c r="HY837" s="9"/>
      <c r="HZ837" s="9"/>
      <c r="IA837" s="9"/>
      <c r="IB837" s="9"/>
      <c r="IC837" s="9"/>
      <c r="ID837" s="9"/>
      <c r="IE837" s="9"/>
      <c r="IF837" s="9"/>
      <c r="IG837" s="9"/>
      <c r="IH837" s="9"/>
      <c r="II837" s="9"/>
      <c r="IJ837" s="9"/>
      <c r="IK837" s="9"/>
      <c r="IL837" s="9"/>
      <c r="IM837" s="9"/>
      <c r="IN837" s="9"/>
      <c r="IO837" s="9"/>
      <c r="IP837" s="9"/>
      <c r="IQ837" s="9"/>
      <c r="IR837" s="9"/>
      <c r="IS837" s="9"/>
      <c r="IT837" s="9"/>
      <c r="IU837" s="9"/>
      <c r="IV837" s="9"/>
      <c r="IW837" s="9"/>
      <c r="IX837" s="9"/>
      <c r="IY837" s="9"/>
      <c r="IZ837" s="9"/>
      <c r="JA837" s="9"/>
      <c r="JB837" s="9"/>
      <c r="JC837" s="9"/>
      <c r="JD837" s="9"/>
      <c r="JE837" s="9"/>
      <c r="JF837" s="9"/>
      <c r="JG837" s="9"/>
      <c r="JH837" s="9"/>
      <c r="JI837" s="9"/>
      <c r="JJ837" s="9"/>
      <c r="JK837" s="9"/>
      <c r="JL837" s="9"/>
      <c r="JM837" s="9"/>
      <c r="JN837" s="9"/>
      <c r="JO837" s="9"/>
      <c r="JP837" s="9"/>
      <c r="JQ837" s="9"/>
      <c r="JR837" s="9"/>
      <c r="JS837" s="9"/>
      <c r="JT837" s="9"/>
      <c r="JU837" s="9"/>
      <c r="JV837" s="9"/>
      <c r="JW837" s="9"/>
      <c r="JX837" s="9"/>
      <c r="JY837" s="9"/>
      <c r="JZ837" s="9"/>
      <c r="KA837" s="9"/>
      <c r="KB837" s="9"/>
      <c r="KC837" s="9"/>
      <c r="KD837" s="9"/>
      <c r="KE837" s="9"/>
      <c r="KF837" s="9"/>
      <c r="KG837" s="9"/>
      <c r="KH837" s="9"/>
      <c r="KI837" s="9"/>
      <c r="KJ837" s="9"/>
      <c r="KK837" s="9"/>
      <c r="KL837" s="9"/>
      <c r="KM837" s="9"/>
      <c r="KN837" s="9"/>
      <c r="KO837" s="9"/>
      <c r="KP837" s="9"/>
      <c r="KQ837" s="9"/>
      <c r="KR837" s="9"/>
      <c r="KS837" s="9"/>
      <c r="KT837" s="9"/>
      <c r="KU837" s="9"/>
      <c r="KV837" s="9"/>
      <c r="KW837" s="9"/>
      <c r="KX837" s="9"/>
      <c r="KY837" s="9"/>
      <c r="KZ837" s="9"/>
      <c r="LA837" s="9"/>
      <c r="LB837" s="9"/>
      <c r="LC837" s="9"/>
      <c r="LD837" s="9"/>
      <c r="LE837" s="9"/>
      <c r="LF837" s="9"/>
      <c r="LG837" s="9"/>
      <c r="LH837" s="9"/>
      <c r="LI837" s="9"/>
      <c r="LJ837" s="9"/>
      <c r="LK837" s="9"/>
      <c r="LL837" s="9"/>
      <c r="LM837" s="9"/>
      <c r="LN837" s="9"/>
      <c r="LO837" s="9"/>
      <c r="LP837" s="9"/>
      <c r="LQ837" s="9"/>
      <c r="LR837" s="9"/>
      <c r="LS837" s="9"/>
      <c r="LT837" s="9"/>
      <c r="LU837" s="9"/>
      <c r="LV837" s="9"/>
      <c r="LW837" s="9"/>
      <c r="LX837" s="9"/>
      <c r="LY837" s="9"/>
      <c r="LZ837" s="9"/>
      <c r="MA837" s="9"/>
      <c r="MB837" s="9"/>
      <c r="MC837" s="9"/>
      <c r="MD837" s="9"/>
      <c r="ME837" s="9"/>
      <c r="MF837" s="9"/>
      <c r="MG837" s="9"/>
      <c r="MH837" s="9"/>
      <c r="MI837" s="9"/>
      <c r="MJ837" s="9"/>
      <c r="MK837" s="9"/>
      <c r="ML837" s="9"/>
      <c r="MM837" s="9"/>
      <c r="MN837" s="9"/>
      <c r="MO837" s="9"/>
      <c r="MP837" s="9"/>
      <c r="MQ837" s="9"/>
      <c r="MR837" s="9"/>
      <c r="MS837" s="9"/>
      <c r="MT837" s="9"/>
      <c r="MU837" s="9"/>
      <c r="MV837" s="9"/>
      <c r="MW837" s="9"/>
      <c r="MX837" s="9"/>
      <c r="MY837" s="9"/>
      <c r="MZ837" s="9"/>
      <c r="NA837" s="9"/>
      <c r="NB837" s="9"/>
      <c r="NC837" s="9"/>
      <c r="ND837" s="9"/>
      <c r="NE837" s="9"/>
      <c r="NF837" s="9"/>
      <c r="NG837" s="9"/>
      <c r="NH837" s="9"/>
      <c r="NI837" s="9"/>
      <c r="NJ837" s="9"/>
      <c r="NK837" s="9"/>
      <c r="NL837" s="9"/>
      <c r="NM837" s="9"/>
      <c r="NN837" s="9"/>
      <c r="NO837" s="9"/>
      <c r="NP837" s="9"/>
      <c r="NQ837" s="9"/>
      <c r="NR837" s="9"/>
      <c r="NS837" s="9"/>
      <c r="NT837" s="9"/>
      <c r="NU837" s="9"/>
      <c r="NV837" s="9"/>
      <c r="NW837" s="9"/>
      <c r="NX837" s="9"/>
      <c r="NY837" s="9"/>
      <c r="NZ837" s="9"/>
      <c r="OA837" s="9"/>
      <c r="OB837" s="9"/>
      <c r="OC837" s="9"/>
      <c r="OD837" s="9"/>
      <c r="OE837" s="9"/>
      <c r="OF837" s="9"/>
      <c r="OG837" s="9"/>
      <c r="OH837" s="9"/>
      <c r="OI837" s="9"/>
      <c r="OJ837" s="9"/>
      <c r="OK837" s="9"/>
      <c r="OL837" s="9"/>
      <c r="OM837" s="9"/>
      <c r="ON837" s="9"/>
      <c r="OO837" s="9"/>
      <c r="OP837" s="9"/>
      <c r="OQ837" s="9"/>
      <c r="OR837" s="9"/>
      <c r="OS837" s="9"/>
      <c r="OT837" s="9"/>
      <c r="OU837" s="9"/>
      <c r="OV837" s="9"/>
      <c r="OW837" s="9"/>
      <c r="OX837" s="9"/>
      <c r="OY837" s="9"/>
      <c r="OZ837" s="9"/>
      <c r="PA837" s="9"/>
      <c r="PB837" s="9"/>
      <c r="PC837" s="9"/>
      <c r="PD837" s="9"/>
      <c r="PE837" s="9"/>
      <c r="PF837" s="9"/>
      <c r="PG837" s="9"/>
      <c r="PH837" s="9"/>
      <c r="PI837" s="9"/>
      <c r="PJ837" s="9"/>
      <c r="PK837" s="9"/>
      <c r="PL837" s="9"/>
      <c r="PM837" s="9"/>
      <c r="PN837" s="9"/>
      <c r="PO837" s="9"/>
      <c r="PP837" s="9"/>
      <c r="PQ837" s="9"/>
      <c r="PR837" s="9"/>
      <c r="PS837" s="9"/>
      <c r="PT837" s="9"/>
      <c r="PU837" s="9"/>
      <c r="PV837" s="9"/>
      <c r="PW837" s="9"/>
      <c r="PX837" s="9"/>
      <c r="PY837" s="9"/>
      <c r="PZ837" s="9"/>
      <c r="QA837" s="9"/>
      <c r="QB837" s="9"/>
      <c r="QC837" s="9"/>
      <c r="QD837" s="9"/>
      <c r="QE837" s="9"/>
      <c r="QF837" s="9"/>
      <c r="QG837" s="9"/>
      <c r="QH837" s="9"/>
      <c r="QI837" s="9"/>
      <c r="QJ837" s="9"/>
      <c r="QK837" s="9"/>
      <c r="QL837" s="9"/>
      <c r="QM837" s="9"/>
      <c r="QN837" s="9"/>
      <c r="QO837" s="9"/>
      <c r="QP837" s="9"/>
      <c r="QQ837" s="9"/>
      <c r="QR837" s="9"/>
      <c r="QS837" s="9"/>
      <c r="QT837" s="9"/>
      <c r="QU837" s="9"/>
      <c r="QV837" s="9"/>
      <c r="QW837" s="9"/>
      <c r="QX837" s="9"/>
      <c r="QY837" s="9"/>
      <c r="QZ837" s="9"/>
      <c r="RA837" s="9"/>
      <c r="RB837" s="9"/>
      <c r="RC837" s="9"/>
      <c r="RD837" s="9"/>
      <c r="RE837" s="9"/>
      <c r="RF837" s="9"/>
      <c r="RG837" s="9"/>
      <c r="RH837" s="9"/>
      <c r="RI837" s="9"/>
      <c r="RJ837" s="9"/>
      <c r="RK837" s="9"/>
      <c r="RL837" s="9"/>
      <c r="RM837" s="9"/>
      <c r="RN837" s="9"/>
      <c r="RO837" s="9"/>
      <c r="RP837" s="9"/>
      <c r="RQ837" s="9"/>
      <c r="RR837" s="9"/>
      <c r="RS837" s="9"/>
      <c r="RT837" s="9"/>
      <c r="RU837" s="9"/>
      <c r="RV837" s="9"/>
      <c r="RW837" s="9"/>
      <c r="RX837" s="9"/>
      <c r="RY837" s="9"/>
      <c r="RZ837" s="9"/>
      <c r="SA837" s="9"/>
      <c r="SB837" s="9"/>
      <c r="SC837" s="9"/>
      <c r="SD837" s="9"/>
      <c r="SE837" s="9"/>
      <c r="SF837" s="9"/>
      <c r="SG837" s="9"/>
      <c r="SH837" s="9"/>
      <c r="SI837" s="9"/>
      <c r="SJ837" s="9"/>
      <c r="SK837" s="9"/>
      <c r="SL837" s="9"/>
      <c r="SM837" s="9"/>
      <c r="SN837" s="9"/>
      <c r="SO837" s="9"/>
      <c r="SP837" s="9"/>
      <c r="SQ837" s="9"/>
      <c r="SR837" s="9"/>
      <c r="SS837" s="9"/>
      <c r="ST837" s="9"/>
      <c r="SU837" s="9"/>
      <c r="SV837" s="9"/>
      <c r="SW837" s="9"/>
      <c r="SX837" s="9"/>
      <c r="SY837" s="9"/>
      <c r="SZ837" s="9"/>
      <c r="TA837" s="9"/>
      <c r="TB837" s="9"/>
      <c r="TC837" s="9"/>
      <c r="TD837" s="9"/>
      <c r="TE837" s="9"/>
      <c r="TF837" s="9"/>
      <c r="TG837" s="9"/>
      <c r="TH837" s="9"/>
      <c r="TI837" s="9"/>
      <c r="TJ837" s="9"/>
      <c r="TK837" s="9"/>
      <c r="TL837" s="9"/>
      <c r="TM837" s="9"/>
      <c r="TN837" s="9"/>
      <c r="TO837" s="9"/>
      <c r="TP837" s="9"/>
      <c r="TQ837" s="9"/>
      <c r="TR837" s="9"/>
      <c r="TS837" s="9"/>
      <c r="TT837" s="9"/>
      <c r="TU837" s="9"/>
      <c r="TV837" s="9"/>
      <c r="TW837" s="9"/>
      <c r="TX837" s="9"/>
      <c r="TY837" s="9"/>
      <c r="TZ837" s="9"/>
      <c r="UA837" s="9"/>
      <c r="UB837" s="9"/>
      <c r="UC837" s="9"/>
      <c r="UD837" s="9"/>
      <c r="UE837" s="9"/>
      <c r="UF837" s="9"/>
      <c r="UG837" s="9"/>
      <c r="UH837" s="9"/>
      <c r="UI837" s="9"/>
      <c r="UJ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  <c r="GA838" s="9"/>
      <c r="GB838" s="9"/>
      <c r="GC838" s="9"/>
      <c r="GD838" s="9"/>
      <c r="GE838" s="9"/>
      <c r="GF838" s="9"/>
      <c r="GG838" s="9"/>
      <c r="GH838" s="9"/>
      <c r="GI838" s="9"/>
      <c r="GJ838" s="9"/>
      <c r="GK838" s="9"/>
      <c r="GL838" s="9"/>
      <c r="GM838" s="9"/>
      <c r="GN838" s="9"/>
      <c r="GO838" s="9"/>
      <c r="GP838" s="9"/>
      <c r="GQ838" s="9"/>
      <c r="GR838" s="9"/>
      <c r="GS838" s="9"/>
      <c r="GT838" s="9"/>
      <c r="GU838" s="9"/>
      <c r="GV838" s="9"/>
      <c r="GW838" s="9"/>
      <c r="GX838" s="9"/>
      <c r="GY838" s="9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  <c r="HO838" s="9"/>
      <c r="HP838" s="9"/>
      <c r="HQ838" s="9"/>
      <c r="HR838" s="9"/>
      <c r="HS838" s="9"/>
      <c r="HT838" s="9"/>
      <c r="HU838" s="9"/>
      <c r="HV838" s="9"/>
      <c r="HW838" s="9"/>
      <c r="HX838" s="9"/>
      <c r="HY838" s="9"/>
      <c r="HZ838" s="9"/>
      <c r="IA838" s="9"/>
      <c r="IB838" s="9"/>
      <c r="IC838" s="9"/>
      <c r="ID838" s="9"/>
      <c r="IE838" s="9"/>
      <c r="IF838" s="9"/>
      <c r="IG838" s="9"/>
      <c r="IH838" s="9"/>
      <c r="II838" s="9"/>
      <c r="IJ838" s="9"/>
      <c r="IK838" s="9"/>
      <c r="IL838" s="9"/>
      <c r="IM838" s="9"/>
      <c r="IN838" s="9"/>
      <c r="IO838" s="9"/>
      <c r="IP838" s="9"/>
      <c r="IQ838" s="9"/>
      <c r="IR838" s="9"/>
      <c r="IS838" s="9"/>
      <c r="IT838" s="9"/>
      <c r="IU838" s="9"/>
      <c r="IV838" s="9"/>
      <c r="IW838" s="9"/>
      <c r="IX838" s="9"/>
      <c r="IY838" s="9"/>
      <c r="IZ838" s="9"/>
      <c r="JA838" s="9"/>
      <c r="JB838" s="9"/>
      <c r="JC838" s="9"/>
      <c r="JD838" s="9"/>
      <c r="JE838" s="9"/>
      <c r="JF838" s="9"/>
      <c r="JG838" s="9"/>
      <c r="JH838" s="9"/>
      <c r="JI838" s="9"/>
      <c r="JJ838" s="9"/>
      <c r="JK838" s="9"/>
      <c r="JL838" s="9"/>
      <c r="JM838" s="9"/>
      <c r="JN838" s="9"/>
      <c r="JO838" s="9"/>
      <c r="JP838" s="9"/>
      <c r="JQ838" s="9"/>
      <c r="JR838" s="9"/>
      <c r="JS838" s="9"/>
      <c r="JT838" s="9"/>
      <c r="JU838" s="9"/>
      <c r="JV838" s="9"/>
      <c r="JW838" s="9"/>
      <c r="JX838" s="9"/>
      <c r="JY838" s="9"/>
      <c r="JZ838" s="9"/>
      <c r="KA838" s="9"/>
      <c r="KB838" s="9"/>
      <c r="KC838" s="9"/>
      <c r="KD838" s="9"/>
      <c r="KE838" s="9"/>
      <c r="KF838" s="9"/>
      <c r="KG838" s="9"/>
      <c r="KH838" s="9"/>
      <c r="KI838" s="9"/>
      <c r="KJ838" s="9"/>
      <c r="KK838" s="9"/>
      <c r="KL838" s="9"/>
      <c r="KM838" s="9"/>
      <c r="KN838" s="9"/>
      <c r="KO838" s="9"/>
      <c r="KP838" s="9"/>
      <c r="KQ838" s="9"/>
      <c r="KR838" s="9"/>
      <c r="KS838" s="9"/>
      <c r="KT838" s="9"/>
      <c r="KU838" s="9"/>
      <c r="KV838" s="9"/>
      <c r="KW838" s="9"/>
      <c r="KX838" s="9"/>
      <c r="KY838" s="9"/>
      <c r="KZ838" s="9"/>
      <c r="LA838" s="9"/>
      <c r="LB838" s="9"/>
      <c r="LC838" s="9"/>
      <c r="LD838" s="9"/>
      <c r="LE838" s="9"/>
      <c r="LF838" s="9"/>
      <c r="LG838" s="9"/>
      <c r="LH838" s="9"/>
      <c r="LI838" s="9"/>
      <c r="LJ838" s="9"/>
      <c r="LK838" s="9"/>
      <c r="LL838" s="9"/>
      <c r="LM838" s="9"/>
      <c r="LN838" s="9"/>
      <c r="LO838" s="9"/>
      <c r="LP838" s="9"/>
      <c r="LQ838" s="9"/>
      <c r="LR838" s="9"/>
      <c r="LS838" s="9"/>
      <c r="LT838" s="9"/>
      <c r="LU838" s="9"/>
      <c r="LV838" s="9"/>
      <c r="LW838" s="9"/>
      <c r="LX838" s="9"/>
      <c r="LY838" s="9"/>
      <c r="LZ838" s="9"/>
      <c r="MA838" s="9"/>
      <c r="MB838" s="9"/>
      <c r="MC838" s="9"/>
      <c r="MD838" s="9"/>
      <c r="ME838" s="9"/>
      <c r="MF838" s="9"/>
      <c r="MG838" s="9"/>
      <c r="MH838" s="9"/>
      <c r="MI838" s="9"/>
      <c r="MJ838" s="9"/>
      <c r="MK838" s="9"/>
      <c r="ML838" s="9"/>
      <c r="MM838" s="9"/>
      <c r="MN838" s="9"/>
      <c r="MO838" s="9"/>
      <c r="MP838" s="9"/>
      <c r="MQ838" s="9"/>
      <c r="MR838" s="9"/>
      <c r="MS838" s="9"/>
      <c r="MT838" s="9"/>
      <c r="MU838" s="9"/>
      <c r="MV838" s="9"/>
      <c r="MW838" s="9"/>
      <c r="MX838" s="9"/>
      <c r="MY838" s="9"/>
      <c r="MZ838" s="9"/>
      <c r="NA838" s="9"/>
      <c r="NB838" s="9"/>
      <c r="NC838" s="9"/>
      <c r="ND838" s="9"/>
      <c r="NE838" s="9"/>
      <c r="NF838" s="9"/>
      <c r="NG838" s="9"/>
      <c r="NH838" s="9"/>
      <c r="NI838" s="9"/>
      <c r="NJ838" s="9"/>
      <c r="NK838" s="9"/>
      <c r="NL838" s="9"/>
      <c r="NM838" s="9"/>
      <c r="NN838" s="9"/>
      <c r="NO838" s="9"/>
      <c r="NP838" s="9"/>
      <c r="NQ838" s="9"/>
      <c r="NR838" s="9"/>
      <c r="NS838" s="9"/>
      <c r="NT838" s="9"/>
      <c r="NU838" s="9"/>
      <c r="NV838" s="9"/>
      <c r="NW838" s="9"/>
      <c r="NX838" s="9"/>
      <c r="NY838" s="9"/>
      <c r="NZ838" s="9"/>
      <c r="OA838" s="9"/>
      <c r="OB838" s="9"/>
      <c r="OC838" s="9"/>
      <c r="OD838" s="9"/>
      <c r="OE838" s="9"/>
      <c r="OF838" s="9"/>
      <c r="OG838" s="9"/>
      <c r="OH838" s="9"/>
      <c r="OI838" s="9"/>
      <c r="OJ838" s="9"/>
      <c r="OK838" s="9"/>
      <c r="OL838" s="9"/>
      <c r="OM838" s="9"/>
      <c r="ON838" s="9"/>
      <c r="OO838" s="9"/>
      <c r="OP838" s="9"/>
      <c r="OQ838" s="9"/>
      <c r="OR838" s="9"/>
      <c r="OS838" s="9"/>
      <c r="OT838" s="9"/>
      <c r="OU838" s="9"/>
      <c r="OV838" s="9"/>
      <c r="OW838" s="9"/>
      <c r="OX838" s="9"/>
      <c r="OY838" s="9"/>
      <c r="OZ838" s="9"/>
      <c r="PA838" s="9"/>
      <c r="PB838" s="9"/>
      <c r="PC838" s="9"/>
      <c r="PD838" s="9"/>
      <c r="PE838" s="9"/>
      <c r="PF838" s="9"/>
      <c r="PG838" s="9"/>
      <c r="PH838" s="9"/>
      <c r="PI838" s="9"/>
      <c r="PJ838" s="9"/>
      <c r="PK838" s="9"/>
      <c r="PL838" s="9"/>
      <c r="PM838" s="9"/>
      <c r="PN838" s="9"/>
      <c r="PO838" s="9"/>
      <c r="PP838" s="9"/>
      <c r="PQ838" s="9"/>
      <c r="PR838" s="9"/>
      <c r="PS838" s="9"/>
      <c r="PT838" s="9"/>
      <c r="PU838" s="9"/>
      <c r="PV838" s="9"/>
      <c r="PW838" s="9"/>
      <c r="PX838" s="9"/>
      <c r="PY838" s="9"/>
      <c r="PZ838" s="9"/>
      <c r="QA838" s="9"/>
      <c r="QB838" s="9"/>
      <c r="QC838" s="9"/>
      <c r="QD838" s="9"/>
      <c r="QE838" s="9"/>
      <c r="QF838" s="9"/>
      <c r="QG838" s="9"/>
      <c r="QH838" s="9"/>
      <c r="QI838" s="9"/>
      <c r="QJ838" s="9"/>
      <c r="QK838" s="9"/>
      <c r="QL838" s="9"/>
      <c r="QM838" s="9"/>
      <c r="QN838" s="9"/>
      <c r="QO838" s="9"/>
      <c r="QP838" s="9"/>
      <c r="QQ838" s="9"/>
      <c r="QR838" s="9"/>
      <c r="QS838" s="9"/>
      <c r="QT838" s="9"/>
      <c r="QU838" s="9"/>
      <c r="QV838" s="9"/>
      <c r="QW838" s="9"/>
      <c r="QX838" s="9"/>
      <c r="QY838" s="9"/>
      <c r="QZ838" s="9"/>
      <c r="RA838" s="9"/>
      <c r="RB838" s="9"/>
      <c r="RC838" s="9"/>
      <c r="RD838" s="9"/>
      <c r="RE838" s="9"/>
      <c r="RF838" s="9"/>
      <c r="RG838" s="9"/>
      <c r="RH838" s="9"/>
      <c r="RI838" s="9"/>
      <c r="RJ838" s="9"/>
      <c r="RK838" s="9"/>
      <c r="RL838" s="9"/>
      <c r="RM838" s="9"/>
      <c r="RN838" s="9"/>
      <c r="RO838" s="9"/>
      <c r="RP838" s="9"/>
      <c r="RQ838" s="9"/>
      <c r="RR838" s="9"/>
      <c r="RS838" s="9"/>
      <c r="RT838" s="9"/>
      <c r="RU838" s="9"/>
      <c r="RV838" s="9"/>
      <c r="RW838" s="9"/>
      <c r="RX838" s="9"/>
      <c r="RY838" s="9"/>
      <c r="RZ838" s="9"/>
      <c r="SA838" s="9"/>
      <c r="SB838" s="9"/>
      <c r="SC838" s="9"/>
      <c r="SD838" s="9"/>
      <c r="SE838" s="9"/>
      <c r="SF838" s="9"/>
      <c r="SG838" s="9"/>
      <c r="SH838" s="9"/>
      <c r="SI838" s="9"/>
      <c r="SJ838" s="9"/>
      <c r="SK838" s="9"/>
      <c r="SL838" s="9"/>
      <c r="SM838" s="9"/>
      <c r="SN838" s="9"/>
      <c r="SO838" s="9"/>
      <c r="SP838" s="9"/>
      <c r="SQ838" s="9"/>
      <c r="SR838" s="9"/>
      <c r="SS838" s="9"/>
      <c r="ST838" s="9"/>
      <c r="SU838" s="9"/>
      <c r="SV838" s="9"/>
      <c r="SW838" s="9"/>
      <c r="SX838" s="9"/>
      <c r="SY838" s="9"/>
      <c r="SZ838" s="9"/>
      <c r="TA838" s="9"/>
      <c r="TB838" s="9"/>
      <c r="TC838" s="9"/>
      <c r="TD838" s="9"/>
      <c r="TE838" s="9"/>
      <c r="TF838" s="9"/>
      <c r="TG838" s="9"/>
      <c r="TH838" s="9"/>
      <c r="TI838" s="9"/>
      <c r="TJ838" s="9"/>
      <c r="TK838" s="9"/>
      <c r="TL838" s="9"/>
      <c r="TM838" s="9"/>
      <c r="TN838" s="9"/>
      <c r="TO838" s="9"/>
      <c r="TP838" s="9"/>
      <c r="TQ838" s="9"/>
      <c r="TR838" s="9"/>
      <c r="TS838" s="9"/>
      <c r="TT838" s="9"/>
      <c r="TU838" s="9"/>
      <c r="TV838" s="9"/>
      <c r="TW838" s="9"/>
      <c r="TX838" s="9"/>
      <c r="TY838" s="9"/>
      <c r="TZ838" s="9"/>
      <c r="UA838" s="9"/>
      <c r="UB838" s="9"/>
      <c r="UC838" s="9"/>
      <c r="UD838" s="9"/>
      <c r="UE838" s="9"/>
      <c r="UF838" s="9"/>
      <c r="UG838" s="9"/>
      <c r="UH838" s="9"/>
      <c r="UI838" s="9"/>
      <c r="UJ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9"/>
      <c r="IA839" s="9"/>
      <c r="IB839" s="9"/>
      <c r="IC839" s="9"/>
      <c r="ID839" s="9"/>
      <c r="IE839" s="9"/>
      <c r="IF839" s="9"/>
      <c r="IG839" s="9"/>
      <c r="IH839" s="9"/>
      <c r="II839" s="9"/>
      <c r="IJ839" s="9"/>
      <c r="IK839" s="9"/>
      <c r="IL839" s="9"/>
      <c r="IM839" s="9"/>
      <c r="IN839" s="9"/>
      <c r="IO839" s="9"/>
      <c r="IP839" s="9"/>
      <c r="IQ839" s="9"/>
      <c r="IR839" s="9"/>
      <c r="IS839" s="9"/>
      <c r="IT839" s="9"/>
      <c r="IU839" s="9"/>
      <c r="IV839" s="9"/>
      <c r="IW839" s="9"/>
      <c r="IX839" s="9"/>
      <c r="IY839" s="9"/>
      <c r="IZ839" s="9"/>
      <c r="JA839" s="9"/>
      <c r="JB839" s="9"/>
      <c r="JC839" s="9"/>
      <c r="JD839" s="9"/>
      <c r="JE839" s="9"/>
      <c r="JF839" s="9"/>
      <c r="JG839" s="9"/>
      <c r="JH839" s="9"/>
      <c r="JI839" s="9"/>
      <c r="JJ839" s="9"/>
      <c r="JK839" s="9"/>
      <c r="JL839" s="9"/>
      <c r="JM839" s="9"/>
      <c r="JN839" s="9"/>
      <c r="JO839" s="9"/>
      <c r="JP839" s="9"/>
      <c r="JQ839" s="9"/>
      <c r="JR839" s="9"/>
      <c r="JS839" s="9"/>
      <c r="JT839" s="9"/>
      <c r="JU839" s="9"/>
      <c r="JV839" s="9"/>
      <c r="JW839" s="9"/>
      <c r="JX839" s="9"/>
      <c r="JY839" s="9"/>
      <c r="JZ839" s="9"/>
      <c r="KA839" s="9"/>
      <c r="KB839" s="9"/>
      <c r="KC839" s="9"/>
      <c r="KD839" s="9"/>
      <c r="KE839" s="9"/>
      <c r="KF839" s="9"/>
      <c r="KG839" s="9"/>
      <c r="KH839" s="9"/>
      <c r="KI839" s="9"/>
      <c r="KJ839" s="9"/>
      <c r="KK839" s="9"/>
      <c r="KL839" s="9"/>
      <c r="KM839" s="9"/>
      <c r="KN839" s="9"/>
      <c r="KO839" s="9"/>
      <c r="KP839" s="9"/>
      <c r="KQ839" s="9"/>
      <c r="KR839" s="9"/>
      <c r="KS839" s="9"/>
      <c r="KT839" s="9"/>
      <c r="KU839" s="9"/>
      <c r="KV839" s="9"/>
      <c r="KW839" s="9"/>
      <c r="KX839" s="9"/>
      <c r="KY839" s="9"/>
      <c r="KZ839" s="9"/>
      <c r="LA839" s="9"/>
      <c r="LB839" s="9"/>
      <c r="LC839" s="9"/>
      <c r="LD839" s="9"/>
      <c r="LE839" s="9"/>
      <c r="LF839" s="9"/>
      <c r="LG839" s="9"/>
      <c r="LH839" s="9"/>
      <c r="LI839" s="9"/>
      <c r="LJ839" s="9"/>
      <c r="LK839" s="9"/>
      <c r="LL839" s="9"/>
      <c r="LM839" s="9"/>
      <c r="LN839" s="9"/>
      <c r="LO839" s="9"/>
      <c r="LP839" s="9"/>
      <c r="LQ839" s="9"/>
      <c r="LR839" s="9"/>
      <c r="LS839" s="9"/>
      <c r="LT839" s="9"/>
      <c r="LU839" s="9"/>
      <c r="LV839" s="9"/>
      <c r="LW839" s="9"/>
      <c r="LX839" s="9"/>
      <c r="LY839" s="9"/>
      <c r="LZ839" s="9"/>
      <c r="MA839" s="9"/>
      <c r="MB839" s="9"/>
      <c r="MC839" s="9"/>
      <c r="MD839" s="9"/>
      <c r="ME839" s="9"/>
      <c r="MF839" s="9"/>
      <c r="MG839" s="9"/>
      <c r="MH839" s="9"/>
      <c r="MI839" s="9"/>
      <c r="MJ839" s="9"/>
      <c r="MK839" s="9"/>
      <c r="ML839" s="9"/>
      <c r="MM839" s="9"/>
      <c r="MN839" s="9"/>
      <c r="MO839" s="9"/>
      <c r="MP839" s="9"/>
      <c r="MQ839" s="9"/>
      <c r="MR839" s="9"/>
      <c r="MS839" s="9"/>
      <c r="MT839" s="9"/>
      <c r="MU839" s="9"/>
      <c r="MV839" s="9"/>
      <c r="MW839" s="9"/>
      <c r="MX839" s="9"/>
      <c r="MY839" s="9"/>
      <c r="MZ839" s="9"/>
      <c r="NA839" s="9"/>
      <c r="NB839" s="9"/>
      <c r="NC839" s="9"/>
      <c r="ND839" s="9"/>
      <c r="NE839" s="9"/>
      <c r="NF839" s="9"/>
      <c r="NG839" s="9"/>
      <c r="NH839" s="9"/>
      <c r="NI839" s="9"/>
      <c r="NJ839" s="9"/>
      <c r="NK839" s="9"/>
      <c r="NL839" s="9"/>
      <c r="NM839" s="9"/>
      <c r="NN839" s="9"/>
      <c r="NO839" s="9"/>
      <c r="NP839" s="9"/>
      <c r="NQ839" s="9"/>
      <c r="NR839" s="9"/>
      <c r="NS839" s="9"/>
      <c r="NT839" s="9"/>
      <c r="NU839" s="9"/>
      <c r="NV839" s="9"/>
      <c r="NW839" s="9"/>
      <c r="NX839" s="9"/>
      <c r="NY839" s="9"/>
      <c r="NZ839" s="9"/>
      <c r="OA839" s="9"/>
      <c r="OB839" s="9"/>
      <c r="OC839" s="9"/>
      <c r="OD839" s="9"/>
      <c r="OE839" s="9"/>
      <c r="OF839" s="9"/>
      <c r="OG839" s="9"/>
      <c r="OH839" s="9"/>
      <c r="OI839" s="9"/>
      <c r="OJ839" s="9"/>
      <c r="OK839" s="9"/>
      <c r="OL839" s="9"/>
      <c r="OM839" s="9"/>
      <c r="ON839" s="9"/>
      <c r="OO839" s="9"/>
      <c r="OP839" s="9"/>
      <c r="OQ839" s="9"/>
      <c r="OR839" s="9"/>
      <c r="OS839" s="9"/>
      <c r="OT839" s="9"/>
      <c r="OU839" s="9"/>
      <c r="OV839" s="9"/>
      <c r="OW839" s="9"/>
      <c r="OX839" s="9"/>
      <c r="OY839" s="9"/>
      <c r="OZ839" s="9"/>
      <c r="PA839" s="9"/>
      <c r="PB839" s="9"/>
      <c r="PC839" s="9"/>
      <c r="PD839" s="9"/>
      <c r="PE839" s="9"/>
      <c r="PF839" s="9"/>
      <c r="PG839" s="9"/>
      <c r="PH839" s="9"/>
      <c r="PI839" s="9"/>
      <c r="PJ839" s="9"/>
      <c r="PK839" s="9"/>
      <c r="PL839" s="9"/>
      <c r="PM839" s="9"/>
      <c r="PN839" s="9"/>
      <c r="PO839" s="9"/>
      <c r="PP839" s="9"/>
      <c r="PQ839" s="9"/>
      <c r="PR839" s="9"/>
      <c r="PS839" s="9"/>
      <c r="PT839" s="9"/>
      <c r="PU839" s="9"/>
      <c r="PV839" s="9"/>
      <c r="PW839" s="9"/>
      <c r="PX839" s="9"/>
      <c r="PY839" s="9"/>
      <c r="PZ839" s="9"/>
      <c r="QA839" s="9"/>
      <c r="QB839" s="9"/>
      <c r="QC839" s="9"/>
      <c r="QD839" s="9"/>
      <c r="QE839" s="9"/>
      <c r="QF839" s="9"/>
      <c r="QG839" s="9"/>
      <c r="QH839" s="9"/>
      <c r="QI839" s="9"/>
      <c r="QJ839" s="9"/>
      <c r="QK839" s="9"/>
      <c r="QL839" s="9"/>
      <c r="QM839" s="9"/>
      <c r="QN839" s="9"/>
      <c r="QO839" s="9"/>
      <c r="QP839" s="9"/>
      <c r="QQ839" s="9"/>
      <c r="QR839" s="9"/>
      <c r="QS839" s="9"/>
      <c r="QT839" s="9"/>
      <c r="QU839" s="9"/>
      <c r="QV839" s="9"/>
      <c r="QW839" s="9"/>
      <c r="QX839" s="9"/>
      <c r="QY839" s="9"/>
      <c r="QZ839" s="9"/>
      <c r="RA839" s="9"/>
      <c r="RB839" s="9"/>
      <c r="RC839" s="9"/>
      <c r="RD839" s="9"/>
      <c r="RE839" s="9"/>
      <c r="RF839" s="9"/>
      <c r="RG839" s="9"/>
      <c r="RH839" s="9"/>
      <c r="RI839" s="9"/>
      <c r="RJ839" s="9"/>
      <c r="RK839" s="9"/>
      <c r="RL839" s="9"/>
      <c r="RM839" s="9"/>
      <c r="RN839" s="9"/>
      <c r="RO839" s="9"/>
      <c r="RP839" s="9"/>
      <c r="RQ839" s="9"/>
      <c r="RR839" s="9"/>
      <c r="RS839" s="9"/>
      <c r="RT839" s="9"/>
      <c r="RU839" s="9"/>
      <c r="RV839" s="9"/>
      <c r="RW839" s="9"/>
      <c r="RX839" s="9"/>
      <c r="RY839" s="9"/>
      <c r="RZ839" s="9"/>
      <c r="SA839" s="9"/>
      <c r="SB839" s="9"/>
      <c r="SC839" s="9"/>
      <c r="SD839" s="9"/>
      <c r="SE839" s="9"/>
      <c r="SF839" s="9"/>
      <c r="SG839" s="9"/>
      <c r="SH839" s="9"/>
      <c r="SI839" s="9"/>
      <c r="SJ839" s="9"/>
      <c r="SK839" s="9"/>
      <c r="SL839" s="9"/>
      <c r="SM839" s="9"/>
      <c r="SN839" s="9"/>
      <c r="SO839" s="9"/>
      <c r="SP839" s="9"/>
      <c r="SQ839" s="9"/>
      <c r="SR839" s="9"/>
      <c r="SS839" s="9"/>
      <c r="ST839" s="9"/>
      <c r="SU839" s="9"/>
      <c r="SV839" s="9"/>
      <c r="SW839" s="9"/>
      <c r="SX839" s="9"/>
      <c r="SY839" s="9"/>
      <c r="SZ839" s="9"/>
      <c r="TA839" s="9"/>
      <c r="TB839" s="9"/>
      <c r="TC839" s="9"/>
      <c r="TD839" s="9"/>
      <c r="TE839" s="9"/>
      <c r="TF839" s="9"/>
      <c r="TG839" s="9"/>
      <c r="TH839" s="9"/>
      <c r="TI839" s="9"/>
      <c r="TJ839" s="9"/>
      <c r="TK839" s="9"/>
      <c r="TL839" s="9"/>
      <c r="TM839" s="9"/>
      <c r="TN839" s="9"/>
      <c r="TO839" s="9"/>
      <c r="TP839" s="9"/>
      <c r="TQ839" s="9"/>
      <c r="TR839" s="9"/>
      <c r="TS839" s="9"/>
      <c r="TT839" s="9"/>
      <c r="TU839" s="9"/>
      <c r="TV839" s="9"/>
      <c r="TW839" s="9"/>
      <c r="TX839" s="9"/>
      <c r="TY839" s="9"/>
      <c r="TZ839" s="9"/>
      <c r="UA839" s="9"/>
      <c r="UB839" s="9"/>
      <c r="UC839" s="9"/>
      <c r="UD839" s="9"/>
      <c r="UE839" s="9"/>
      <c r="UF839" s="9"/>
      <c r="UG839" s="9"/>
      <c r="UH839" s="9"/>
      <c r="UI839" s="9"/>
      <c r="UJ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  <c r="GA840" s="9"/>
      <c r="GB840" s="9"/>
      <c r="GC840" s="9"/>
      <c r="GD840" s="9"/>
      <c r="GE840" s="9"/>
      <c r="GF840" s="9"/>
      <c r="GG840" s="9"/>
      <c r="GH840" s="9"/>
      <c r="GI840" s="9"/>
      <c r="GJ840" s="9"/>
      <c r="GK840" s="9"/>
      <c r="GL840" s="9"/>
      <c r="GM840" s="9"/>
      <c r="GN840" s="9"/>
      <c r="GO840" s="9"/>
      <c r="GP840" s="9"/>
      <c r="GQ840" s="9"/>
      <c r="GR840" s="9"/>
      <c r="GS840" s="9"/>
      <c r="GT840" s="9"/>
      <c r="GU840" s="9"/>
      <c r="GV840" s="9"/>
      <c r="GW840" s="9"/>
      <c r="GX840" s="9"/>
      <c r="GY840" s="9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  <c r="HO840" s="9"/>
      <c r="HP840" s="9"/>
      <c r="HQ840" s="9"/>
      <c r="HR840" s="9"/>
      <c r="HS840" s="9"/>
      <c r="HT840" s="9"/>
      <c r="HU840" s="9"/>
      <c r="HV840" s="9"/>
      <c r="HW840" s="9"/>
      <c r="HX840" s="9"/>
      <c r="HY840" s="9"/>
      <c r="HZ840" s="9"/>
      <c r="IA840" s="9"/>
      <c r="IB840" s="9"/>
      <c r="IC840" s="9"/>
      <c r="ID840" s="9"/>
      <c r="IE840" s="9"/>
      <c r="IF840" s="9"/>
      <c r="IG840" s="9"/>
      <c r="IH840" s="9"/>
      <c r="II840" s="9"/>
      <c r="IJ840" s="9"/>
      <c r="IK840" s="9"/>
      <c r="IL840" s="9"/>
      <c r="IM840" s="9"/>
      <c r="IN840" s="9"/>
      <c r="IO840" s="9"/>
      <c r="IP840" s="9"/>
      <c r="IQ840" s="9"/>
      <c r="IR840" s="9"/>
      <c r="IS840" s="9"/>
      <c r="IT840" s="9"/>
      <c r="IU840" s="9"/>
      <c r="IV840" s="9"/>
      <c r="IW840" s="9"/>
      <c r="IX840" s="9"/>
      <c r="IY840" s="9"/>
      <c r="IZ840" s="9"/>
      <c r="JA840" s="9"/>
      <c r="JB840" s="9"/>
      <c r="JC840" s="9"/>
      <c r="JD840" s="9"/>
      <c r="JE840" s="9"/>
      <c r="JF840" s="9"/>
      <c r="JG840" s="9"/>
      <c r="JH840" s="9"/>
      <c r="JI840" s="9"/>
      <c r="JJ840" s="9"/>
      <c r="JK840" s="9"/>
      <c r="JL840" s="9"/>
      <c r="JM840" s="9"/>
      <c r="JN840" s="9"/>
      <c r="JO840" s="9"/>
      <c r="JP840" s="9"/>
      <c r="JQ840" s="9"/>
      <c r="JR840" s="9"/>
      <c r="JS840" s="9"/>
      <c r="JT840" s="9"/>
      <c r="JU840" s="9"/>
      <c r="JV840" s="9"/>
      <c r="JW840" s="9"/>
      <c r="JX840" s="9"/>
      <c r="JY840" s="9"/>
      <c r="JZ840" s="9"/>
      <c r="KA840" s="9"/>
      <c r="KB840" s="9"/>
      <c r="KC840" s="9"/>
      <c r="KD840" s="9"/>
      <c r="KE840" s="9"/>
      <c r="KF840" s="9"/>
      <c r="KG840" s="9"/>
      <c r="KH840" s="9"/>
      <c r="KI840" s="9"/>
      <c r="KJ840" s="9"/>
      <c r="KK840" s="9"/>
      <c r="KL840" s="9"/>
      <c r="KM840" s="9"/>
      <c r="KN840" s="9"/>
      <c r="KO840" s="9"/>
      <c r="KP840" s="9"/>
      <c r="KQ840" s="9"/>
      <c r="KR840" s="9"/>
      <c r="KS840" s="9"/>
      <c r="KT840" s="9"/>
      <c r="KU840" s="9"/>
      <c r="KV840" s="9"/>
      <c r="KW840" s="9"/>
      <c r="KX840" s="9"/>
      <c r="KY840" s="9"/>
      <c r="KZ840" s="9"/>
      <c r="LA840" s="9"/>
      <c r="LB840" s="9"/>
      <c r="LC840" s="9"/>
      <c r="LD840" s="9"/>
      <c r="LE840" s="9"/>
      <c r="LF840" s="9"/>
      <c r="LG840" s="9"/>
      <c r="LH840" s="9"/>
      <c r="LI840" s="9"/>
      <c r="LJ840" s="9"/>
      <c r="LK840" s="9"/>
      <c r="LL840" s="9"/>
      <c r="LM840" s="9"/>
      <c r="LN840" s="9"/>
      <c r="LO840" s="9"/>
      <c r="LP840" s="9"/>
      <c r="LQ840" s="9"/>
      <c r="LR840" s="9"/>
      <c r="LS840" s="9"/>
      <c r="LT840" s="9"/>
      <c r="LU840" s="9"/>
      <c r="LV840" s="9"/>
      <c r="LW840" s="9"/>
      <c r="LX840" s="9"/>
      <c r="LY840" s="9"/>
      <c r="LZ840" s="9"/>
      <c r="MA840" s="9"/>
      <c r="MB840" s="9"/>
      <c r="MC840" s="9"/>
      <c r="MD840" s="9"/>
      <c r="ME840" s="9"/>
      <c r="MF840" s="9"/>
      <c r="MG840" s="9"/>
      <c r="MH840" s="9"/>
      <c r="MI840" s="9"/>
      <c r="MJ840" s="9"/>
      <c r="MK840" s="9"/>
      <c r="ML840" s="9"/>
      <c r="MM840" s="9"/>
      <c r="MN840" s="9"/>
      <c r="MO840" s="9"/>
      <c r="MP840" s="9"/>
      <c r="MQ840" s="9"/>
      <c r="MR840" s="9"/>
      <c r="MS840" s="9"/>
      <c r="MT840" s="9"/>
      <c r="MU840" s="9"/>
      <c r="MV840" s="9"/>
      <c r="MW840" s="9"/>
      <c r="MX840" s="9"/>
      <c r="MY840" s="9"/>
      <c r="MZ840" s="9"/>
      <c r="NA840" s="9"/>
      <c r="NB840" s="9"/>
      <c r="NC840" s="9"/>
      <c r="ND840" s="9"/>
      <c r="NE840" s="9"/>
      <c r="NF840" s="9"/>
      <c r="NG840" s="9"/>
      <c r="NH840" s="9"/>
      <c r="NI840" s="9"/>
      <c r="NJ840" s="9"/>
      <c r="NK840" s="9"/>
      <c r="NL840" s="9"/>
      <c r="NM840" s="9"/>
      <c r="NN840" s="9"/>
      <c r="NO840" s="9"/>
      <c r="NP840" s="9"/>
      <c r="NQ840" s="9"/>
      <c r="NR840" s="9"/>
      <c r="NS840" s="9"/>
      <c r="NT840" s="9"/>
      <c r="NU840" s="9"/>
      <c r="NV840" s="9"/>
      <c r="NW840" s="9"/>
      <c r="NX840" s="9"/>
      <c r="NY840" s="9"/>
      <c r="NZ840" s="9"/>
      <c r="OA840" s="9"/>
      <c r="OB840" s="9"/>
      <c r="OC840" s="9"/>
      <c r="OD840" s="9"/>
      <c r="OE840" s="9"/>
      <c r="OF840" s="9"/>
      <c r="OG840" s="9"/>
      <c r="OH840" s="9"/>
      <c r="OI840" s="9"/>
      <c r="OJ840" s="9"/>
      <c r="OK840" s="9"/>
      <c r="OL840" s="9"/>
      <c r="OM840" s="9"/>
      <c r="ON840" s="9"/>
      <c r="OO840" s="9"/>
      <c r="OP840" s="9"/>
      <c r="OQ840" s="9"/>
      <c r="OR840" s="9"/>
      <c r="OS840" s="9"/>
      <c r="OT840" s="9"/>
      <c r="OU840" s="9"/>
      <c r="OV840" s="9"/>
      <c r="OW840" s="9"/>
      <c r="OX840" s="9"/>
      <c r="OY840" s="9"/>
      <c r="OZ840" s="9"/>
      <c r="PA840" s="9"/>
      <c r="PB840" s="9"/>
      <c r="PC840" s="9"/>
      <c r="PD840" s="9"/>
      <c r="PE840" s="9"/>
      <c r="PF840" s="9"/>
      <c r="PG840" s="9"/>
      <c r="PH840" s="9"/>
      <c r="PI840" s="9"/>
      <c r="PJ840" s="9"/>
      <c r="PK840" s="9"/>
      <c r="PL840" s="9"/>
      <c r="PM840" s="9"/>
      <c r="PN840" s="9"/>
      <c r="PO840" s="9"/>
      <c r="PP840" s="9"/>
      <c r="PQ840" s="9"/>
      <c r="PR840" s="9"/>
      <c r="PS840" s="9"/>
      <c r="PT840" s="9"/>
      <c r="PU840" s="9"/>
      <c r="PV840" s="9"/>
      <c r="PW840" s="9"/>
      <c r="PX840" s="9"/>
      <c r="PY840" s="9"/>
      <c r="PZ840" s="9"/>
      <c r="QA840" s="9"/>
      <c r="QB840" s="9"/>
      <c r="QC840" s="9"/>
      <c r="QD840" s="9"/>
      <c r="QE840" s="9"/>
      <c r="QF840" s="9"/>
      <c r="QG840" s="9"/>
      <c r="QH840" s="9"/>
      <c r="QI840" s="9"/>
      <c r="QJ840" s="9"/>
      <c r="QK840" s="9"/>
      <c r="QL840" s="9"/>
      <c r="QM840" s="9"/>
      <c r="QN840" s="9"/>
      <c r="QO840" s="9"/>
      <c r="QP840" s="9"/>
      <c r="QQ840" s="9"/>
      <c r="QR840" s="9"/>
      <c r="QS840" s="9"/>
      <c r="QT840" s="9"/>
      <c r="QU840" s="9"/>
      <c r="QV840" s="9"/>
      <c r="QW840" s="9"/>
      <c r="QX840" s="9"/>
      <c r="QY840" s="9"/>
      <c r="QZ840" s="9"/>
      <c r="RA840" s="9"/>
      <c r="RB840" s="9"/>
      <c r="RC840" s="9"/>
      <c r="RD840" s="9"/>
      <c r="RE840" s="9"/>
      <c r="RF840" s="9"/>
      <c r="RG840" s="9"/>
      <c r="RH840" s="9"/>
      <c r="RI840" s="9"/>
      <c r="RJ840" s="9"/>
      <c r="RK840" s="9"/>
      <c r="RL840" s="9"/>
      <c r="RM840" s="9"/>
      <c r="RN840" s="9"/>
      <c r="RO840" s="9"/>
      <c r="RP840" s="9"/>
      <c r="RQ840" s="9"/>
      <c r="RR840" s="9"/>
      <c r="RS840" s="9"/>
      <c r="RT840" s="9"/>
      <c r="RU840" s="9"/>
      <c r="RV840" s="9"/>
      <c r="RW840" s="9"/>
      <c r="RX840" s="9"/>
      <c r="RY840" s="9"/>
      <c r="RZ840" s="9"/>
      <c r="SA840" s="9"/>
      <c r="SB840" s="9"/>
      <c r="SC840" s="9"/>
      <c r="SD840" s="9"/>
      <c r="SE840" s="9"/>
      <c r="SF840" s="9"/>
      <c r="SG840" s="9"/>
      <c r="SH840" s="9"/>
      <c r="SI840" s="9"/>
      <c r="SJ840" s="9"/>
      <c r="SK840" s="9"/>
      <c r="SL840" s="9"/>
      <c r="SM840" s="9"/>
      <c r="SN840" s="9"/>
      <c r="SO840" s="9"/>
      <c r="SP840" s="9"/>
      <c r="SQ840" s="9"/>
      <c r="SR840" s="9"/>
      <c r="SS840" s="9"/>
      <c r="ST840" s="9"/>
      <c r="SU840" s="9"/>
      <c r="SV840" s="9"/>
      <c r="SW840" s="9"/>
      <c r="SX840" s="9"/>
      <c r="SY840" s="9"/>
      <c r="SZ840" s="9"/>
      <c r="TA840" s="9"/>
      <c r="TB840" s="9"/>
      <c r="TC840" s="9"/>
      <c r="TD840" s="9"/>
      <c r="TE840" s="9"/>
      <c r="TF840" s="9"/>
      <c r="TG840" s="9"/>
      <c r="TH840" s="9"/>
      <c r="TI840" s="9"/>
      <c r="TJ840" s="9"/>
      <c r="TK840" s="9"/>
      <c r="TL840" s="9"/>
      <c r="TM840" s="9"/>
      <c r="TN840" s="9"/>
      <c r="TO840" s="9"/>
      <c r="TP840" s="9"/>
      <c r="TQ840" s="9"/>
      <c r="TR840" s="9"/>
      <c r="TS840" s="9"/>
      <c r="TT840" s="9"/>
      <c r="TU840" s="9"/>
      <c r="TV840" s="9"/>
      <c r="TW840" s="9"/>
      <c r="TX840" s="9"/>
      <c r="TY840" s="9"/>
      <c r="TZ840" s="9"/>
      <c r="UA840" s="9"/>
      <c r="UB840" s="9"/>
      <c r="UC840" s="9"/>
      <c r="UD840" s="9"/>
      <c r="UE840" s="9"/>
      <c r="UF840" s="9"/>
      <c r="UG840" s="9"/>
      <c r="UH840" s="9"/>
      <c r="UI840" s="9"/>
      <c r="UJ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  <c r="GA841" s="9"/>
      <c r="GB841" s="9"/>
      <c r="GC841" s="9"/>
      <c r="GD841" s="9"/>
      <c r="GE841" s="9"/>
      <c r="GF841" s="9"/>
      <c r="GG841" s="9"/>
      <c r="GH841" s="9"/>
      <c r="GI841" s="9"/>
      <c r="GJ841" s="9"/>
      <c r="GK841" s="9"/>
      <c r="GL841" s="9"/>
      <c r="GM841" s="9"/>
      <c r="GN841" s="9"/>
      <c r="GO841" s="9"/>
      <c r="GP841" s="9"/>
      <c r="GQ841" s="9"/>
      <c r="GR841" s="9"/>
      <c r="GS841" s="9"/>
      <c r="GT841" s="9"/>
      <c r="GU841" s="9"/>
      <c r="GV841" s="9"/>
      <c r="GW841" s="9"/>
      <c r="GX841" s="9"/>
      <c r="GY841" s="9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  <c r="HO841" s="9"/>
      <c r="HP841" s="9"/>
      <c r="HQ841" s="9"/>
      <c r="HR841" s="9"/>
      <c r="HS841" s="9"/>
      <c r="HT841" s="9"/>
      <c r="HU841" s="9"/>
      <c r="HV841" s="9"/>
      <c r="HW841" s="9"/>
      <c r="HX841" s="9"/>
      <c r="HY841" s="9"/>
      <c r="HZ841" s="9"/>
      <c r="IA841" s="9"/>
      <c r="IB841" s="9"/>
      <c r="IC841" s="9"/>
      <c r="ID841" s="9"/>
      <c r="IE841" s="9"/>
      <c r="IF841" s="9"/>
      <c r="IG841" s="9"/>
      <c r="IH841" s="9"/>
      <c r="II841" s="9"/>
      <c r="IJ841" s="9"/>
      <c r="IK841" s="9"/>
      <c r="IL841" s="9"/>
      <c r="IM841" s="9"/>
      <c r="IN841" s="9"/>
      <c r="IO841" s="9"/>
      <c r="IP841" s="9"/>
      <c r="IQ841" s="9"/>
      <c r="IR841" s="9"/>
      <c r="IS841" s="9"/>
      <c r="IT841" s="9"/>
      <c r="IU841" s="9"/>
      <c r="IV841" s="9"/>
      <c r="IW841" s="9"/>
      <c r="IX841" s="9"/>
      <c r="IY841" s="9"/>
      <c r="IZ841" s="9"/>
      <c r="JA841" s="9"/>
      <c r="JB841" s="9"/>
      <c r="JC841" s="9"/>
      <c r="JD841" s="9"/>
      <c r="JE841" s="9"/>
      <c r="JF841" s="9"/>
      <c r="JG841" s="9"/>
      <c r="JH841" s="9"/>
      <c r="JI841" s="9"/>
      <c r="JJ841" s="9"/>
      <c r="JK841" s="9"/>
      <c r="JL841" s="9"/>
      <c r="JM841" s="9"/>
      <c r="JN841" s="9"/>
      <c r="JO841" s="9"/>
      <c r="JP841" s="9"/>
      <c r="JQ841" s="9"/>
      <c r="JR841" s="9"/>
      <c r="JS841" s="9"/>
      <c r="JT841" s="9"/>
      <c r="JU841" s="9"/>
      <c r="JV841" s="9"/>
      <c r="JW841" s="9"/>
      <c r="JX841" s="9"/>
      <c r="JY841" s="9"/>
      <c r="JZ841" s="9"/>
      <c r="KA841" s="9"/>
      <c r="KB841" s="9"/>
      <c r="KC841" s="9"/>
      <c r="KD841" s="9"/>
      <c r="KE841" s="9"/>
      <c r="KF841" s="9"/>
      <c r="KG841" s="9"/>
      <c r="KH841" s="9"/>
      <c r="KI841" s="9"/>
      <c r="KJ841" s="9"/>
      <c r="KK841" s="9"/>
      <c r="KL841" s="9"/>
      <c r="KM841" s="9"/>
      <c r="KN841" s="9"/>
      <c r="KO841" s="9"/>
      <c r="KP841" s="9"/>
      <c r="KQ841" s="9"/>
      <c r="KR841" s="9"/>
      <c r="KS841" s="9"/>
      <c r="KT841" s="9"/>
      <c r="KU841" s="9"/>
      <c r="KV841" s="9"/>
      <c r="KW841" s="9"/>
      <c r="KX841" s="9"/>
      <c r="KY841" s="9"/>
      <c r="KZ841" s="9"/>
      <c r="LA841" s="9"/>
      <c r="LB841" s="9"/>
      <c r="LC841" s="9"/>
      <c r="LD841" s="9"/>
      <c r="LE841" s="9"/>
      <c r="LF841" s="9"/>
      <c r="LG841" s="9"/>
      <c r="LH841" s="9"/>
      <c r="LI841" s="9"/>
      <c r="LJ841" s="9"/>
      <c r="LK841" s="9"/>
      <c r="LL841" s="9"/>
      <c r="LM841" s="9"/>
      <c r="LN841" s="9"/>
      <c r="LO841" s="9"/>
      <c r="LP841" s="9"/>
      <c r="LQ841" s="9"/>
      <c r="LR841" s="9"/>
      <c r="LS841" s="9"/>
      <c r="LT841" s="9"/>
      <c r="LU841" s="9"/>
      <c r="LV841" s="9"/>
      <c r="LW841" s="9"/>
      <c r="LX841" s="9"/>
      <c r="LY841" s="9"/>
      <c r="LZ841" s="9"/>
      <c r="MA841" s="9"/>
      <c r="MB841" s="9"/>
      <c r="MC841" s="9"/>
      <c r="MD841" s="9"/>
      <c r="ME841" s="9"/>
      <c r="MF841" s="9"/>
      <c r="MG841" s="9"/>
      <c r="MH841" s="9"/>
      <c r="MI841" s="9"/>
      <c r="MJ841" s="9"/>
      <c r="MK841" s="9"/>
      <c r="ML841" s="9"/>
      <c r="MM841" s="9"/>
      <c r="MN841" s="9"/>
      <c r="MO841" s="9"/>
      <c r="MP841" s="9"/>
      <c r="MQ841" s="9"/>
      <c r="MR841" s="9"/>
      <c r="MS841" s="9"/>
      <c r="MT841" s="9"/>
      <c r="MU841" s="9"/>
      <c r="MV841" s="9"/>
      <c r="MW841" s="9"/>
      <c r="MX841" s="9"/>
      <c r="MY841" s="9"/>
      <c r="MZ841" s="9"/>
      <c r="NA841" s="9"/>
      <c r="NB841" s="9"/>
      <c r="NC841" s="9"/>
      <c r="ND841" s="9"/>
      <c r="NE841" s="9"/>
      <c r="NF841" s="9"/>
      <c r="NG841" s="9"/>
      <c r="NH841" s="9"/>
      <c r="NI841" s="9"/>
      <c r="NJ841" s="9"/>
      <c r="NK841" s="9"/>
      <c r="NL841" s="9"/>
      <c r="NM841" s="9"/>
      <c r="NN841" s="9"/>
      <c r="NO841" s="9"/>
      <c r="NP841" s="9"/>
      <c r="NQ841" s="9"/>
      <c r="NR841" s="9"/>
      <c r="NS841" s="9"/>
      <c r="NT841" s="9"/>
      <c r="NU841" s="9"/>
      <c r="NV841" s="9"/>
      <c r="NW841" s="9"/>
      <c r="NX841" s="9"/>
      <c r="NY841" s="9"/>
      <c r="NZ841" s="9"/>
      <c r="OA841" s="9"/>
      <c r="OB841" s="9"/>
      <c r="OC841" s="9"/>
      <c r="OD841" s="9"/>
      <c r="OE841" s="9"/>
      <c r="OF841" s="9"/>
      <c r="OG841" s="9"/>
      <c r="OH841" s="9"/>
      <c r="OI841" s="9"/>
      <c r="OJ841" s="9"/>
      <c r="OK841" s="9"/>
      <c r="OL841" s="9"/>
      <c r="OM841" s="9"/>
      <c r="ON841" s="9"/>
      <c r="OO841" s="9"/>
      <c r="OP841" s="9"/>
      <c r="OQ841" s="9"/>
      <c r="OR841" s="9"/>
      <c r="OS841" s="9"/>
      <c r="OT841" s="9"/>
      <c r="OU841" s="9"/>
      <c r="OV841" s="9"/>
      <c r="OW841" s="9"/>
      <c r="OX841" s="9"/>
      <c r="OY841" s="9"/>
      <c r="OZ841" s="9"/>
      <c r="PA841" s="9"/>
      <c r="PB841" s="9"/>
      <c r="PC841" s="9"/>
      <c r="PD841" s="9"/>
      <c r="PE841" s="9"/>
      <c r="PF841" s="9"/>
      <c r="PG841" s="9"/>
      <c r="PH841" s="9"/>
      <c r="PI841" s="9"/>
      <c r="PJ841" s="9"/>
      <c r="PK841" s="9"/>
      <c r="PL841" s="9"/>
      <c r="PM841" s="9"/>
      <c r="PN841" s="9"/>
      <c r="PO841" s="9"/>
      <c r="PP841" s="9"/>
      <c r="PQ841" s="9"/>
      <c r="PR841" s="9"/>
      <c r="PS841" s="9"/>
      <c r="PT841" s="9"/>
      <c r="PU841" s="9"/>
      <c r="PV841" s="9"/>
      <c r="PW841" s="9"/>
      <c r="PX841" s="9"/>
      <c r="PY841" s="9"/>
      <c r="PZ841" s="9"/>
      <c r="QA841" s="9"/>
      <c r="QB841" s="9"/>
      <c r="QC841" s="9"/>
      <c r="QD841" s="9"/>
      <c r="QE841" s="9"/>
      <c r="QF841" s="9"/>
      <c r="QG841" s="9"/>
      <c r="QH841" s="9"/>
      <c r="QI841" s="9"/>
      <c r="QJ841" s="9"/>
      <c r="QK841" s="9"/>
      <c r="QL841" s="9"/>
      <c r="QM841" s="9"/>
      <c r="QN841" s="9"/>
      <c r="QO841" s="9"/>
      <c r="QP841" s="9"/>
      <c r="QQ841" s="9"/>
      <c r="QR841" s="9"/>
      <c r="QS841" s="9"/>
      <c r="QT841" s="9"/>
      <c r="QU841" s="9"/>
      <c r="QV841" s="9"/>
      <c r="QW841" s="9"/>
      <c r="QX841" s="9"/>
      <c r="QY841" s="9"/>
      <c r="QZ841" s="9"/>
      <c r="RA841" s="9"/>
      <c r="RB841" s="9"/>
      <c r="RC841" s="9"/>
      <c r="RD841" s="9"/>
      <c r="RE841" s="9"/>
      <c r="RF841" s="9"/>
      <c r="RG841" s="9"/>
      <c r="RH841" s="9"/>
      <c r="RI841" s="9"/>
      <c r="RJ841" s="9"/>
      <c r="RK841" s="9"/>
      <c r="RL841" s="9"/>
      <c r="RM841" s="9"/>
      <c r="RN841" s="9"/>
      <c r="RO841" s="9"/>
      <c r="RP841" s="9"/>
      <c r="RQ841" s="9"/>
      <c r="RR841" s="9"/>
      <c r="RS841" s="9"/>
      <c r="RT841" s="9"/>
      <c r="RU841" s="9"/>
      <c r="RV841" s="9"/>
      <c r="RW841" s="9"/>
      <c r="RX841" s="9"/>
      <c r="RY841" s="9"/>
      <c r="RZ841" s="9"/>
      <c r="SA841" s="9"/>
      <c r="SB841" s="9"/>
      <c r="SC841" s="9"/>
      <c r="SD841" s="9"/>
      <c r="SE841" s="9"/>
      <c r="SF841" s="9"/>
      <c r="SG841" s="9"/>
      <c r="SH841" s="9"/>
      <c r="SI841" s="9"/>
      <c r="SJ841" s="9"/>
      <c r="SK841" s="9"/>
      <c r="SL841" s="9"/>
      <c r="SM841" s="9"/>
      <c r="SN841" s="9"/>
      <c r="SO841" s="9"/>
      <c r="SP841" s="9"/>
      <c r="SQ841" s="9"/>
      <c r="SR841" s="9"/>
      <c r="SS841" s="9"/>
      <c r="ST841" s="9"/>
      <c r="SU841" s="9"/>
      <c r="SV841" s="9"/>
      <c r="SW841" s="9"/>
      <c r="SX841" s="9"/>
      <c r="SY841" s="9"/>
      <c r="SZ841" s="9"/>
      <c r="TA841" s="9"/>
      <c r="TB841" s="9"/>
      <c r="TC841" s="9"/>
      <c r="TD841" s="9"/>
      <c r="TE841" s="9"/>
      <c r="TF841" s="9"/>
      <c r="TG841" s="9"/>
      <c r="TH841" s="9"/>
      <c r="TI841" s="9"/>
      <c r="TJ841" s="9"/>
      <c r="TK841" s="9"/>
      <c r="TL841" s="9"/>
      <c r="TM841" s="9"/>
      <c r="TN841" s="9"/>
      <c r="TO841" s="9"/>
      <c r="TP841" s="9"/>
      <c r="TQ841" s="9"/>
      <c r="TR841" s="9"/>
      <c r="TS841" s="9"/>
      <c r="TT841" s="9"/>
      <c r="TU841" s="9"/>
      <c r="TV841" s="9"/>
      <c r="TW841" s="9"/>
      <c r="TX841" s="9"/>
      <c r="TY841" s="9"/>
      <c r="TZ841" s="9"/>
      <c r="UA841" s="9"/>
      <c r="UB841" s="9"/>
      <c r="UC841" s="9"/>
      <c r="UD841" s="9"/>
      <c r="UE841" s="9"/>
      <c r="UF841" s="9"/>
      <c r="UG841" s="9"/>
      <c r="UH841" s="9"/>
      <c r="UI841" s="9"/>
      <c r="UJ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  <c r="GA842" s="9"/>
      <c r="GB842" s="9"/>
      <c r="GC842" s="9"/>
      <c r="GD842" s="9"/>
      <c r="GE842" s="9"/>
      <c r="GF842" s="9"/>
      <c r="GG842" s="9"/>
      <c r="GH842" s="9"/>
      <c r="GI842" s="9"/>
      <c r="GJ842" s="9"/>
      <c r="GK842" s="9"/>
      <c r="GL842" s="9"/>
      <c r="GM842" s="9"/>
      <c r="GN842" s="9"/>
      <c r="GO842" s="9"/>
      <c r="GP842" s="9"/>
      <c r="GQ842" s="9"/>
      <c r="GR842" s="9"/>
      <c r="GS842" s="9"/>
      <c r="GT842" s="9"/>
      <c r="GU842" s="9"/>
      <c r="GV842" s="9"/>
      <c r="GW842" s="9"/>
      <c r="GX842" s="9"/>
      <c r="GY842" s="9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  <c r="HO842" s="9"/>
      <c r="HP842" s="9"/>
      <c r="HQ842" s="9"/>
      <c r="HR842" s="9"/>
      <c r="HS842" s="9"/>
      <c r="HT842" s="9"/>
      <c r="HU842" s="9"/>
      <c r="HV842" s="9"/>
      <c r="HW842" s="9"/>
      <c r="HX842" s="9"/>
      <c r="HY842" s="9"/>
      <c r="HZ842" s="9"/>
      <c r="IA842" s="9"/>
      <c r="IB842" s="9"/>
      <c r="IC842" s="9"/>
      <c r="ID842" s="9"/>
      <c r="IE842" s="9"/>
      <c r="IF842" s="9"/>
      <c r="IG842" s="9"/>
      <c r="IH842" s="9"/>
      <c r="II842" s="9"/>
      <c r="IJ842" s="9"/>
      <c r="IK842" s="9"/>
      <c r="IL842" s="9"/>
      <c r="IM842" s="9"/>
      <c r="IN842" s="9"/>
      <c r="IO842" s="9"/>
      <c r="IP842" s="9"/>
      <c r="IQ842" s="9"/>
      <c r="IR842" s="9"/>
      <c r="IS842" s="9"/>
      <c r="IT842" s="9"/>
      <c r="IU842" s="9"/>
      <c r="IV842" s="9"/>
      <c r="IW842" s="9"/>
      <c r="IX842" s="9"/>
      <c r="IY842" s="9"/>
      <c r="IZ842" s="9"/>
      <c r="JA842" s="9"/>
      <c r="JB842" s="9"/>
      <c r="JC842" s="9"/>
      <c r="JD842" s="9"/>
      <c r="JE842" s="9"/>
      <c r="JF842" s="9"/>
      <c r="JG842" s="9"/>
      <c r="JH842" s="9"/>
      <c r="JI842" s="9"/>
      <c r="JJ842" s="9"/>
      <c r="JK842" s="9"/>
      <c r="JL842" s="9"/>
      <c r="JM842" s="9"/>
      <c r="JN842" s="9"/>
      <c r="JO842" s="9"/>
      <c r="JP842" s="9"/>
      <c r="JQ842" s="9"/>
      <c r="JR842" s="9"/>
      <c r="JS842" s="9"/>
      <c r="JT842" s="9"/>
      <c r="JU842" s="9"/>
      <c r="JV842" s="9"/>
      <c r="JW842" s="9"/>
      <c r="JX842" s="9"/>
      <c r="JY842" s="9"/>
      <c r="JZ842" s="9"/>
      <c r="KA842" s="9"/>
      <c r="KB842" s="9"/>
      <c r="KC842" s="9"/>
      <c r="KD842" s="9"/>
      <c r="KE842" s="9"/>
      <c r="KF842" s="9"/>
      <c r="KG842" s="9"/>
      <c r="KH842" s="9"/>
      <c r="KI842" s="9"/>
      <c r="KJ842" s="9"/>
      <c r="KK842" s="9"/>
      <c r="KL842" s="9"/>
      <c r="KM842" s="9"/>
      <c r="KN842" s="9"/>
      <c r="KO842" s="9"/>
      <c r="KP842" s="9"/>
      <c r="KQ842" s="9"/>
      <c r="KR842" s="9"/>
      <c r="KS842" s="9"/>
      <c r="KT842" s="9"/>
      <c r="KU842" s="9"/>
      <c r="KV842" s="9"/>
      <c r="KW842" s="9"/>
      <c r="KX842" s="9"/>
      <c r="KY842" s="9"/>
      <c r="KZ842" s="9"/>
      <c r="LA842" s="9"/>
      <c r="LB842" s="9"/>
      <c r="LC842" s="9"/>
      <c r="LD842" s="9"/>
      <c r="LE842" s="9"/>
      <c r="LF842" s="9"/>
      <c r="LG842" s="9"/>
      <c r="LH842" s="9"/>
      <c r="LI842" s="9"/>
      <c r="LJ842" s="9"/>
      <c r="LK842" s="9"/>
      <c r="LL842" s="9"/>
      <c r="LM842" s="9"/>
      <c r="LN842" s="9"/>
      <c r="LO842" s="9"/>
      <c r="LP842" s="9"/>
      <c r="LQ842" s="9"/>
      <c r="LR842" s="9"/>
      <c r="LS842" s="9"/>
      <c r="LT842" s="9"/>
      <c r="LU842" s="9"/>
      <c r="LV842" s="9"/>
      <c r="LW842" s="9"/>
      <c r="LX842" s="9"/>
      <c r="LY842" s="9"/>
      <c r="LZ842" s="9"/>
      <c r="MA842" s="9"/>
      <c r="MB842" s="9"/>
      <c r="MC842" s="9"/>
      <c r="MD842" s="9"/>
      <c r="ME842" s="9"/>
      <c r="MF842" s="9"/>
      <c r="MG842" s="9"/>
      <c r="MH842" s="9"/>
      <c r="MI842" s="9"/>
      <c r="MJ842" s="9"/>
      <c r="MK842" s="9"/>
      <c r="ML842" s="9"/>
      <c r="MM842" s="9"/>
      <c r="MN842" s="9"/>
      <c r="MO842" s="9"/>
      <c r="MP842" s="9"/>
      <c r="MQ842" s="9"/>
      <c r="MR842" s="9"/>
      <c r="MS842" s="9"/>
      <c r="MT842" s="9"/>
      <c r="MU842" s="9"/>
      <c r="MV842" s="9"/>
      <c r="MW842" s="9"/>
      <c r="MX842" s="9"/>
      <c r="MY842" s="9"/>
      <c r="MZ842" s="9"/>
      <c r="NA842" s="9"/>
      <c r="NB842" s="9"/>
      <c r="NC842" s="9"/>
      <c r="ND842" s="9"/>
      <c r="NE842" s="9"/>
      <c r="NF842" s="9"/>
      <c r="NG842" s="9"/>
      <c r="NH842" s="9"/>
      <c r="NI842" s="9"/>
      <c r="NJ842" s="9"/>
      <c r="NK842" s="9"/>
      <c r="NL842" s="9"/>
      <c r="NM842" s="9"/>
      <c r="NN842" s="9"/>
      <c r="NO842" s="9"/>
      <c r="NP842" s="9"/>
      <c r="NQ842" s="9"/>
      <c r="NR842" s="9"/>
      <c r="NS842" s="9"/>
      <c r="NT842" s="9"/>
      <c r="NU842" s="9"/>
      <c r="NV842" s="9"/>
      <c r="NW842" s="9"/>
      <c r="NX842" s="9"/>
      <c r="NY842" s="9"/>
      <c r="NZ842" s="9"/>
      <c r="OA842" s="9"/>
      <c r="OB842" s="9"/>
      <c r="OC842" s="9"/>
      <c r="OD842" s="9"/>
      <c r="OE842" s="9"/>
      <c r="OF842" s="9"/>
      <c r="OG842" s="9"/>
      <c r="OH842" s="9"/>
      <c r="OI842" s="9"/>
      <c r="OJ842" s="9"/>
      <c r="OK842" s="9"/>
      <c r="OL842" s="9"/>
      <c r="OM842" s="9"/>
      <c r="ON842" s="9"/>
      <c r="OO842" s="9"/>
      <c r="OP842" s="9"/>
      <c r="OQ842" s="9"/>
      <c r="OR842" s="9"/>
      <c r="OS842" s="9"/>
      <c r="OT842" s="9"/>
      <c r="OU842" s="9"/>
      <c r="OV842" s="9"/>
      <c r="OW842" s="9"/>
      <c r="OX842" s="9"/>
      <c r="OY842" s="9"/>
      <c r="OZ842" s="9"/>
      <c r="PA842" s="9"/>
      <c r="PB842" s="9"/>
      <c r="PC842" s="9"/>
      <c r="PD842" s="9"/>
      <c r="PE842" s="9"/>
      <c r="PF842" s="9"/>
      <c r="PG842" s="9"/>
      <c r="PH842" s="9"/>
      <c r="PI842" s="9"/>
      <c r="PJ842" s="9"/>
      <c r="PK842" s="9"/>
      <c r="PL842" s="9"/>
      <c r="PM842" s="9"/>
      <c r="PN842" s="9"/>
      <c r="PO842" s="9"/>
      <c r="PP842" s="9"/>
      <c r="PQ842" s="9"/>
      <c r="PR842" s="9"/>
      <c r="PS842" s="9"/>
      <c r="PT842" s="9"/>
      <c r="PU842" s="9"/>
      <c r="PV842" s="9"/>
      <c r="PW842" s="9"/>
      <c r="PX842" s="9"/>
      <c r="PY842" s="9"/>
      <c r="PZ842" s="9"/>
      <c r="QA842" s="9"/>
      <c r="QB842" s="9"/>
      <c r="QC842" s="9"/>
      <c r="QD842" s="9"/>
      <c r="QE842" s="9"/>
      <c r="QF842" s="9"/>
      <c r="QG842" s="9"/>
      <c r="QH842" s="9"/>
      <c r="QI842" s="9"/>
      <c r="QJ842" s="9"/>
      <c r="QK842" s="9"/>
      <c r="QL842" s="9"/>
      <c r="QM842" s="9"/>
      <c r="QN842" s="9"/>
      <c r="QO842" s="9"/>
      <c r="QP842" s="9"/>
      <c r="QQ842" s="9"/>
      <c r="QR842" s="9"/>
      <c r="QS842" s="9"/>
      <c r="QT842" s="9"/>
      <c r="QU842" s="9"/>
      <c r="QV842" s="9"/>
      <c r="QW842" s="9"/>
      <c r="QX842" s="9"/>
      <c r="QY842" s="9"/>
      <c r="QZ842" s="9"/>
      <c r="RA842" s="9"/>
      <c r="RB842" s="9"/>
      <c r="RC842" s="9"/>
      <c r="RD842" s="9"/>
      <c r="RE842" s="9"/>
      <c r="RF842" s="9"/>
      <c r="RG842" s="9"/>
      <c r="RH842" s="9"/>
      <c r="RI842" s="9"/>
      <c r="RJ842" s="9"/>
      <c r="RK842" s="9"/>
      <c r="RL842" s="9"/>
      <c r="RM842" s="9"/>
      <c r="RN842" s="9"/>
      <c r="RO842" s="9"/>
      <c r="RP842" s="9"/>
      <c r="RQ842" s="9"/>
      <c r="RR842" s="9"/>
      <c r="RS842" s="9"/>
      <c r="RT842" s="9"/>
      <c r="RU842" s="9"/>
      <c r="RV842" s="9"/>
      <c r="RW842" s="9"/>
      <c r="RX842" s="9"/>
      <c r="RY842" s="9"/>
      <c r="RZ842" s="9"/>
      <c r="SA842" s="9"/>
      <c r="SB842" s="9"/>
      <c r="SC842" s="9"/>
      <c r="SD842" s="9"/>
      <c r="SE842" s="9"/>
      <c r="SF842" s="9"/>
      <c r="SG842" s="9"/>
      <c r="SH842" s="9"/>
      <c r="SI842" s="9"/>
      <c r="SJ842" s="9"/>
      <c r="SK842" s="9"/>
      <c r="SL842" s="9"/>
      <c r="SM842" s="9"/>
      <c r="SN842" s="9"/>
      <c r="SO842" s="9"/>
      <c r="SP842" s="9"/>
      <c r="SQ842" s="9"/>
      <c r="SR842" s="9"/>
      <c r="SS842" s="9"/>
      <c r="ST842" s="9"/>
      <c r="SU842" s="9"/>
      <c r="SV842" s="9"/>
      <c r="SW842" s="9"/>
      <c r="SX842" s="9"/>
      <c r="SY842" s="9"/>
      <c r="SZ842" s="9"/>
      <c r="TA842" s="9"/>
      <c r="TB842" s="9"/>
      <c r="TC842" s="9"/>
      <c r="TD842" s="9"/>
      <c r="TE842" s="9"/>
      <c r="TF842" s="9"/>
      <c r="TG842" s="9"/>
      <c r="TH842" s="9"/>
      <c r="TI842" s="9"/>
      <c r="TJ842" s="9"/>
      <c r="TK842" s="9"/>
      <c r="TL842" s="9"/>
      <c r="TM842" s="9"/>
      <c r="TN842" s="9"/>
      <c r="TO842" s="9"/>
      <c r="TP842" s="9"/>
      <c r="TQ842" s="9"/>
      <c r="TR842" s="9"/>
      <c r="TS842" s="9"/>
      <c r="TT842" s="9"/>
      <c r="TU842" s="9"/>
      <c r="TV842" s="9"/>
      <c r="TW842" s="9"/>
      <c r="TX842" s="9"/>
      <c r="TY842" s="9"/>
      <c r="TZ842" s="9"/>
      <c r="UA842" s="9"/>
      <c r="UB842" s="9"/>
      <c r="UC842" s="9"/>
      <c r="UD842" s="9"/>
      <c r="UE842" s="9"/>
      <c r="UF842" s="9"/>
      <c r="UG842" s="9"/>
      <c r="UH842" s="9"/>
      <c r="UI842" s="9"/>
      <c r="UJ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  <c r="GA843" s="9"/>
      <c r="GB843" s="9"/>
      <c r="GC843" s="9"/>
      <c r="GD843" s="9"/>
      <c r="GE843" s="9"/>
      <c r="GF843" s="9"/>
      <c r="GG843" s="9"/>
      <c r="GH843" s="9"/>
      <c r="GI843" s="9"/>
      <c r="GJ843" s="9"/>
      <c r="GK843" s="9"/>
      <c r="GL843" s="9"/>
      <c r="GM843" s="9"/>
      <c r="GN843" s="9"/>
      <c r="GO843" s="9"/>
      <c r="GP843" s="9"/>
      <c r="GQ843" s="9"/>
      <c r="GR843" s="9"/>
      <c r="GS843" s="9"/>
      <c r="GT843" s="9"/>
      <c r="GU843" s="9"/>
      <c r="GV843" s="9"/>
      <c r="GW843" s="9"/>
      <c r="GX843" s="9"/>
      <c r="GY843" s="9"/>
      <c r="GZ843" s="9"/>
      <c r="HA843" s="9"/>
      <c r="HB843" s="9"/>
      <c r="HC843" s="9"/>
      <c r="HD843" s="9"/>
      <c r="HE843" s="9"/>
      <c r="HF843" s="9"/>
      <c r="HG843" s="9"/>
      <c r="HH843" s="9"/>
      <c r="HI843" s="9"/>
      <c r="HJ843" s="9"/>
      <c r="HK843" s="9"/>
      <c r="HL843" s="9"/>
      <c r="HM843" s="9"/>
      <c r="HN843" s="9"/>
      <c r="HO843" s="9"/>
      <c r="HP843" s="9"/>
      <c r="HQ843" s="9"/>
      <c r="HR843" s="9"/>
      <c r="HS843" s="9"/>
      <c r="HT843" s="9"/>
      <c r="HU843" s="9"/>
      <c r="HV843" s="9"/>
      <c r="HW843" s="9"/>
      <c r="HX843" s="9"/>
      <c r="HY843" s="9"/>
      <c r="HZ843" s="9"/>
      <c r="IA843" s="9"/>
      <c r="IB843" s="9"/>
      <c r="IC843" s="9"/>
      <c r="ID843" s="9"/>
      <c r="IE843" s="9"/>
      <c r="IF843" s="9"/>
      <c r="IG843" s="9"/>
      <c r="IH843" s="9"/>
      <c r="II843" s="9"/>
      <c r="IJ843" s="9"/>
      <c r="IK843" s="9"/>
      <c r="IL843" s="9"/>
      <c r="IM843" s="9"/>
      <c r="IN843" s="9"/>
      <c r="IO843" s="9"/>
      <c r="IP843" s="9"/>
      <c r="IQ843" s="9"/>
      <c r="IR843" s="9"/>
      <c r="IS843" s="9"/>
      <c r="IT843" s="9"/>
      <c r="IU843" s="9"/>
      <c r="IV843" s="9"/>
      <c r="IW843" s="9"/>
      <c r="IX843" s="9"/>
      <c r="IY843" s="9"/>
      <c r="IZ843" s="9"/>
      <c r="JA843" s="9"/>
      <c r="JB843" s="9"/>
      <c r="JC843" s="9"/>
      <c r="JD843" s="9"/>
      <c r="JE843" s="9"/>
      <c r="JF843" s="9"/>
      <c r="JG843" s="9"/>
      <c r="JH843" s="9"/>
      <c r="JI843" s="9"/>
      <c r="JJ843" s="9"/>
      <c r="JK843" s="9"/>
      <c r="JL843" s="9"/>
      <c r="JM843" s="9"/>
      <c r="JN843" s="9"/>
      <c r="JO843" s="9"/>
      <c r="JP843" s="9"/>
      <c r="JQ843" s="9"/>
      <c r="JR843" s="9"/>
      <c r="JS843" s="9"/>
      <c r="JT843" s="9"/>
      <c r="JU843" s="9"/>
      <c r="JV843" s="9"/>
      <c r="JW843" s="9"/>
      <c r="JX843" s="9"/>
      <c r="JY843" s="9"/>
      <c r="JZ843" s="9"/>
      <c r="KA843" s="9"/>
      <c r="KB843" s="9"/>
      <c r="KC843" s="9"/>
      <c r="KD843" s="9"/>
      <c r="KE843" s="9"/>
      <c r="KF843" s="9"/>
      <c r="KG843" s="9"/>
      <c r="KH843" s="9"/>
      <c r="KI843" s="9"/>
      <c r="KJ843" s="9"/>
      <c r="KK843" s="9"/>
      <c r="KL843" s="9"/>
      <c r="KM843" s="9"/>
      <c r="KN843" s="9"/>
      <c r="KO843" s="9"/>
      <c r="KP843" s="9"/>
      <c r="KQ843" s="9"/>
      <c r="KR843" s="9"/>
      <c r="KS843" s="9"/>
      <c r="KT843" s="9"/>
      <c r="KU843" s="9"/>
      <c r="KV843" s="9"/>
      <c r="KW843" s="9"/>
      <c r="KX843" s="9"/>
      <c r="KY843" s="9"/>
      <c r="KZ843" s="9"/>
      <c r="LA843" s="9"/>
      <c r="LB843" s="9"/>
      <c r="LC843" s="9"/>
      <c r="LD843" s="9"/>
      <c r="LE843" s="9"/>
      <c r="LF843" s="9"/>
      <c r="LG843" s="9"/>
      <c r="LH843" s="9"/>
      <c r="LI843" s="9"/>
      <c r="LJ843" s="9"/>
      <c r="LK843" s="9"/>
      <c r="LL843" s="9"/>
      <c r="LM843" s="9"/>
      <c r="LN843" s="9"/>
      <c r="LO843" s="9"/>
      <c r="LP843" s="9"/>
      <c r="LQ843" s="9"/>
      <c r="LR843" s="9"/>
      <c r="LS843" s="9"/>
      <c r="LT843" s="9"/>
      <c r="LU843" s="9"/>
      <c r="LV843" s="9"/>
      <c r="LW843" s="9"/>
      <c r="LX843" s="9"/>
      <c r="LY843" s="9"/>
      <c r="LZ843" s="9"/>
      <c r="MA843" s="9"/>
      <c r="MB843" s="9"/>
      <c r="MC843" s="9"/>
      <c r="MD843" s="9"/>
      <c r="ME843" s="9"/>
      <c r="MF843" s="9"/>
      <c r="MG843" s="9"/>
      <c r="MH843" s="9"/>
      <c r="MI843" s="9"/>
      <c r="MJ843" s="9"/>
      <c r="MK843" s="9"/>
      <c r="ML843" s="9"/>
      <c r="MM843" s="9"/>
      <c r="MN843" s="9"/>
      <c r="MO843" s="9"/>
      <c r="MP843" s="9"/>
      <c r="MQ843" s="9"/>
      <c r="MR843" s="9"/>
      <c r="MS843" s="9"/>
      <c r="MT843" s="9"/>
      <c r="MU843" s="9"/>
      <c r="MV843" s="9"/>
      <c r="MW843" s="9"/>
      <c r="MX843" s="9"/>
      <c r="MY843" s="9"/>
      <c r="MZ843" s="9"/>
      <c r="NA843" s="9"/>
      <c r="NB843" s="9"/>
      <c r="NC843" s="9"/>
      <c r="ND843" s="9"/>
      <c r="NE843" s="9"/>
      <c r="NF843" s="9"/>
      <c r="NG843" s="9"/>
      <c r="NH843" s="9"/>
      <c r="NI843" s="9"/>
      <c r="NJ843" s="9"/>
      <c r="NK843" s="9"/>
      <c r="NL843" s="9"/>
      <c r="NM843" s="9"/>
      <c r="NN843" s="9"/>
      <c r="NO843" s="9"/>
      <c r="NP843" s="9"/>
      <c r="NQ843" s="9"/>
      <c r="NR843" s="9"/>
      <c r="NS843" s="9"/>
      <c r="NT843" s="9"/>
      <c r="NU843" s="9"/>
      <c r="NV843" s="9"/>
      <c r="NW843" s="9"/>
      <c r="NX843" s="9"/>
      <c r="NY843" s="9"/>
      <c r="NZ843" s="9"/>
      <c r="OA843" s="9"/>
      <c r="OB843" s="9"/>
      <c r="OC843" s="9"/>
      <c r="OD843" s="9"/>
      <c r="OE843" s="9"/>
      <c r="OF843" s="9"/>
      <c r="OG843" s="9"/>
      <c r="OH843" s="9"/>
      <c r="OI843" s="9"/>
      <c r="OJ843" s="9"/>
      <c r="OK843" s="9"/>
      <c r="OL843" s="9"/>
      <c r="OM843" s="9"/>
      <c r="ON843" s="9"/>
      <c r="OO843" s="9"/>
      <c r="OP843" s="9"/>
      <c r="OQ843" s="9"/>
      <c r="OR843" s="9"/>
      <c r="OS843" s="9"/>
      <c r="OT843" s="9"/>
      <c r="OU843" s="9"/>
      <c r="OV843" s="9"/>
      <c r="OW843" s="9"/>
      <c r="OX843" s="9"/>
      <c r="OY843" s="9"/>
      <c r="OZ843" s="9"/>
      <c r="PA843" s="9"/>
      <c r="PB843" s="9"/>
      <c r="PC843" s="9"/>
      <c r="PD843" s="9"/>
      <c r="PE843" s="9"/>
      <c r="PF843" s="9"/>
      <c r="PG843" s="9"/>
      <c r="PH843" s="9"/>
      <c r="PI843" s="9"/>
      <c r="PJ843" s="9"/>
      <c r="PK843" s="9"/>
      <c r="PL843" s="9"/>
      <c r="PM843" s="9"/>
      <c r="PN843" s="9"/>
      <c r="PO843" s="9"/>
      <c r="PP843" s="9"/>
      <c r="PQ843" s="9"/>
      <c r="PR843" s="9"/>
      <c r="PS843" s="9"/>
      <c r="PT843" s="9"/>
      <c r="PU843" s="9"/>
      <c r="PV843" s="9"/>
      <c r="PW843" s="9"/>
      <c r="PX843" s="9"/>
      <c r="PY843" s="9"/>
      <c r="PZ843" s="9"/>
      <c r="QA843" s="9"/>
      <c r="QB843" s="9"/>
      <c r="QC843" s="9"/>
      <c r="QD843" s="9"/>
      <c r="QE843" s="9"/>
      <c r="QF843" s="9"/>
      <c r="QG843" s="9"/>
      <c r="QH843" s="9"/>
      <c r="QI843" s="9"/>
      <c r="QJ843" s="9"/>
      <c r="QK843" s="9"/>
      <c r="QL843" s="9"/>
      <c r="QM843" s="9"/>
      <c r="QN843" s="9"/>
      <c r="QO843" s="9"/>
      <c r="QP843" s="9"/>
      <c r="QQ843" s="9"/>
      <c r="QR843" s="9"/>
      <c r="QS843" s="9"/>
      <c r="QT843" s="9"/>
      <c r="QU843" s="9"/>
      <c r="QV843" s="9"/>
      <c r="QW843" s="9"/>
      <c r="QX843" s="9"/>
      <c r="QY843" s="9"/>
      <c r="QZ843" s="9"/>
      <c r="RA843" s="9"/>
      <c r="RB843" s="9"/>
      <c r="RC843" s="9"/>
      <c r="RD843" s="9"/>
      <c r="RE843" s="9"/>
      <c r="RF843" s="9"/>
      <c r="RG843" s="9"/>
      <c r="RH843" s="9"/>
      <c r="RI843" s="9"/>
      <c r="RJ843" s="9"/>
      <c r="RK843" s="9"/>
      <c r="RL843" s="9"/>
      <c r="RM843" s="9"/>
      <c r="RN843" s="9"/>
      <c r="RO843" s="9"/>
      <c r="RP843" s="9"/>
      <c r="RQ843" s="9"/>
      <c r="RR843" s="9"/>
      <c r="RS843" s="9"/>
      <c r="RT843" s="9"/>
      <c r="RU843" s="9"/>
      <c r="RV843" s="9"/>
      <c r="RW843" s="9"/>
      <c r="RX843" s="9"/>
      <c r="RY843" s="9"/>
      <c r="RZ843" s="9"/>
      <c r="SA843" s="9"/>
      <c r="SB843" s="9"/>
      <c r="SC843" s="9"/>
      <c r="SD843" s="9"/>
      <c r="SE843" s="9"/>
      <c r="SF843" s="9"/>
      <c r="SG843" s="9"/>
      <c r="SH843" s="9"/>
      <c r="SI843" s="9"/>
      <c r="SJ843" s="9"/>
      <c r="SK843" s="9"/>
      <c r="SL843" s="9"/>
      <c r="SM843" s="9"/>
      <c r="SN843" s="9"/>
      <c r="SO843" s="9"/>
      <c r="SP843" s="9"/>
      <c r="SQ843" s="9"/>
      <c r="SR843" s="9"/>
      <c r="SS843" s="9"/>
      <c r="ST843" s="9"/>
      <c r="SU843" s="9"/>
      <c r="SV843" s="9"/>
      <c r="SW843" s="9"/>
      <c r="SX843" s="9"/>
      <c r="SY843" s="9"/>
      <c r="SZ843" s="9"/>
      <c r="TA843" s="9"/>
      <c r="TB843" s="9"/>
      <c r="TC843" s="9"/>
      <c r="TD843" s="9"/>
      <c r="TE843" s="9"/>
      <c r="TF843" s="9"/>
      <c r="TG843" s="9"/>
      <c r="TH843" s="9"/>
      <c r="TI843" s="9"/>
      <c r="TJ843" s="9"/>
      <c r="TK843" s="9"/>
      <c r="TL843" s="9"/>
      <c r="TM843" s="9"/>
      <c r="TN843" s="9"/>
      <c r="TO843" s="9"/>
      <c r="TP843" s="9"/>
      <c r="TQ843" s="9"/>
      <c r="TR843" s="9"/>
      <c r="TS843" s="9"/>
      <c r="TT843" s="9"/>
      <c r="TU843" s="9"/>
      <c r="TV843" s="9"/>
      <c r="TW843" s="9"/>
      <c r="TX843" s="9"/>
      <c r="TY843" s="9"/>
      <c r="TZ843" s="9"/>
      <c r="UA843" s="9"/>
      <c r="UB843" s="9"/>
      <c r="UC843" s="9"/>
      <c r="UD843" s="9"/>
      <c r="UE843" s="9"/>
      <c r="UF843" s="9"/>
      <c r="UG843" s="9"/>
      <c r="UH843" s="9"/>
      <c r="UI843" s="9"/>
      <c r="UJ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  <c r="GA844" s="9"/>
      <c r="GB844" s="9"/>
      <c r="GC844" s="9"/>
      <c r="GD844" s="9"/>
      <c r="GE844" s="9"/>
      <c r="GF844" s="9"/>
      <c r="GG844" s="9"/>
      <c r="GH844" s="9"/>
      <c r="GI844" s="9"/>
      <c r="GJ844" s="9"/>
      <c r="GK844" s="9"/>
      <c r="GL844" s="9"/>
      <c r="GM844" s="9"/>
      <c r="GN844" s="9"/>
      <c r="GO844" s="9"/>
      <c r="GP844" s="9"/>
      <c r="GQ844" s="9"/>
      <c r="GR844" s="9"/>
      <c r="GS844" s="9"/>
      <c r="GT844" s="9"/>
      <c r="GU844" s="9"/>
      <c r="GV844" s="9"/>
      <c r="GW844" s="9"/>
      <c r="GX844" s="9"/>
      <c r="GY844" s="9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  <c r="HO844" s="9"/>
      <c r="HP844" s="9"/>
      <c r="HQ844" s="9"/>
      <c r="HR844" s="9"/>
      <c r="HS844" s="9"/>
      <c r="HT844" s="9"/>
      <c r="HU844" s="9"/>
      <c r="HV844" s="9"/>
      <c r="HW844" s="9"/>
      <c r="HX844" s="9"/>
      <c r="HY844" s="9"/>
      <c r="HZ844" s="9"/>
      <c r="IA844" s="9"/>
      <c r="IB844" s="9"/>
      <c r="IC844" s="9"/>
      <c r="ID844" s="9"/>
      <c r="IE844" s="9"/>
      <c r="IF844" s="9"/>
      <c r="IG844" s="9"/>
      <c r="IH844" s="9"/>
      <c r="II844" s="9"/>
      <c r="IJ844" s="9"/>
      <c r="IK844" s="9"/>
      <c r="IL844" s="9"/>
      <c r="IM844" s="9"/>
      <c r="IN844" s="9"/>
      <c r="IO844" s="9"/>
      <c r="IP844" s="9"/>
      <c r="IQ844" s="9"/>
      <c r="IR844" s="9"/>
      <c r="IS844" s="9"/>
      <c r="IT844" s="9"/>
      <c r="IU844" s="9"/>
      <c r="IV844" s="9"/>
      <c r="IW844" s="9"/>
      <c r="IX844" s="9"/>
      <c r="IY844" s="9"/>
      <c r="IZ844" s="9"/>
      <c r="JA844" s="9"/>
      <c r="JB844" s="9"/>
      <c r="JC844" s="9"/>
      <c r="JD844" s="9"/>
      <c r="JE844" s="9"/>
      <c r="JF844" s="9"/>
      <c r="JG844" s="9"/>
      <c r="JH844" s="9"/>
      <c r="JI844" s="9"/>
      <c r="JJ844" s="9"/>
      <c r="JK844" s="9"/>
      <c r="JL844" s="9"/>
      <c r="JM844" s="9"/>
      <c r="JN844" s="9"/>
      <c r="JO844" s="9"/>
      <c r="JP844" s="9"/>
      <c r="JQ844" s="9"/>
      <c r="JR844" s="9"/>
      <c r="JS844" s="9"/>
      <c r="JT844" s="9"/>
      <c r="JU844" s="9"/>
      <c r="JV844" s="9"/>
      <c r="JW844" s="9"/>
      <c r="JX844" s="9"/>
      <c r="JY844" s="9"/>
      <c r="JZ844" s="9"/>
      <c r="KA844" s="9"/>
      <c r="KB844" s="9"/>
      <c r="KC844" s="9"/>
      <c r="KD844" s="9"/>
      <c r="KE844" s="9"/>
      <c r="KF844" s="9"/>
      <c r="KG844" s="9"/>
      <c r="KH844" s="9"/>
      <c r="KI844" s="9"/>
      <c r="KJ844" s="9"/>
      <c r="KK844" s="9"/>
      <c r="KL844" s="9"/>
      <c r="KM844" s="9"/>
      <c r="KN844" s="9"/>
      <c r="KO844" s="9"/>
      <c r="KP844" s="9"/>
      <c r="KQ844" s="9"/>
      <c r="KR844" s="9"/>
      <c r="KS844" s="9"/>
      <c r="KT844" s="9"/>
      <c r="KU844" s="9"/>
      <c r="KV844" s="9"/>
      <c r="KW844" s="9"/>
      <c r="KX844" s="9"/>
      <c r="KY844" s="9"/>
      <c r="KZ844" s="9"/>
      <c r="LA844" s="9"/>
      <c r="LB844" s="9"/>
      <c r="LC844" s="9"/>
      <c r="LD844" s="9"/>
      <c r="LE844" s="9"/>
      <c r="LF844" s="9"/>
      <c r="LG844" s="9"/>
      <c r="LH844" s="9"/>
      <c r="LI844" s="9"/>
      <c r="LJ844" s="9"/>
      <c r="LK844" s="9"/>
      <c r="LL844" s="9"/>
      <c r="LM844" s="9"/>
      <c r="LN844" s="9"/>
      <c r="LO844" s="9"/>
      <c r="LP844" s="9"/>
      <c r="LQ844" s="9"/>
      <c r="LR844" s="9"/>
      <c r="LS844" s="9"/>
      <c r="LT844" s="9"/>
      <c r="LU844" s="9"/>
      <c r="LV844" s="9"/>
      <c r="LW844" s="9"/>
      <c r="LX844" s="9"/>
      <c r="LY844" s="9"/>
      <c r="LZ844" s="9"/>
      <c r="MA844" s="9"/>
      <c r="MB844" s="9"/>
      <c r="MC844" s="9"/>
      <c r="MD844" s="9"/>
      <c r="ME844" s="9"/>
      <c r="MF844" s="9"/>
      <c r="MG844" s="9"/>
      <c r="MH844" s="9"/>
      <c r="MI844" s="9"/>
      <c r="MJ844" s="9"/>
      <c r="MK844" s="9"/>
      <c r="ML844" s="9"/>
      <c r="MM844" s="9"/>
      <c r="MN844" s="9"/>
      <c r="MO844" s="9"/>
      <c r="MP844" s="9"/>
      <c r="MQ844" s="9"/>
      <c r="MR844" s="9"/>
      <c r="MS844" s="9"/>
      <c r="MT844" s="9"/>
      <c r="MU844" s="9"/>
      <c r="MV844" s="9"/>
      <c r="MW844" s="9"/>
      <c r="MX844" s="9"/>
      <c r="MY844" s="9"/>
      <c r="MZ844" s="9"/>
      <c r="NA844" s="9"/>
      <c r="NB844" s="9"/>
      <c r="NC844" s="9"/>
      <c r="ND844" s="9"/>
      <c r="NE844" s="9"/>
      <c r="NF844" s="9"/>
      <c r="NG844" s="9"/>
      <c r="NH844" s="9"/>
      <c r="NI844" s="9"/>
      <c r="NJ844" s="9"/>
      <c r="NK844" s="9"/>
      <c r="NL844" s="9"/>
      <c r="NM844" s="9"/>
      <c r="NN844" s="9"/>
      <c r="NO844" s="9"/>
      <c r="NP844" s="9"/>
      <c r="NQ844" s="9"/>
      <c r="NR844" s="9"/>
      <c r="NS844" s="9"/>
      <c r="NT844" s="9"/>
      <c r="NU844" s="9"/>
      <c r="NV844" s="9"/>
      <c r="NW844" s="9"/>
      <c r="NX844" s="9"/>
      <c r="NY844" s="9"/>
      <c r="NZ844" s="9"/>
      <c r="OA844" s="9"/>
      <c r="OB844" s="9"/>
      <c r="OC844" s="9"/>
      <c r="OD844" s="9"/>
      <c r="OE844" s="9"/>
      <c r="OF844" s="9"/>
      <c r="OG844" s="9"/>
      <c r="OH844" s="9"/>
      <c r="OI844" s="9"/>
      <c r="OJ844" s="9"/>
      <c r="OK844" s="9"/>
      <c r="OL844" s="9"/>
      <c r="OM844" s="9"/>
      <c r="ON844" s="9"/>
      <c r="OO844" s="9"/>
      <c r="OP844" s="9"/>
      <c r="OQ844" s="9"/>
      <c r="OR844" s="9"/>
      <c r="OS844" s="9"/>
      <c r="OT844" s="9"/>
      <c r="OU844" s="9"/>
      <c r="OV844" s="9"/>
      <c r="OW844" s="9"/>
      <c r="OX844" s="9"/>
      <c r="OY844" s="9"/>
      <c r="OZ844" s="9"/>
      <c r="PA844" s="9"/>
      <c r="PB844" s="9"/>
      <c r="PC844" s="9"/>
      <c r="PD844" s="9"/>
      <c r="PE844" s="9"/>
      <c r="PF844" s="9"/>
      <c r="PG844" s="9"/>
      <c r="PH844" s="9"/>
      <c r="PI844" s="9"/>
      <c r="PJ844" s="9"/>
      <c r="PK844" s="9"/>
      <c r="PL844" s="9"/>
      <c r="PM844" s="9"/>
      <c r="PN844" s="9"/>
      <c r="PO844" s="9"/>
      <c r="PP844" s="9"/>
      <c r="PQ844" s="9"/>
      <c r="PR844" s="9"/>
      <c r="PS844" s="9"/>
      <c r="PT844" s="9"/>
      <c r="PU844" s="9"/>
      <c r="PV844" s="9"/>
      <c r="PW844" s="9"/>
      <c r="PX844" s="9"/>
      <c r="PY844" s="9"/>
      <c r="PZ844" s="9"/>
      <c r="QA844" s="9"/>
      <c r="QB844" s="9"/>
      <c r="QC844" s="9"/>
      <c r="QD844" s="9"/>
      <c r="QE844" s="9"/>
      <c r="QF844" s="9"/>
      <c r="QG844" s="9"/>
      <c r="QH844" s="9"/>
      <c r="QI844" s="9"/>
      <c r="QJ844" s="9"/>
      <c r="QK844" s="9"/>
      <c r="QL844" s="9"/>
      <c r="QM844" s="9"/>
      <c r="QN844" s="9"/>
      <c r="QO844" s="9"/>
      <c r="QP844" s="9"/>
      <c r="QQ844" s="9"/>
      <c r="QR844" s="9"/>
      <c r="QS844" s="9"/>
      <c r="QT844" s="9"/>
      <c r="QU844" s="9"/>
      <c r="QV844" s="9"/>
      <c r="QW844" s="9"/>
      <c r="QX844" s="9"/>
      <c r="QY844" s="9"/>
      <c r="QZ844" s="9"/>
      <c r="RA844" s="9"/>
      <c r="RB844" s="9"/>
      <c r="RC844" s="9"/>
      <c r="RD844" s="9"/>
      <c r="RE844" s="9"/>
      <c r="RF844" s="9"/>
      <c r="RG844" s="9"/>
      <c r="RH844" s="9"/>
      <c r="RI844" s="9"/>
      <c r="RJ844" s="9"/>
      <c r="RK844" s="9"/>
      <c r="RL844" s="9"/>
      <c r="RM844" s="9"/>
      <c r="RN844" s="9"/>
      <c r="RO844" s="9"/>
      <c r="RP844" s="9"/>
      <c r="RQ844" s="9"/>
      <c r="RR844" s="9"/>
      <c r="RS844" s="9"/>
      <c r="RT844" s="9"/>
      <c r="RU844" s="9"/>
      <c r="RV844" s="9"/>
      <c r="RW844" s="9"/>
      <c r="RX844" s="9"/>
      <c r="RY844" s="9"/>
      <c r="RZ844" s="9"/>
      <c r="SA844" s="9"/>
      <c r="SB844" s="9"/>
      <c r="SC844" s="9"/>
      <c r="SD844" s="9"/>
      <c r="SE844" s="9"/>
      <c r="SF844" s="9"/>
      <c r="SG844" s="9"/>
      <c r="SH844" s="9"/>
      <c r="SI844" s="9"/>
      <c r="SJ844" s="9"/>
      <c r="SK844" s="9"/>
      <c r="SL844" s="9"/>
      <c r="SM844" s="9"/>
      <c r="SN844" s="9"/>
      <c r="SO844" s="9"/>
      <c r="SP844" s="9"/>
      <c r="SQ844" s="9"/>
      <c r="SR844" s="9"/>
      <c r="SS844" s="9"/>
      <c r="ST844" s="9"/>
      <c r="SU844" s="9"/>
      <c r="SV844" s="9"/>
      <c r="SW844" s="9"/>
      <c r="SX844" s="9"/>
      <c r="SY844" s="9"/>
      <c r="SZ844" s="9"/>
      <c r="TA844" s="9"/>
      <c r="TB844" s="9"/>
      <c r="TC844" s="9"/>
      <c r="TD844" s="9"/>
      <c r="TE844" s="9"/>
      <c r="TF844" s="9"/>
      <c r="TG844" s="9"/>
      <c r="TH844" s="9"/>
      <c r="TI844" s="9"/>
      <c r="TJ844" s="9"/>
      <c r="TK844" s="9"/>
      <c r="TL844" s="9"/>
      <c r="TM844" s="9"/>
      <c r="TN844" s="9"/>
      <c r="TO844" s="9"/>
      <c r="TP844" s="9"/>
      <c r="TQ844" s="9"/>
      <c r="TR844" s="9"/>
      <c r="TS844" s="9"/>
      <c r="TT844" s="9"/>
      <c r="TU844" s="9"/>
      <c r="TV844" s="9"/>
      <c r="TW844" s="9"/>
      <c r="TX844" s="9"/>
      <c r="TY844" s="9"/>
      <c r="TZ844" s="9"/>
      <c r="UA844" s="9"/>
      <c r="UB844" s="9"/>
      <c r="UC844" s="9"/>
      <c r="UD844" s="9"/>
      <c r="UE844" s="9"/>
      <c r="UF844" s="9"/>
      <c r="UG844" s="9"/>
      <c r="UH844" s="9"/>
      <c r="UI844" s="9"/>
      <c r="UJ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  <c r="HO845" s="9"/>
      <c r="HP845" s="9"/>
      <c r="HQ845" s="9"/>
      <c r="HR845" s="9"/>
      <c r="HS845" s="9"/>
      <c r="HT845" s="9"/>
      <c r="HU845" s="9"/>
      <c r="HV845" s="9"/>
      <c r="HW845" s="9"/>
      <c r="HX845" s="9"/>
      <c r="HY845" s="9"/>
      <c r="HZ845" s="9"/>
      <c r="IA845" s="9"/>
      <c r="IB845" s="9"/>
      <c r="IC845" s="9"/>
      <c r="ID845" s="9"/>
      <c r="IE845" s="9"/>
      <c r="IF845" s="9"/>
      <c r="IG845" s="9"/>
      <c r="IH845" s="9"/>
      <c r="II845" s="9"/>
      <c r="IJ845" s="9"/>
      <c r="IK845" s="9"/>
      <c r="IL845" s="9"/>
      <c r="IM845" s="9"/>
      <c r="IN845" s="9"/>
      <c r="IO845" s="9"/>
      <c r="IP845" s="9"/>
      <c r="IQ845" s="9"/>
      <c r="IR845" s="9"/>
      <c r="IS845" s="9"/>
      <c r="IT845" s="9"/>
      <c r="IU845" s="9"/>
      <c r="IV845" s="9"/>
      <c r="IW845" s="9"/>
      <c r="IX845" s="9"/>
      <c r="IY845" s="9"/>
      <c r="IZ845" s="9"/>
      <c r="JA845" s="9"/>
      <c r="JB845" s="9"/>
      <c r="JC845" s="9"/>
      <c r="JD845" s="9"/>
      <c r="JE845" s="9"/>
      <c r="JF845" s="9"/>
      <c r="JG845" s="9"/>
      <c r="JH845" s="9"/>
      <c r="JI845" s="9"/>
      <c r="JJ845" s="9"/>
      <c r="JK845" s="9"/>
      <c r="JL845" s="9"/>
      <c r="JM845" s="9"/>
      <c r="JN845" s="9"/>
      <c r="JO845" s="9"/>
      <c r="JP845" s="9"/>
      <c r="JQ845" s="9"/>
      <c r="JR845" s="9"/>
      <c r="JS845" s="9"/>
      <c r="JT845" s="9"/>
      <c r="JU845" s="9"/>
      <c r="JV845" s="9"/>
      <c r="JW845" s="9"/>
      <c r="JX845" s="9"/>
      <c r="JY845" s="9"/>
      <c r="JZ845" s="9"/>
      <c r="KA845" s="9"/>
      <c r="KB845" s="9"/>
      <c r="KC845" s="9"/>
      <c r="KD845" s="9"/>
      <c r="KE845" s="9"/>
      <c r="KF845" s="9"/>
      <c r="KG845" s="9"/>
      <c r="KH845" s="9"/>
      <c r="KI845" s="9"/>
      <c r="KJ845" s="9"/>
      <c r="KK845" s="9"/>
      <c r="KL845" s="9"/>
      <c r="KM845" s="9"/>
      <c r="KN845" s="9"/>
      <c r="KO845" s="9"/>
      <c r="KP845" s="9"/>
      <c r="KQ845" s="9"/>
      <c r="KR845" s="9"/>
      <c r="KS845" s="9"/>
      <c r="KT845" s="9"/>
      <c r="KU845" s="9"/>
      <c r="KV845" s="9"/>
      <c r="KW845" s="9"/>
      <c r="KX845" s="9"/>
      <c r="KY845" s="9"/>
      <c r="KZ845" s="9"/>
      <c r="LA845" s="9"/>
      <c r="LB845" s="9"/>
      <c r="LC845" s="9"/>
      <c r="LD845" s="9"/>
      <c r="LE845" s="9"/>
      <c r="LF845" s="9"/>
      <c r="LG845" s="9"/>
      <c r="LH845" s="9"/>
      <c r="LI845" s="9"/>
      <c r="LJ845" s="9"/>
      <c r="LK845" s="9"/>
      <c r="LL845" s="9"/>
      <c r="LM845" s="9"/>
      <c r="LN845" s="9"/>
      <c r="LO845" s="9"/>
      <c r="LP845" s="9"/>
      <c r="LQ845" s="9"/>
      <c r="LR845" s="9"/>
      <c r="LS845" s="9"/>
      <c r="LT845" s="9"/>
      <c r="LU845" s="9"/>
      <c r="LV845" s="9"/>
      <c r="LW845" s="9"/>
      <c r="LX845" s="9"/>
      <c r="LY845" s="9"/>
      <c r="LZ845" s="9"/>
      <c r="MA845" s="9"/>
      <c r="MB845" s="9"/>
      <c r="MC845" s="9"/>
      <c r="MD845" s="9"/>
      <c r="ME845" s="9"/>
      <c r="MF845" s="9"/>
      <c r="MG845" s="9"/>
      <c r="MH845" s="9"/>
      <c r="MI845" s="9"/>
      <c r="MJ845" s="9"/>
      <c r="MK845" s="9"/>
      <c r="ML845" s="9"/>
      <c r="MM845" s="9"/>
      <c r="MN845" s="9"/>
      <c r="MO845" s="9"/>
      <c r="MP845" s="9"/>
      <c r="MQ845" s="9"/>
      <c r="MR845" s="9"/>
      <c r="MS845" s="9"/>
      <c r="MT845" s="9"/>
      <c r="MU845" s="9"/>
      <c r="MV845" s="9"/>
      <c r="MW845" s="9"/>
      <c r="MX845" s="9"/>
      <c r="MY845" s="9"/>
      <c r="MZ845" s="9"/>
      <c r="NA845" s="9"/>
      <c r="NB845" s="9"/>
      <c r="NC845" s="9"/>
      <c r="ND845" s="9"/>
      <c r="NE845" s="9"/>
      <c r="NF845" s="9"/>
      <c r="NG845" s="9"/>
      <c r="NH845" s="9"/>
      <c r="NI845" s="9"/>
      <c r="NJ845" s="9"/>
      <c r="NK845" s="9"/>
      <c r="NL845" s="9"/>
      <c r="NM845" s="9"/>
      <c r="NN845" s="9"/>
      <c r="NO845" s="9"/>
      <c r="NP845" s="9"/>
      <c r="NQ845" s="9"/>
      <c r="NR845" s="9"/>
      <c r="NS845" s="9"/>
      <c r="NT845" s="9"/>
      <c r="NU845" s="9"/>
      <c r="NV845" s="9"/>
      <c r="NW845" s="9"/>
      <c r="NX845" s="9"/>
      <c r="NY845" s="9"/>
      <c r="NZ845" s="9"/>
      <c r="OA845" s="9"/>
      <c r="OB845" s="9"/>
      <c r="OC845" s="9"/>
      <c r="OD845" s="9"/>
      <c r="OE845" s="9"/>
      <c r="OF845" s="9"/>
      <c r="OG845" s="9"/>
      <c r="OH845" s="9"/>
      <c r="OI845" s="9"/>
      <c r="OJ845" s="9"/>
      <c r="OK845" s="9"/>
      <c r="OL845" s="9"/>
      <c r="OM845" s="9"/>
      <c r="ON845" s="9"/>
      <c r="OO845" s="9"/>
      <c r="OP845" s="9"/>
      <c r="OQ845" s="9"/>
      <c r="OR845" s="9"/>
      <c r="OS845" s="9"/>
      <c r="OT845" s="9"/>
      <c r="OU845" s="9"/>
      <c r="OV845" s="9"/>
      <c r="OW845" s="9"/>
      <c r="OX845" s="9"/>
      <c r="OY845" s="9"/>
      <c r="OZ845" s="9"/>
      <c r="PA845" s="9"/>
      <c r="PB845" s="9"/>
      <c r="PC845" s="9"/>
      <c r="PD845" s="9"/>
      <c r="PE845" s="9"/>
      <c r="PF845" s="9"/>
      <c r="PG845" s="9"/>
      <c r="PH845" s="9"/>
      <c r="PI845" s="9"/>
      <c r="PJ845" s="9"/>
      <c r="PK845" s="9"/>
      <c r="PL845" s="9"/>
      <c r="PM845" s="9"/>
      <c r="PN845" s="9"/>
      <c r="PO845" s="9"/>
      <c r="PP845" s="9"/>
      <c r="PQ845" s="9"/>
      <c r="PR845" s="9"/>
      <c r="PS845" s="9"/>
      <c r="PT845" s="9"/>
      <c r="PU845" s="9"/>
      <c r="PV845" s="9"/>
      <c r="PW845" s="9"/>
      <c r="PX845" s="9"/>
      <c r="PY845" s="9"/>
      <c r="PZ845" s="9"/>
      <c r="QA845" s="9"/>
      <c r="QB845" s="9"/>
      <c r="QC845" s="9"/>
      <c r="QD845" s="9"/>
      <c r="QE845" s="9"/>
      <c r="QF845" s="9"/>
      <c r="QG845" s="9"/>
      <c r="QH845" s="9"/>
      <c r="QI845" s="9"/>
      <c r="QJ845" s="9"/>
      <c r="QK845" s="9"/>
      <c r="QL845" s="9"/>
      <c r="QM845" s="9"/>
      <c r="QN845" s="9"/>
      <c r="QO845" s="9"/>
      <c r="QP845" s="9"/>
      <c r="QQ845" s="9"/>
      <c r="QR845" s="9"/>
      <c r="QS845" s="9"/>
      <c r="QT845" s="9"/>
      <c r="QU845" s="9"/>
      <c r="QV845" s="9"/>
      <c r="QW845" s="9"/>
      <c r="QX845" s="9"/>
      <c r="QY845" s="9"/>
      <c r="QZ845" s="9"/>
      <c r="RA845" s="9"/>
      <c r="RB845" s="9"/>
      <c r="RC845" s="9"/>
      <c r="RD845" s="9"/>
      <c r="RE845" s="9"/>
      <c r="RF845" s="9"/>
      <c r="RG845" s="9"/>
      <c r="RH845" s="9"/>
      <c r="RI845" s="9"/>
      <c r="RJ845" s="9"/>
      <c r="RK845" s="9"/>
      <c r="RL845" s="9"/>
      <c r="RM845" s="9"/>
      <c r="RN845" s="9"/>
      <c r="RO845" s="9"/>
      <c r="RP845" s="9"/>
      <c r="RQ845" s="9"/>
      <c r="RR845" s="9"/>
      <c r="RS845" s="9"/>
      <c r="RT845" s="9"/>
      <c r="RU845" s="9"/>
      <c r="RV845" s="9"/>
      <c r="RW845" s="9"/>
      <c r="RX845" s="9"/>
      <c r="RY845" s="9"/>
      <c r="RZ845" s="9"/>
      <c r="SA845" s="9"/>
      <c r="SB845" s="9"/>
      <c r="SC845" s="9"/>
      <c r="SD845" s="9"/>
      <c r="SE845" s="9"/>
      <c r="SF845" s="9"/>
      <c r="SG845" s="9"/>
      <c r="SH845" s="9"/>
      <c r="SI845" s="9"/>
      <c r="SJ845" s="9"/>
      <c r="SK845" s="9"/>
      <c r="SL845" s="9"/>
      <c r="SM845" s="9"/>
      <c r="SN845" s="9"/>
      <c r="SO845" s="9"/>
      <c r="SP845" s="9"/>
      <c r="SQ845" s="9"/>
      <c r="SR845" s="9"/>
      <c r="SS845" s="9"/>
      <c r="ST845" s="9"/>
      <c r="SU845" s="9"/>
      <c r="SV845" s="9"/>
      <c r="SW845" s="9"/>
      <c r="SX845" s="9"/>
      <c r="SY845" s="9"/>
      <c r="SZ845" s="9"/>
      <c r="TA845" s="9"/>
      <c r="TB845" s="9"/>
      <c r="TC845" s="9"/>
      <c r="TD845" s="9"/>
      <c r="TE845" s="9"/>
      <c r="TF845" s="9"/>
      <c r="TG845" s="9"/>
      <c r="TH845" s="9"/>
      <c r="TI845" s="9"/>
      <c r="TJ845" s="9"/>
      <c r="TK845" s="9"/>
      <c r="TL845" s="9"/>
      <c r="TM845" s="9"/>
      <c r="TN845" s="9"/>
      <c r="TO845" s="9"/>
      <c r="TP845" s="9"/>
      <c r="TQ845" s="9"/>
      <c r="TR845" s="9"/>
      <c r="TS845" s="9"/>
      <c r="TT845" s="9"/>
      <c r="TU845" s="9"/>
      <c r="TV845" s="9"/>
      <c r="TW845" s="9"/>
      <c r="TX845" s="9"/>
      <c r="TY845" s="9"/>
      <c r="TZ845" s="9"/>
      <c r="UA845" s="9"/>
      <c r="UB845" s="9"/>
      <c r="UC845" s="9"/>
      <c r="UD845" s="9"/>
      <c r="UE845" s="9"/>
      <c r="UF845" s="9"/>
      <c r="UG845" s="9"/>
      <c r="UH845" s="9"/>
      <c r="UI845" s="9"/>
      <c r="UJ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  <c r="GA846" s="9"/>
      <c r="GB846" s="9"/>
      <c r="GC846" s="9"/>
      <c r="GD846" s="9"/>
      <c r="GE846" s="9"/>
      <c r="GF846" s="9"/>
      <c r="GG846" s="9"/>
      <c r="GH846" s="9"/>
      <c r="GI846" s="9"/>
      <c r="GJ846" s="9"/>
      <c r="GK846" s="9"/>
      <c r="GL846" s="9"/>
      <c r="GM846" s="9"/>
      <c r="GN846" s="9"/>
      <c r="GO846" s="9"/>
      <c r="GP846" s="9"/>
      <c r="GQ846" s="9"/>
      <c r="GR846" s="9"/>
      <c r="GS846" s="9"/>
      <c r="GT846" s="9"/>
      <c r="GU846" s="9"/>
      <c r="GV846" s="9"/>
      <c r="GW846" s="9"/>
      <c r="GX846" s="9"/>
      <c r="GY846" s="9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  <c r="HO846" s="9"/>
      <c r="HP846" s="9"/>
      <c r="HQ846" s="9"/>
      <c r="HR846" s="9"/>
      <c r="HS846" s="9"/>
      <c r="HT846" s="9"/>
      <c r="HU846" s="9"/>
      <c r="HV846" s="9"/>
      <c r="HW846" s="9"/>
      <c r="HX846" s="9"/>
      <c r="HY846" s="9"/>
      <c r="HZ846" s="9"/>
      <c r="IA846" s="9"/>
      <c r="IB846" s="9"/>
      <c r="IC846" s="9"/>
      <c r="ID846" s="9"/>
      <c r="IE846" s="9"/>
      <c r="IF846" s="9"/>
      <c r="IG846" s="9"/>
      <c r="IH846" s="9"/>
      <c r="II846" s="9"/>
      <c r="IJ846" s="9"/>
      <c r="IK846" s="9"/>
      <c r="IL846" s="9"/>
      <c r="IM846" s="9"/>
      <c r="IN846" s="9"/>
      <c r="IO846" s="9"/>
      <c r="IP846" s="9"/>
      <c r="IQ846" s="9"/>
      <c r="IR846" s="9"/>
      <c r="IS846" s="9"/>
      <c r="IT846" s="9"/>
      <c r="IU846" s="9"/>
      <c r="IV846" s="9"/>
      <c r="IW846" s="9"/>
      <c r="IX846" s="9"/>
      <c r="IY846" s="9"/>
      <c r="IZ846" s="9"/>
      <c r="JA846" s="9"/>
      <c r="JB846" s="9"/>
      <c r="JC846" s="9"/>
      <c r="JD846" s="9"/>
      <c r="JE846" s="9"/>
      <c r="JF846" s="9"/>
      <c r="JG846" s="9"/>
      <c r="JH846" s="9"/>
      <c r="JI846" s="9"/>
      <c r="JJ846" s="9"/>
      <c r="JK846" s="9"/>
      <c r="JL846" s="9"/>
      <c r="JM846" s="9"/>
      <c r="JN846" s="9"/>
      <c r="JO846" s="9"/>
      <c r="JP846" s="9"/>
      <c r="JQ846" s="9"/>
      <c r="JR846" s="9"/>
      <c r="JS846" s="9"/>
      <c r="JT846" s="9"/>
      <c r="JU846" s="9"/>
      <c r="JV846" s="9"/>
      <c r="JW846" s="9"/>
      <c r="JX846" s="9"/>
      <c r="JY846" s="9"/>
      <c r="JZ846" s="9"/>
      <c r="KA846" s="9"/>
      <c r="KB846" s="9"/>
      <c r="KC846" s="9"/>
      <c r="KD846" s="9"/>
      <c r="KE846" s="9"/>
      <c r="KF846" s="9"/>
      <c r="KG846" s="9"/>
      <c r="KH846" s="9"/>
      <c r="KI846" s="9"/>
      <c r="KJ846" s="9"/>
      <c r="KK846" s="9"/>
      <c r="KL846" s="9"/>
      <c r="KM846" s="9"/>
      <c r="KN846" s="9"/>
      <c r="KO846" s="9"/>
      <c r="KP846" s="9"/>
      <c r="KQ846" s="9"/>
      <c r="KR846" s="9"/>
      <c r="KS846" s="9"/>
      <c r="KT846" s="9"/>
      <c r="KU846" s="9"/>
      <c r="KV846" s="9"/>
      <c r="KW846" s="9"/>
      <c r="KX846" s="9"/>
      <c r="KY846" s="9"/>
      <c r="KZ846" s="9"/>
      <c r="LA846" s="9"/>
      <c r="LB846" s="9"/>
      <c r="LC846" s="9"/>
      <c r="LD846" s="9"/>
      <c r="LE846" s="9"/>
      <c r="LF846" s="9"/>
      <c r="LG846" s="9"/>
      <c r="LH846" s="9"/>
      <c r="LI846" s="9"/>
      <c r="LJ846" s="9"/>
      <c r="LK846" s="9"/>
      <c r="LL846" s="9"/>
      <c r="LM846" s="9"/>
      <c r="LN846" s="9"/>
      <c r="LO846" s="9"/>
      <c r="LP846" s="9"/>
      <c r="LQ846" s="9"/>
      <c r="LR846" s="9"/>
      <c r="LS846" s="9"/>
      <c r="LT846" s="9"/>
      <c r="LU846" s="9"/>
      <c r="LV846" s="9"/>
      <c r="LW846" s="9"/>
      <c r="LX846" s="9"/>
      <c r="LY846" s="9"/>
      <c r="LZ846" s="9"/>
      <c r="MA846" s="9"/>
      <c r="MB846" s="9"/>
      <c r="MC846" s="9"/>
      <c r="MD846" s="9"/>
      <c r="ME846" s="9"/>
      <c r="MF846" s="9"/>
      <c r="MG846" s="9"/>
      <c r="MH846" s="9"/>
      <c r="MI846" s="9"/>
      <c r="MJ846" s="9"/>
      <c r="MK846" s="9"/>
      <c r="ML846" s="9"/>
      <c r="MM846" s="9"/>
      <c r="MN846" s="9"/>
      <c r="MO846" s="9"/>
      <c r="MP846" s="9"/>
      <c r="MQ846" s="9"/>
      <c r="MR846" s="9"/>
      <c r="MS846" s="9"/>
      <c r="MT846" s="9"/>
      <c r="MU846" s="9"/>
      <c r="MV846" s="9"/>
      <c r="MW846" s="9"/>
      <c r="MX846" s="9"/>
      <c r="MY846" s="9"/>
      <c r="MZ846" s="9"/>
      <c r="NA846" s="9"/>
      <c r="NB846" s="9"/>
      <c r="NC846" s="9"/>
      <c r="ND846" s="9"/>
      <c r="NE846" s="9"/>
      <c r="NF846" s="9"/>
      <c r="NG846" s="9"/>
      <c r="NH846" s="9"/>
      <c r="NI846" s="9"/>
      <c r="NJ846" s="9"/>
      <c r="NK846" s="9"/>
      <c r="NL846" s="9"/>
      <c r="NM846" s="9"/>
      <c r="NN846" s="9"/>
      <c r="NO846" s="9"/>
      <c r="NP846" s="9"/>
      <c r="NQ846" s="9"/>
      <c r="NR846" s="9"/>
      <c r="NS846" s="9"/>
      <c r="NT846" s="9"/>
      <c r="NU846" s="9"/>
      <c r="NV846" s="9"/>
      <c r="NW846" s="9"/>
      <c r="NX846" s="9"/>
      <c r="NY846" s="9"/>
      <c r="NZ846" s="9"/>
      <c r="OA846" s="9"/>
      <c r="OB846" s="9"/>
      <c r="OC846" s="9"/>
      <c r="OD846" s="9"/>
      <c r="OE846" s="9"/>
      <c r="OF846" s="9"/>
      <c r="OG846" s="9"/>
      <c r="OH846" s="9"/>
      <c r="OI846" s="9"/>
      <c r="OJ846" s="9"/>
      <c r="OK846" s="9"/>
      <c r="OL846" s="9"/>
      <c r="OM846" s="9"/>
      <c r="ON846" s="9"/>
      <c r="OO846" s="9"/>
      <c r="OP846" s="9"/>
      <c r="OQ846" s="9"/>
      <c r="OR846" s="9"/>
      <c r="OS846" s="9"/>
      <c r="OT846" s="9"/>
      <c r="OU846" s="9"/>
      <c r="OV846" s="9"/>
      <c r="OW846" s="9"/>
      <c r="OX846" s="9"/>
      <c r="OY846" s="9"/>
      <c r="OZ846" s="9"/>
      <c r="PA846" s="9"/>
      <c r="PB846" s="9"/>
      <c r="PC846" s="9"/>
      <c r="PD846" s="9"/>
      <c r="PE846" s="9"/>
      <c r="PF846" s="9"/>
      <c r="PG846" s="9"/>
      <c r="PH846" s="9"/>
      <c r="PI846" s="9"/>
      <c r="PJ846" s="9"/>
      <c r="PK846" s="9"/>
      <c r="PL846" s="9"/>
      <c r="PM846" s="9"/>
      <c r="PN846" s="9"/>
      <c r="PO846" s="9"/>
      <c r="PP846" s="9"/>
      <c r="PQ846" s="9"/>
      <c r="PR846" s="9"/>
      <c r="PS846" s="9"/>
      <c r="PT846" s="9"/>
      <c r="PU846" s="9"/>
      <c r="PV846" s="9"/>
      <c r="PW846" s="9"/>
      <c r="PX846" s="9"/>
      <c r="PY846" s="9"/>
      <c r="PZ846" s="9"/>
      <c r="QA846" s="9"/>
      <c r="QB846" s="9"/>
      <c r="QC846" s="9"/>
      <c r="QD846" s="9"/>
      <c r="QE846" s="9"/>
      <c r="QF846" s="9"/>
      <c r="QG846" s="9"/>
      <c r="QH846" s="9"/>
      <c r="QI846" s="9"/>
      <c r="QJ846" s="9"/>
      <c r="QK846" s="9"/>
      <c r="QL846" s="9"/>
      <c r="QM846" s="9"/>
      <c r="QN846" s="9"/>
      <c r="QO846" s="9"/>
      <c r="QP846" s="9"/>
      <c r="QQ846" s="9"/>
      <c r="QR846" s="9"/>
      <c r="QS846" s="9"/>
      <c r="QT846" s="9"/>
      <c r="QU846" s="9"/>
      <c r="QV846" s="9"/>
      <c r="QW846" s="9"/>
      <c r="QX846" s="9"/>
      <c r="QY846" s="9"/>
      <c r="QZ846" s="9"/>
      <c r="RA846" s="9"/>
      <c r="RB846" s="9"/>
      <c r="RC846" s="9"/>
      <c r="RD846" s="9"/>
      <c r="RE846" s="9"/>
      <c r="RF846" s="9"/>
      <c r="RG846" s="9"/>
      <c r="RH846" s="9"/>
      <c r="RI846" s="9"/>
      <c r="RJ846" s="9"/>
      <c r="RK846" s="9"/>
      <c r="RL846" s="9"/>
      <c r="RM846" s="9"/>
      <c r="RN846" s="9"/>
      <c r="RO846" s="9"/>
      <c r="RP846" s="9"/>
      <c r="RQ846" s="9"/>
      <c r="RR846" s="9"/>
      <c r="RS846" s="9"/>
      <c r="RT846" s="9"/>
      <c r="RU846" s="9"/>
      <c r="RV846" s="9"/>
      <c r="RW846" s="9"/>
      <c r="RX846" s="9"/>
      <c r="RY846" s="9"/>
      <c r="RZ846" s="9"/>
      <c r="SA846" s="9"/>
      <c r="SB846" s="9"/>
      <c r="SC846" s="9"/>
      <c r="SD846" s="9"/>
      <c r="SE846" s="9"/>
      <c r="SF846" s="9"/>
      <c r="SG846" s="9"/>
      <c r="SH846" s="9"/>
      <c r="SI846" s="9"/>
      <c r="SJ846" s="9"/>
      <c r="SK846" s="9"/>
      <c r="SL846" s="9"/>
      <c r="SM846" s="9"/>
      <c r="SN846" s="9"/>
      <c r="SO846" s="9"/>
      <c r="SP846" s="9"/>
      <c r="SQ846" s="9"/>
      <c r="SR846" s="9"/>
      <c r="SS846" s="9"/>
      <c r="ST846" s="9"/>
      <c r="SU846" s="9"/>
      <c r="SV846" s="9"/>
      <c r="SW846" s="9"/>
      <c r="SX846" s="9"/>
      <c r="SY846" s="9"/>
      <c r="SZ846" s="9"/>
      <c r="TA846" s="9"/>
      <c r="TB846" s="9"/>
      <c r="TC846" s="9"/>
      <c r="TD846" s="9"/>
      <c r="TE846" s="9"/>
      <c r="TF846" s="9"/>
      <c r="TG846" s="9"/>
      <c r="TH846" s="9"/>
      <c r="TI846" s="9"/>
      <c r="TJ846" s="9"/>
      <c r="TK846" s="9"/>
      <c r="TL846" s="9"/>
      <c r="TM846" s="9"/>
      <c r="TN846" s="9"/>
      <c r="TO846" s="9"/>
      <c r="TP846" s="9"/>
      <c r="TQ846" s="9"/>
      <c r="TR846" s="9"/>
      <c r="TS846" s="9"/>
      <c r="TT846" s="9"/>
      <c r="TU846" s="9"/>
      <c r="TV846" s="9"/>
      <c r="TW846" s="9"/>
      <c r="TX846" s="9"/>
      <c r="TY846" s="9"/>
      <c r="TZ846" s="9"/>
      <c r="UA846" s="9"/>
      <c r="UB846" s="9"/>
      <c r="UC846" s="9"/>
      <c r="UD846" s="9"/>
      <c r="UE846" s="9"/>
      <c r="UF846" s="9"/>
      <c r="UG846" s="9"/>
      <c r="UH846" s="9"/>
      <c r="UI846" s="9"/>
      <c r="UJ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  <c r="GA847" s="9"/>
      <c r="GB847" s="9"/>
      <c r="GC847" s="9"/>
      <c r="GD847" s="9"/>
      <c r="GE847" s="9"/>
      <c r="GF847" s="9"/>
      <c r="GG847" s="9"/>
      <c r="GH847" s="9"/>
      <c r="GI847" s="9"/>
      <c r="GJ847" s="9"/>
      <c r="GK847" s="9"/>
      <c r="GL847" s="9"/>
      <c r="GM847" s="9"/>
      <c r="GN847" s="9"/>
      <c r="GO847" s="9"/>
      <c r="GP847" s="9"/>
      <c r="GQ847" s="9"/>
      <c r="GR847" s="9"/>
      <c r="GS847" s="9"/>
      <c r="GT847" s="9"/>
      <c r="GU847" s="9"/>
      <c r="GV847" s="9"/>
      <c r="GW847" s="9"/>
      <c r="GX847" s="9"/>
      <c r="GY847" s="9"/>
      <c r="GZ847" s="9"/>
      <c r="HA847" s="9"/>
      <c r="HB847" s="9"/>
      <c r="HC847" s="9"/>
      <c r="HD847" s="9"/>
      <c r="HE847" s="9"/>
      <c r="HF847" s="9"/>
      <c r="HG847" s="9"/>
      <c r="HH847" s="9"/>
      <c r="HI847" s="9"/>
      <c r="HJ847" s="9"/>
      <c r="HK847" s="9"/>
      <c r="HL847" s="9"/>
      <c r="HM847" s="9"/>
      <c r="HN847" s="9"/>
      <c r="HO847" s="9"/>
      <c r="HP847" s="9"/>
      <c r="HQ847" s="9"/>
      <c r="HR847" s="9"/>
      <c r="HS847" s="9"/>
      <c r="HT847" s="9"/>
      <c r="HU847" s="9"/>
      <c r="HV847" s="9"/>
      <c r="HW847" s="9"/>
      <c r="HX847" s="9"/>
      <c r="HY847" s="9"/>
      <c r="HZ847" s="9"/>
      <c r="IA847" s="9"/>
      <c r="IB847" s="9"/>
      <c r="IC847" s="9"/>
      <c r="ID847" s="9"/>
      <c r="IE847" s="9"/>
      <c r="IF847" s="9"/>
      <c r="IG847" s="9"/>
      <c r="IH847" s="9"/>
      <c r="II847" s="9"/>
      <c r="IJ847" s="9"/>
      <c r="IK847" s="9"/>
      <c r="IL847" s="9"/>
      <c r="IM847" s="9"/>
      <c r="IN847" s="9"/>
      <c r="IO847" s="9"/>
      <c r="IP847" s="9"/>
      <c r="IQ847" s="9"/>
      <c r="IR847" s="9"/>
      <c r="IS847" s="9"/>
      <c r="IT847" s="9"/>
      <c r="IU847" s="9"/>
      <c r="IV847" s="9"/>
      <c r="IW847" s="9"/>
      <c r="IX847" s="9"/>
      <c r="IY847" s="9"/>
      <c r="IZ847" s="9"/>
      <c r="JA847" s="9"/>
      <c r="JB847" s="9"/>
      <c r="JC847" s="9"/>
      <c r="JD847" s="9"/>
      <c r="JE847" s="9"/>
      <c r="JF847" s="9"/>
      <c r="JG847" s="9"/>
      <c r="JH847" s="9"/>
      <c r="JI847" s="9"/>
      <c r="JJ847" s="9"/>
      <c r="JK847" s="9"/>
      <c r="JL847" s="9"/>
      <c r="JM847" s="9"/>
      <c r="JN847" s="9"/>
      <c r="JO847" s="9"/>
      <c r="JP847" s="9"/>
      <c r="JQ847" s="9"/>
      <c r="JR847" s="9"/>
      <c r="JS847" s="9"/>
      <c r="JT847" s="9"/>
      <c r="JU847" s="9"/>
      <c r="JV847" s="9"/>
      <c r="JW847" s="9"/>
      <c r="JX847" s="9"/>
      <c r="JY847" s="9"/>
      <c r="JZ847" s="9"/>
      <c r="KA847" s="9"/>
      <c r="KB847" s="9"/>
      <c r="KC847" s="9"/>
      <c r="KD847" s="9"/>
      <c r="KE847" s="9"/>
      <c r="KF847" s="9"/>
      <c r="KG847" s="9"/>
      <c r="KH847" s="9"/>
      <c r="KI847" s="9"/>
      <c r="KJ847" s="9"/>
      <c r="KK847" s="9"/>
      <c r="KL847" s="9"/>
      <c r="KM847" s="9"/>
      <c r="KN847" s="9"/>
      <c r="KO847" s="9"/>
      <c r="KP847" s="9"/>
      <c r="KQ847" s="9"/>
      <c r="KR847" s="9"/>
      <c r="KS847" s="9"/>
      <c r="KT847" s="9"/>
      <c r="KU847" s="9"/>
      <c r="KV847" s="9"/>
      <c r="KW847" s="9"/>
      <c r="KX847" s="9"/>
      <c r="KY847" s="9"/>
      <c r="KZ847" s="9"/>
      <c r="LA847" s="9"/>
      <c r="LB847" s="9"/>
      <c r="LC847" s="9"/>
      <c r="LD847" s="9"/>
      <c r="LE847" s="9"/>
      <c r="LF847" s="9"/>
      <c r="LG847" s="9"/>
      <c r="LH847" s="9"/>
      <c r="LI847" s="9"/>
      <c r="LJ847" s="9"/>
      <c r="LK847" s="9"/>
      <c r="LL847" s="9"/>
      <c r="LM847" s="9"/>
      <c r="LN847" s="9"/>
      <c r="LO847" s="9"/>
      <c r="LP847" s="9"/>
      <c r="LQ847" s="9"/>
      <c r="LR847" s="9"/>
      <c r="LS847" s="9"/>
      <c r="LT847" s="9"/>
      <c r="LU847" s="9"/>
      <c r="LV847" s="9"/>
      <c r="LW847" s="9"/>
      <c r="LX847" s="9"/>
      <c r="LY847" s="9"/>
      <c r="LZ847" s="9"/>
      <c r="MA847" s="9"/>
      <c r="MB847" s="9"/>
      <c r="MC847" s="9"/>
      <c r="MD847" s="9"/>
      <c r="ME847" s="9"/>
      <c r="MF847" s="9"/>
      <c r="MG847" s="9"/>
      <c r="MH847" s="9"/>
      <c r="MI847" s="9"/>
      <c r="MJ847" s="9"/>
      <c r="MK847" s="9"/>
      <c r="ML847" s="9"/>
      <c r="MM847" s="9"/>
      <c r="MN847" s="9"/>
      <c r="MO847" s="9"/>
      <c r="MP847" s="9"/>
      <c r="MQ847" s="9"/>
      <c r="MR847" s="9"/>
      <c r="MS847" s="9"/>
      <c r="MT847" s="9"/>
      <c r="MU847" s="9"/>
      <c r="MV847" s="9"/>
      <c r="MW847" s="9"/>
      <c r="MX847" s="9"/>
      <c r="MY847" s="9"/>
      <c r="MZ847" s="9"/>
      <c r="NA847" s="9"/>
      <c r="NB847" s="9"/>
      <c r="NC847" s="9"/>
      <c r="ND847" s="9"/>
      <c r="NE847" s="9"/>
      <c r="NF847" s="9"/>
      <c r="NG847" s="9"/>
      <c r="NH847" s="9"/>
      <c r="NI847" s="9"/>
      <c r="NJ847" s="9"/>
      <c r="NK847" s="9"/>
      <c r="NL847" s="9"/>
      <c r="NM847" s="9"/>
      <c r="NN847" s="9"/>
      <c r="NO847" s="9"/>
      <c r="NP847" s="9"/>
      <c r="NQ847" s="9"/>
      <c r="NR847" s="9"/>
      <c r="NS847" s="9"/>
      <c r="NT847" s="9"/>
      <c r="NU847" s="9"/>
      <c r="NV847" s="9"/>
      <c r="NW847" s="9"/>
      <c r="NX847" s="9"/>
      <c r="NY847" s="9"/>
      <c r="NZ847" s="9"/>
      <c r="OA847" s="9"/>
      <c r="OB847" s="9"/>
      <c r="OC847" s="9"/>
      <c r="OD847" s="9"/>
      <c r="OE847" s="9"/>
      <c r="OF847" s="9"/>
      <c r="OG847" s="9"/>
      <c r="OH847" s="9"/>
      <c r="OI847" s="9"/>
      <c r="OJ847" s="9"/>
      <c r="OK847" s="9"/>
      <c r="OL847" s="9"/>
      <c r="OM847" s="9"/>
      <c r="ON847" s="9"/>
      <c r="OO847" s="9"/>
      <c r="OP847" s="9"/>
      <c r="OQ847" s="9"/>
      <c r="OR847" s="9"/>
      <c r="OS847" s="9"/>
      <c r="OT847" s="9"/>
      <c r="OU847" s="9"/>
      <c r="OV847" s="9"/>
      <c r="OW847" s="9"/>
      <c r="OX847" s="9"/>
      <c r="OY847" s="9"/>
      <c r="OZ847" s="9"/>
      <c r="PA847" s="9"/>
      <c r="PB847" s="9"/>
      <c r="PC847" s="9"/>
      <c r="PD847" s="9"/>
      <c r="PE847" s="9"/>
      <c r="PF847" s="9"/>
      <c r="PG847" s="9"/>
      <c r="PH847" s="9"/>
      <c r="PI847" s="9"/>
      <c r="PJ847" s="9"/>
      <c r="PK847" s="9"/>
      <c r="PL847" s="9"/>
      <c r="PM847" s="9"/>
      <c r="PN847" s="9"/>
      <c r="PO847" s="9"/>
      <c r="PP847" s="9"/>
      <c r="PQ847" s="9"/>
      <c r="PR847" s="9"/>
      <c r="PS847" s="9"/>
      <c r="PT847" s="9"/>
      <c r="PU847" s="9"/>
      <c r="PV847" s="9"/>
      <c r="PW847" s="9"/>
      <c r="PX847" s="9"/>
      <c r="PY847" s="9"/>
      <c r="PZ847" s="9"/>
      <c r="QA847" s="9"/>
      <c r="QB847" s="9"/>
      <c r="QC847" s="9"/>
      <c r="QD847" s="9"/>
      <c r="QE847" s="9"/>
      <c r="QF847" s="9"/>
      <c r="QG847" s="9"/>
      <c r="QH847" s="9"/>
      <c r="QI847" s="9"/>
      <c r="QJ847" s="9"/>
      <c r="QK847" s="9"/>
      <c r="QL847" s="9"/>
      <c r="QM847" s="9"/>
      <c r="QN847" s="9"/>
      <c r="QO847" s="9"/>
      <c r="QP847" s="9"/>
      <c r="QQ847" s="9"/>
      <c r="QR847" s="9"/>
      <c r="QS847" s="9"/>
      <c r="QT847" s="9"/>
      <c r="QU847" s="9"/>
      <c r="QV847" s="9"/>
      <c r="QW847" s="9"/>
      <c r="QX847" s="9"/>
      <c r="QY847" s="9"/>
      <c r="QZ847" s="9"/>
      <c r="RA847" s="9"/>
      <c r="RB847" s="9"/>
      <c r="RC847" s="9"/>
      <c r="RD847" s="9"/>
      <c r="RE847" s="9"/>
      <c r="RF847" s="9"/>
      <c r="RG847" s="9"/>
      <c r="RH847" s="9"/>
      <c r="RI847" s="9"/>
      <c r="RJ847" s="9"/>
      <c r="RK847" s="9"/>
      <c r="RL847" s="9"/>
      <c r="RM847" s="9"/>
      <c r="RN847" s="9"/>
      <c r="RO847" s="9"/>
      <c r="RP847" s="9"/>
      <c r="RQ847" s="9"/>
      <c r="RR847" s="9"/>
      <c r="RS847" s="9"/>
      <c r="RT847" s="9"/>
      <c r="RU847" s="9"/>
      <c r="RV847" s="9"/>
      <c r="RW847" s="9"/>
      <c r="RX847" s="9"/>
      <c r="RY847" s="9"/>
      <c r="RZ847" s="9"/>
      <c r="SA847" s="9"/>
      <c r="SB847" s="9"/>
      <c r="SC847" s="9"/>
      <c r="SD847" s="9"/>
      <c r="SE847" s="9"/>
      <c r="SF847" s="9"/>
      <c r="SG847" s="9"/>
      <c r="SH847" s="9"/>
      <c r="SI847" s="9"/>
      <c r="SJ847" s="9"/>
      <c r="SK847" s="9"/>
      <c r="SL847" s="9"/>
      <c r="SM847" s="9"/>
      <c r="SN847" s="9"/>
      <c r="SO847" s="9"/>
      <c r="SP847" s="9"/>
      <c r="SQ847" s="9"/>
      <c r="SR847" s="9"/>
      <c r="SS847" s="9"/>
      <c r="ST847" s="9"/>
      <c r="SU847" s="9"/>
      <c r="SV847" s="9"/>
      <c r="SW847" s="9"/>
      <c r="SX847" s="9"/>
      <c r="SY847" s="9"/>
      <c r="SZ847" s="9"/>
      <c r="TA847" s="9"/>
      <c r="TB847" s="9"/>
      <c r="TC847" s="9"/>
      <c r="TD847" s="9"/>
      <c r="TE847" s="9"/>
      <c r="TF847" s="9"/>
      <c r="TG847" s="9"/>
      <c r="TH847" s="9"/>
      <c r="TI847" s="9"/>
      <c r="TJ847" s="9"/>
      <c r="TK847" s="9"/>
      <c r="TL847" s="9"/>
      <c r="TM847" s="9"/>
      <c r="TN847" s="9"/>
      <c r="TO847" s="9"/>
      <c r="TP847" s="9"/>
      <c r="TQ847" s="9"/>
      <c r="TR847" s="9"/>
      <c r="TS847" s="9"/>
      <c r="TT847" s="9"/>
      <c r="TU847" s="9"/>
      <c r="TV847" s="9"/>
      <c r="TW847" s="9"/>
      <c r="TX847" s="9"/>
      <c r="TY847" s="9"/>
      <c r="TZ847" s="9"/>
      <c r="UA847" s="9"/>
      <c r="UB847" s="9"/>
      <c r="UC847" s="9"/>
      <c r="UD847" s="9"/>
      <c r="UE847" s="9"/>
      <c r="UF847" s="9"/>
      <c r="UG847" s="9"/>
      <c r="UH847" s="9"/>
      <c r="UI847" s="9"/>
      <c r="UJ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9"/>
      <c r="GV848" s="9"/>
      <c r="GW848" s="9"/>
      <c r="GX848" s="9"/>
      <c r="GY848" s="9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  <c r="HO848" s="9"/>
      <c r="HP848" s="9"/>
      <c r="HQ848" s="9"/>
      <c r="HR848" s="9"/>
      <c r="HS848" s="9"/>
      <c r="HT848" s="9"/>
      <c r="HU848" s="9"/>
      <c r="HV848" s="9"/>
      <c r="HW848" s="9"/>
      <c r="HX848" s="9"/>
      <c r="HY848" s="9"/>
      <c r="HZ848" s="9"/>
      <c r="IA848" s="9"/>
      <c r="IB848" s="9"/>
      <c r="IC848" s="9"/>
      <c r="ID848" s="9"/>
      <c r="IE848" s="9"/>
      <c r="IF848" s="9"/>
      <c r="IG848" s="9"/>
      <c r="IH848" s="9"/>
      <c r="II848" s="9"/>
      <c r="IJ848" s="9"/>
      <c r="IK848" s="9"/>
      <c r="IL848" s="9"/>
      <c r="IM848" s="9"/>
      <c r="IN848" s="9"/>
      <c r="IO848" s="9"/>
      <c r="IP848" s="9"/>
      <c r="IQ848" s="9"/>
      <c r="IR848" s="9"/>
      <c r="IS848" s="9"/>
      <c r="IT848" s="9"/>
      <c r="IU848" s="9"/>
      <c r="IV848" s="9"/>
      <c r="IW848" s="9"/>
      <c r="IX848" s="9"/>
      <c r="IY848" s="9"/>
      <c r="IZ848" s="9"/>
      <c r="JA848" s="9"/>
      <c r="JB848" s="9"/>
      <c r="JC848" s="9"/>
      <c r="JD848" s="9"/>
      <c r="JE848" s="9"/>
      <c r="JF848" s="9"/>
      <c r="JG848" s="9"/>
      <c r="JH848" s="9"/>
      <c r="JI848" s="9"/>
      <c r="JJ848" s="9"/>
      <c r="JK848" s="9"/>
      <c r="JL848" s="9"/>
      <c r="JM848" s="9"/>
      <c r="JN848" s="9"/>
      <c r="JO848" s="9"/>
      <c r="JP848" s="9"/>
      <c r="JQ848" s="9"/>
      <c r="JR848" s="9"/>
      <c r="JS848" s="9"/>
      <c r="JT848" s="9"/>
      <c r="JU848" s="9"/>
      <c r="JV848" s="9"/>
      <c r="JW848" s="9"/>
      <c r="JX848" s="9"/>
      <c r="JY848" s="9"/>
      <c r="JZ848" s="9"/>
      <c r="KA848" s="9"/>
      <c r="KB848" s="9"/>
      <c r="KC848" s="9"/>
      <c r="KD848" s="9"/>
      <c r="KE848" s="9"/>
      <c r="KF848" s="9"/>
      <c r="KG848" s="9"/>
      <c r="KH848" s="9"/>
      <c r="KI848" s="9"/>
      <c r="KJ848" s="9"/>
      <c r="KK848" s="9"/>
      <c r="KL848" s="9"/>
      <c r="KM848" s="9"/>
      <c r="KN848" s="9"/>
      <c r="KO848" s="9"/>
      <c r="KP848" s="9"/>
      <c r="KQ848" s="9"/>
      <c r="KR848" s="9"/>
      <c r="KS848" s="9"/>
      <c r="KT848" s="9"/>
      <c r="KU848" s="9"/>
      <c r="KV848" s="9"/>
      <c r="KW848" s="9"/>
      <c r="KX848" s="9"/>
      <c r="KY848" s="9"/>
      <c r="KZ848" s="9"/>
      <c r="LA848" s="9"/>
      <c r="LB848" s="9"/>
      <c r="LC848" s="9"/>
      <c r="LD848" s="9"/>
      <c r="LE848" s="9"/>
      <c r="LF848" s="9"/>
      <c r="LG848" s="9"/>
      <c r="LH848" s="9"/>
      <c r="LI848" s="9"/>
      <c r="LJ848" s="9"/>
      <c r="LK848" s="9"/>
      <c r="LL848" s="9"/>
      <c r="LM848" s="9"/>
      <c r="LN848" s="9"/>
      <c r="LO848" s="9"/>
      <c r="LP848" s="9"/>
      <c r="LQ848" s="9"/>
      <c r="LR848" s="9"/>
      <c r="LS848" s="9"/>
      <c r="LT848" s="9"/>
      <c r="LU848" s="9"/>
      <c r="LV848" s="9"/>
      <c r="LW848" s="9"/>
      <c r="LX848" s="9"/>
      <c r="LY848" s="9"/>
      <c r="LZ848" s="9"/>
      <c r="MA848" s="9"/>
      <c r="MB848" s="9"/>
      <c r="MC848" s="9"/>
      <c r="MD848" s="9"/>
      <c r="ME848" s="9"/>
      <c r="MF848" s="9"/>
      <c r="MG848" s="9"/>
      <c r="MH848" s="9"/>
      <c r="MI848" s="9"/>
      <c r="MJ848" s="9"/>
      <c r="MK848" s="9"/>
      <c r="ML848" s="9"/>
      <c r="MM848" s="9"/>
      <c r="MN848" s="9"/>
      <c r="MO848" s="9"/>
      <c r="MP848" s="9"/>
      <c r="MQ848" s="9"/>
      <c r="MR848" s="9"/>
      <c r="MS848" s="9"/>
      <c r="MT848" s="9"/>
      <c r="MU848" s="9"/>
      <c r="MV848" s="9"/>
      <c r="MW848" s="9"/>
      <c r="MX848" s="9"/>
      <c r="MY848" s="9"/>
      <c r="MZ848" s="9"/>
      <c r="NA848" s="9"/>
      <c r="NB848" s="9"/>
      <c r="NC848" s="9"/>
      <c r="ND848" s="9"/>
      <c r="NE848" s="9"/>
      <c r="NF848" s="9"/>
      <c r="NG848" s="9"/>
      <c r="NH848" s="9"/>
      <c r="NI848" s="9"/>
      <c r="NJ848" s="9"/>
      <c r="NK848" s="9"/>
      <c r="NL848" s="9"/>
      <c r="NM848" s="9"/>
      <c r="NN848" s="9"/>
      <c r="NO848" s="9"/>
      <c r="NP848" s="9"/>
      <c r="NQ848" s="9"/>
      <c r="NR848" s="9"/>
      <c r="NS848" s="9"/>
      <c r="NT848" s="9"/>
      <c r="NU848" s="9"/>
      <c r="NV848" s="9"/>
      <c r="NW848" s="9"/>
      <c r="NX848" s="9"/>
      <c r="NY848" s="9"/>
      <c r="NZ848" s="9"/>
      <c r="OA848" s="9"/>
      <c r="OB848" s="9"/>
      <c r="OC848" s="9"/>
      <c r="OD848" s="9"/>
      <c r="OE848" s="9"/>
      <c r="OF848" s="9"/>
      <c r="OG848" s="9"/>
      <c r="OH848" s="9"/>
      <c r="OI848" s="9"/>
      <c r="OJ848" s="9"/>
      <c r="OK848" s="9"/>
      <c r="OL848" s="9"/>
      <c r="OM848" s="9"/>
      <c r="ON848" s="9"/>
      <c r="OO848" s="9"/>
      <c r="OP848" s="9"/>
      <c r="OQ848" s="9"/>
      <c r="OR848" s="9"/>
      <c r="OS848" s="9"/>
      <c r="OT848" s="9"/>
      <c r="OU848" s="9"/>
      <c r="OV848" s="9"/>
      <c r="OW848" s="9"/>
      <c r="OX848" s="9"/>
      <c r="OY848" s="9"/>
      <c r="OZ848" s="9"/>
      <c r="PA848" s="9"/>
      <c r="PB848" s="9"/>
      <c r="PC848" s="9"/>
      <c r="PD848" s="9"/>
      <c r="PE848" s="9"/>
      <c r="PF848" s="9"/>
      <c r="PG848" s="9"/>
      <c r="PH848" s="9"/>
      <c r="PI848" s="9"/>
      <c r="PJ848" s="9"/>
      <c r="PK848" s="9"/>
      <c r="PL848" s="9"/>
      <c r="PM848" s="9"/>
      <c r="PN848" s="9"/>
      <c r="PO848" s="9"/>
      <c r="PP848" s="9"/>
      <c r="PQ848" s="9"/>
      <c r="PR848" s="9"/>
      <c r="PS848" s="9"/>
      <c r="PT848" s="9"/>
      <c r="PU848" s="9"/>
      <c r="PV848" s="9"/>
      <c r="PW848" s="9"/>
      <c r="PX848" s="9"/>
      <c r="PY848" s="9"/>
      <c r="PZ848" s="9"/>
      <c r="QA848" s="9"/>
      <c r="QB848" s="9"/>
      <c r="QC848" s="9"/>
      <c r="QD848" s="9"/>
      <c r="QE848" s="9"/>
      <c r="QF848" s="9"/>
      <c r="QG848" s="9"/>
      <c r="QH848" s="9"/>
      <c r="QI848" s="9"/>
      <c r="QJ848" s="9"/>
      <c r="QK848" s="9"/>
      <c r="QL848" s="9"/>
      <c r="QM848" s="9"/>
      <c r="QN848" s="9"/>
      <c r="QO848" s="9"/>
      <c r="QP848" s="9"/>
      <c r="QQ848" s="9"/>
      <c r="QR848" s="9"/>
      <c r="QS848" s="9"/>
      <c r="QT848" s="9"/>
      <c r="QU848" s="9"/>
      <c r="QV848" s="9"/>
      <c r="QW848" s="9"/>
      <c r="QX848" s="9"/>
      <c r="QY848" s="9"/>
      <c r="QZ848" s="9"/>
      <c r="RA848" s="9"/>
      <c r="RB848" s="9"/>
      <c r="RC848" s="9"/>
      <c r="RD848" s="9"/>
      <c r="RE848" s="9"/>
      <c r="RF848" s="9"/>
      <c r="RG848" s="9"/>
      <c r="RH848" s="9"/>
      <c r="RI848" s="9"/>
      <c r="RJ848" s="9"/>
      <c r="RK848" s="9"/>
      <c r="RL848" s="9"/>
      <c r="RM848" s="9"/>
      <c r="RN848" s="9"/>
      <c r="RO848" s="9"/>
      <c r="RP848" s="9"/>
      <c r="RQ848" s="9"/>
      <c r="RR848" s="9"/>
      <c r="RS848" s="9"/>
      <c r="RT848" s="9"/>
      <c r="RU848" s="9"/>
      <c r="RV848" s="9"/>
      <c r="RW848" s="9"/>
      <c r="RX848" s="9"/>
      <c r="RY848" s="9"/>
      <c r="RZ848" s="9"/>
      <c r="SA848" s="9"/>
      <c r="SB848" s="9"/>
      <c r="SC848" s="9"/>
      <c r="SD848" s="9"/>
      <c r="SE848" s="9"/>
      <c r="SF848" s="9"/>
      <c r="SG848" s="9"/>
      <c r="SH848" s="9"/>
      <c r="SI848" s="9"/>
      <c r="SJ848" s="9"/>
      <c r="SK848" s="9"/>
      <c r="SL848" s="9"/>
      <c r="SM848" s="9"/>
      <c r="SN848" s="9"/>
      <c r="SO848" s="9"/>
      <c r="SP848" s="9"/>
      <c r="SQ848" s="9"/>
      <c r="SR848" s="9"/>
      <c r="SS848" s="9"/>
      <c r="ST848" s="9"/>
      <c r="SU848" s="9"/>
      <c r="SV848" s="9"/>
      <c r="SW848" s="9"/>
      <c r="SX848" s="9"/>
      <c r="SY848" s="9"/>
      <c r="SZ848" s="9"/>
      <c r="TA848" s="9"/>
      <c r="TB848" s="9"/>
      <c r="TC848" s="9"/>
      <c r="TD848" s="9"/>
      <c r="TE848" s="9"/>
      <c r="TF848" s="9"/>
      <c r="TG848" s="9"/>
      <c r="TH848" s="9"/>
      <c r="TI848" s="9"/>
      <c r="TJ848" s="9"/>
      <c r="TK848" s="9"/>
      <c r="TL848" s="9"/>
      <c r="TM848" s="9"/>
      <c r="TN848" s="9"/>
      <c r="TO848" s="9"/>
      <c r="TP848" s="9"/>
      <c r="TQ848" s="9"/>
      <c r="TR848" s="9"/>
      <c r="TS848" s="9"/>
      <c r="TT848" s="9"/>
      <c r="TU848" s="9"/>
      <c r="TV848" s="9"/>
      <c r="TW848" s="9"/>
      <c r="TX848" s="9"/>
      <c r="TY848" s="9"/>
      <c r="TZ848" s="9"/>
      <c r="UA848" s="9"/>
      <c r="UB848" s="9"/>
      <c r="UC848" s="9"/>
      <c r="UD848" s="9"/>
      <c r="UE848" s="9"/>
      <c r="UF848" s="9"/>
      <c r="UG848" s="9"/>
      <c r="UH848" s="9"/>
      <c r="UI848" s="9"/>
      <c r="UJ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9"/>
      <c r="IA849" s="9"/>
      <c r="IB849" s="9"/>
      <c r="IC849" s="9"/>
      <c r="ID849" s="9"/>
      <c r="IE849" s="9"/>
      <c r="IF849" s="9"/>
      <c r="IG849" s="9"/>
      <c r="IH849" s="9"/>
      <c r="II849" s="9"/>
      <c r="IJ849" s="9"/>
      <c r="IK849" s="9"/>
      <c r="IL849" s="9"/>
      <c r="IM849" s="9"/>
      <c r="IN849" s="9"/>
      <c r="IO849" s="9"/>
      <c r="IP849" s="9"/>
      <c r="IQ849" s="9"/>
      <c r="IR849" s="9"/>
      <c r="IS849" s="9"/>
      <c r="IT849" s="9"/>
      <c r="IU849" s="9"/>
      <c r="IV849" s="9"/>
      <c r="IW849" s="9"/>
      <c r="IX849" s="9"/>
      <c r="IY849" s="9"/>
      <c r="IZ849" s="9"/>
      <c r="JA849" s="9"/>
      <c r="JB849" s="9"/>
      <c r="JC849" s="9"/>
      <c r="JD849" s="9"/>
      <c r="JE849" s="9"/>
      <c r="JF849" s="9"/>
      <c r="JG849" s="9"/>
      <c r="JH849" s="9"/>
      <c r="JI849" s="9"/>
      <c r="JJ849" s="9"/>
      <c r="JK849" s="9"/>
      <c r="JL849" s="9"/>
      <c r="JM849" s="9"/>
      <c r="JN849" s="9"/>
      <c r="JO849" s="9"/>
      <c r="JP849" s="9"/>
      <c r="JQ849" s="9"/>
      <c r="JR849" s="9"/>
      <c r="JS849" s="9"/>
      <c r="JT849" s="9"/>
      <c r="JU849" s="9"/>
      <c r="JV849" s="9"/>
      <c r="JW849" s="9"/>
      <c r="JX849" s="9"/>
      <c r="JY849" s="9"/>
      <c r="JZ849" s="9"/>
      <c r="KA849" s="9"/>
      <c r="KB849" s="9"/>
      <c r="KC849" s="9"/>
      <c r="KD849" s="9"/>
      <c r="KE849" s="9"/>
      <c r="KF849" s="9"/>
      <c r="KG849" s="9"/>
      <c r="KH849" s="9"/>
      <c r="KI849" s="9"/>
      <c r="KJ849" s="9"/>
      <c r="KK849" s="9"/>
      <c r="KL849" s="9"/>
      <c r="KM849" s="9"/>
      <c r="KN849" s="9"/>
      <c r="KO849" s="9"/>
      <c r="KP849" s="9"/>
      <c r="KQ849" s="9"/>
      <c r="KR849" s="9"/>
      <c r="KS849" s="9"/>
      <c r="KT849" s="9"/>
      <c r="KU849" s="9"/>
      <c r="KV849" s="9"/>
      <c r="KW849" s="9"/>
      <c r="KX849" s="9"/>
      <c r="KY849" s="9"/>
      <c r="KZ849" s="9"/>
      <c r="LA849" s="9"/>
      <c r="LB849" s="9"/>
      <c r="LC849" s="9"/>
      <c r="LD849" s="9"/>
      <c r="LE849" s="9"/>
      <c r="LF849" s="9"/>
      <c r="LG849" s="9"/>
      <c r="LH849" s="9"/>
      <c r="LI849" s="9"/>
      <c r="LJ849" s="9"/>
      <c r="LK849" s="9"/>
      <c r="LL849" s="9"/>
      <c r="LM849" s="9"/>
      <c r="LN849" s="9"/>
      <c r="LO849" s="9"/>
      <c r="LP849" s="9"/>
      <c r="LQ849" s="9"/>
      <c r="LR849" s="9"/>
      <c r="LS849" s="9"/>
      <c r="LT849" s="9"/>
      <c r="LU849" s="9"/>
      <c r="LV849" s="9"/>
      <c r="LW849" s="9"/>
      <c r="LX849" s="9"/>
      <c r="LY849" s="9"/>
      <c r="LZ849" s="9"/>
      <c r="MA849" s="9"/>
      <c r="MB849" s="9"/>
      <c r="MC849" s="9"/>
      <c r="MD849" s="9"/>
      <c r="ME849" s="9"/>
      <c r="MF849" s="9"/>
      <c r="MG849" s="9"/>
      <c r="MH849" s="9"/>
      <c r="MI849" s="9"/>
      <c r="MJ849" s="9"/>
      <c r="MK849" s="9"/>
      <c r="ML849" s="9"/>
      <c r="MM849" s="9"/>
      <c r="MN849" s="9"/>
      <c r="MO849" s="9"/>
      <c r="MP849" s="9"/>
      <c r="MQ849" s="9"/>
      <c r="MR849" s="9"/>
      <c r="MS849" s="9"/>
      <c r="MT849" s="9"/>
      <c r="MU849" s="9"/>
      <c r="MV849" s="9"/>
      <c r="MW849" s="9"/>
      <c r="MX849" s="9"/>
      <c r="MY849" s="9"/>
      <c r="MZ849" s="9"/>
      <c r="NA849" s="9"/>
      <c r="NB849" s="9"/>
      <c r="NC849" s="9"/>
      <c r="ND849" s="9"/>
      <c r="NE849" s="9"/>
      <c r="NF849" s="9"/>
      <c r="NG849" s="9"/>
      <c r="NH849" s="9"/>
      <c r="NI849" s="9"/>
      <c r="NJ849" s="9"/>
      <c r="NK849" s="9"/>
      <c r="NL849" s="9"/>
      <c r="NM849" s="9"/>
      <c r="NN849" s="9"/>
      <c r="NO849" s="9"/>
      <c r="NP849" s="9"/>
      <c r="NQ849" s="9"/>
      <c r="NR849" s="9"/>
      <c r="NS849" s="9"/>
      <c r="NT849" s="9"/>
      <c r="NU849" s="9"/>
      <c r="NV849" s="9"/>
      <c r="NW849" s="9"/>
      <c r="NX849" s="9"/>
      <c r="NY849" s="9"/>
      <c r="NZ849" s="9"/>
      <c r="OA849" s="9"/>
      <c r="OB849" s="9"/>
      <c r="OC849" s="9"/>
      <c r="OD849" s="9"/>
      <c r="OE849" s="9"/>
      <c r="OF849" s="9"/>
      <c r="OG849" s="9"/>
      <c r="OH849" s="9"/>
      <c r="OI849" s="9"/>
      <c r="OJ849" s="9"/>
      <c r="OK849" s="9"/>
      <c r="OL849" s="9"/>
      <c r="OM849" s="9"/>
      <c r="ON849" s="9"/>
      <c r="OO849" s="9"/>
      <c r="OP849" s="9"/>
      <c r="OQ849" s="9"/>
      <c r="OR849" s="9"/>
      <c r="OS849" s="9"/>
      <c r="OT849" s="9"/>
      <c r="OU849" s="9"/>
      <c r="OV849" s="9"/>
      <c r="OW849" s="9"/>
      <c r="OX849" s="9"/>
      <c r="OY849" s="9"/>
      <c r="OZ849" s="9"/>
      <c r="PA849" s="9"/>
      <c r="PB849" s="9"/>
      <c r="PC849" s="9"/>
      <c r="PD849" s="9"/>
      <c r="PE849" s="9"/>
      <c r="PF849" s="9"/>
      <c r="PG849" s="9"/>
      <c r="PH849" s="9"/>
      <c r="PI849" s="9"/>
      <c r="PJ849" s="9"/>
      <c r="PK849" s="9"/>
      <c r="PL849" s="9"/>
      <c r="PM849" s="9"/>
      <c r="PN849" s="9"/>
      <c r="PO849" s="9"/>
      <c r="PP849" s="9"/>
      <c r="PQ849" s="9"/>
      <c r="PR849" s="9"/>
      <c r="PS849" s="9"/>
      <c r="PT849" s="9"/>
      <c r="PU849" s="9"/>
      <c r="PV849" s="9"/>
      <c r="PW849" s="9"/>
      <c r="PX849" s="9"/>
      <c r="PY849" s="9"/>
      <c r="PZ849" s="9"/>
      <c r="QA849" s="9"/>
      <c r="QB849" s="9"/>
      <c r="QC849" s="9"/>
      <c r="QD849" s="9"/>
      <c r="QE849" s="9"/>
      <c r="QF849" s="9"/>
      <c r="QG849" s="9"/>
      <c r="QH849" s="9"/>
      <c r="QI849" s="9"/>
      <c r="QJ849" s="9"/>
      <c r="QK849" s="9"/>
      <c r="QL849" s="9"/>
      <c r="QM849" s="9"/>
      <c r="QN849" s="9"/>
      <c r="QO849" s="9"/>
      <c r="QP849" s="9"/>
      <c r="QQ849" s="9"/>
      <c r="QR849" s="9"/>
      <c r="QS849" s="9"/>
      <c r="QT849" s="9"/>
      <c r="QU849" s="9"/>
      <c r="QV849" s="9"/>
      <c r="QW849" s="9"/>
      <c r="QX849" s="9"/>
      <c r="QY849" s="9"/>
      <c r="QZ849" s="9"/>
      <c r="RA849" s="9"/>
      <c r="RB849" s="9"/>
      <c r="RC849" s="9"/>
      <c r="RD849" s="9"/>
      <c r="RE849" s="9"/>
      <c r="RF849" s="9"/>
      <c r="RG849" s="9"/>
      <c r="RH849" s="9"/>
      <c r="RI849" s="9"/>
      <c r="RJ849" s="9"/>
      <c r="RK849" s="9"/>
      <c r="RL849" s="9"/>
      <c r="RM849" s="9"/>
      <c r="RN849" s="9"/>
      <c r="RO849" s="9"/>
      <c r="RP849" s="9"/>
      <c r="RQ849" s="9"/>
      <c r="RR849" s="9"/>
      <c r="RS849" s="9"/>
      <c r="RT849" s="9"/>
      <c r="RU849" s="9"/>
      <c r="RV849" s="9"/>
      <c r="RW849" s="9"/>
      <c r="RX849" s="9"/>
      <c r="RY849" s="9"/>
      <c r="RZ849" s="9"/>
      <c r="SA849" s="9"/>
      <c r="SB849" s="9"/>
      <c r="SC849" s="9"/>
      <c r="SD849" s="9"/>
      <c r="SE849" s="9"/>
      <c r="SF849" s="9"/>
      <c r="SG849" s="9"/>
      <c r="SH849" s="9"/>
      <c r="SI849" s="9"/>
      <c r="SJ849" s="9"/>
      <c r="SK849" s="9"/>
      <c r="SL849" s="9"/>
      <c r="SM849" s="9"/>
      <c r="SN849" s="9"/>
      <c r="SO849" s="9"/>
      <c r="SP849" s="9"/>
      <c r="SQ849" s="9"/>
      <c r="SR849" s="9"/>
      <c r="SS849" s="9"/>
      <c r="ST849" s="9"/>
      <c r="SU849" s="9"/>
      <c r="SV849" s="9"/>
      <c r="SW849" s="9"/>
      <c r="SX849" s="9"/>
      <c r="SY849" s="9"/>
      <c r="SZ849" s="9"/>
      <c r="TA849" s="9"/>
      <c r="TB849" s="9"/>
      <c r="TC849" s="9"/>
      <c r="TD849" s="9"/>
      <c r="TE849" s="9"/>
      <c r="TF849" s="9"/>
      <c r="TG849" s="9"/>
      <c r="TH849" s="9"/>
      <c r="TI849" s="9"/>
      <c r="TJ849" s="9"/>
      <c r="TK849" s="9"/>
      <c r="TL849" s="9"/>
      <c r="TM849" s="9"/>
      <c r="TN849" s="9"/>
      <c r="TO849" s="9"/>
      <c r="TP849" s="9"/>
      <c r="TQ849" s="9"/>
      <c r="TR849" s="9"/>
      <c r="TS849" s="9"/>
      <c r="TT849" s="9"/>
      <c r="TU849" s="9"/>
      <c r="TV849" s="9"/>
      <c r="TW849" s="9"/>
      <c r="TX849" s="9"/>
      <c r="TY849" s="9"/>
      <c r="TZ849" s="9"/>
      <c r="UA849" s="9"/>
      <c r="UB849" s="9"/>
      <c r="UC849" s="9"/>
      <c r="UD849" s="9"/>
      <c r="UE849" s="9"/>
      <c r="UF849" s="9"/>
      <c r="UG849" s="9"/>
      <c r="UH849" s="9"/>
      <c r="UI849" s="9"/>
      <c r="UJ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9"/>
      <c r="IA850" s="9"/>
      <c r="IB850" s="9"/>
      <c r="IC850" s="9"/>
      <c r="ID850" s="9"/>
      <c r="IE850" s="9"/>
      <c r="IF850" s="9"/>
      <c r="IG850" s="9"/>
      <c r="IH850" s="9"/>
      <c r="II850" s="9"/>
      <c r="IJ850" s="9"/>
      <c r="IK850" s="9"/>
      <c r="IL850" s="9"/>
      <c r="IM850" s="9"/>
      <c r="IN850" s="9"/>
      <c r="IO850" s="9"/>
      <c r="IP850" s="9"/>
      <c r="IQ850" s="9"/>
      <c r="IR850" s="9"/>
      <c r="IS850" s="9"/>
      <c r="IT850" s="9"/>
      <c r="IU850" s="9"/>
      <c r="IV850" s="9"/>
      <c r="IW850" s="9"/>
      <c r="IX850" s="9"/>
      <c r="IY850" s="9"/>
      <c r="IZ850" s="9"/>
      <c r="JA850" s="9"/>
      <c r="JB850" s="9"/>
      <c r="JC850" s="9"/>
      <c r="JD850" s="9"/>
      <c r="JE850" s="9"/>
      <c r="JF850" s="9"/>
      <c r="JG850" s="9"/>
      <c r="JH850" s="9"/>
      <c r="JI850" s="9"/>
      <c r="JJ850" s="9"/>
      <c r="JK850" s="9"/>
      <c r="JL850" s="9"/>
      <c r="JM850" s="9"/>
      <c r="JN850" s="9"/>
      <c r="JO850" s="9"/>
      <c r="JP850" s="9"/>
      <c r="JQ850" s="9"/>
      <c r="JR850" s="9"/>
      <c r="JS850" s="9"/>
      <c r="JT850" s="9"/>
      <c r="JU850" s="9"/>
      <c r="JV850" s="9"/>
      <c r="JW850" s="9"/>
      <c r="JX850" s="9"/>
      <c r="JY850" s="9"/>
      <c r="JZ850" s="9"/>
      <c r="KA850" s="9"/>
      <c r="KB850" s="9"/>
      <c r="KC850" s="9"/>
      <c r="KD850" s="9"/>
      <c r="KE850" s="9"/>
      <c r="KF850" s="9"/>
      <c r="KG850" s="9"/>
      <c r="KH850" s="9"/>
      <c r="KI850" s="9"/>
      <c r="KJ850" s="9"/>
      <c r="KK850" s="9"/>
      <c r="KL850" s="9"/>
      <c r="KM850" s="9"/>
      <c r="KN850" s="9"/>
      <c r="KO850" s="9"/>
      <c r="KP850" s="9"/>
      <c r="KQ850" s="9"/>
      <c r="KR850" s="9"/>
      <c r="KS850" s="9"/>
      <c r="KT850" s="9"/>
      <c r="KU850" s="9"/>
      <c r="KV850" s="9"/>
      <c r="KW850" s="9"/>
      <c r="KX850" s="9"/>
      <c r="KY850" s="9"/>
      <c r="KZ850" s="9"/>
      <c r="LA850" s="9"/>
      <c r="LB850" s="9"/>
      <c r="LC850" s="9"/>
      <c r="LD850" s="9"/>
      <c r="LE850" s="9"/>
      <c r="LF850" s="9"/>
      <c r="LG850" s="9"/>
      <c r="LH850" s="9"/>
      <c r="LI850" s="9"/>
      <c r="LJ850" s="9"/>
      <c r="LK850" s="9"/>
      <c r="LL850" s="9"/>
      <c r="LM850" s="9"/>
      <c r="LN850" s="9"/>
      <c r="LO850" s="9"/>
      <c r="LP850" s="9"/>
      <c r="LQ850" s="9"/>
      <c r="LR850" s="9"/>
      <c r="LS850" s="9"/>
      <c r="LT850" s="9"/>
      <c r="LU850" s="9"/>
      <c r="LV850" s="9"/>
      <c r="LW850" s="9"/>
      <c r="LX850" s="9"/>
      <c r="LY850" s="9"/>
      <c r="LZ850" s="9"/>
      <c r="MA850" s="9"/>
      <c r="MB850" s="9"/>
      <c r="MC850" s="9"/>
      <c r="MD850" s="9"/>
      <c r="ME850" s="9"/>
      <c r="MF850" s="9"/>
      <c r="MG850" s="9"/>
      <c r="MH850" s="9"/>
      <c r="MI850" s="9"/>
      <c r="MJ850" s="9"/>
      <c r="MK850" s="9"/>
      <c r="ML850" s="9"/>
      <c r="MM850" s="9"/>
      <c r="MN850" s="9"/>
      <c r="MO850" s="9"/>
      <c r="MP850" s="9"/>
      <c r="MQ850" s="9"/>
      <c r="MR850" s="9"/>
      <c r="MS850" s="9"/>
      <c r="MT850" s="9"/>
      <c r="MU850" s="9"/>
      <c r="MV850" s="9"/>
      <c r="MW850" s="9"/>
      <c r="MX850" s="9"/>
      <c r="MY850" s="9"/>
      <c r="MZ850" s="9"/>
      <c r="NA850" s="9"/>
      <c r="NB850" s="9"/>
      <c r="NC850" s="9"/>
      <c r="ND850" s="9"/>
      <c r="NE850" s="9"/>
      <c r="NF850" s="9"/>
      <c r="NG850" s="9"/>
      <c r="NH850" s="9"/>
      <c r="NI850" s="9"/>
      <c r="NJ850" s="9"/>
      <c r="NK850" s="9"/>
      <c r="NL850" s="9"/>
      <c r="NM850" s="9"/>
      <c r="NN850" s="9"/>
      <c r="NO850" s="9"/>
      <c r="NP850" s="9"/>
      <c r="NQ850" s="9"/>
      <c r="NR850" s="9"/>
      <c r="NS850" s="9"/>
      <c r="NT850" s="9"/>
      <c r="NU850" s="9"/>
      <c r="NV850" s="9"/>
      <c r="NW850" s="9"/>
      <c r="NX850" s="9"/>
      <c r="NY850" s="9"/>
      <c r="NZ850" s="9"/>
      <c r="OA850" s="9"/>
      <c r="OB850" s="9"/>
      <c r="OC850" s="9"/>
      <c r="OD850" s="9"/>
      <c r="OE850" s="9"/>
      <c r="OF850" s="9"/>
      <c r="OG850" s="9"/>
      <c r="OH850" s="9"/>
      <c r="OI850" s="9"/>
      <c r="OJ850" s="9"/>
      <c r="OK850" s="9"/>
      <c r="OL850" s="9"/>
      <c r="OM850" s="9"/>
      <c r="ON850" s="9"/>
      <c r="OO850" s="9"/>
      <c r="OP850" s="9"/>
      <c r="OQ850" s="9"/>
      <c r="OR850" s="9"/>
      <c r="OS850" s="9"/>
      <c r="OT850" s="9"/>
      <c r="OU850" s="9"/>
      <c r="OV850" s="9"/>
      <c r="OW850" s="9"/>
      <c r="OX850" s="9"/>
      <c r="OY850" s="9"/>
      <c r="OZ850" s="9"/>
      <c r="PA850" s="9"/>
      <c r="PB850" s="9"/>
      <c r="PC850" s="9"/>
      <c r="PD850" s="9"/>
      <c r="PE850" s="9"/>
      <c r="PF850" s="9"/>
      <c r="PG850" s="9"/>
      <c r="PH850" s="9"/>
      <c r="PI850" s="9"/>
      <c r="PJ850" s="9"/>
      <c r="PK850" s="9"/>
      <c r="PL850" s="9"/>
      <c r="PM850" s="9"/>
      <c r="PN850" s="9"/>
      <c r="PO850" s="9"/>
      <c r="PP850" s="9"/>
      <c r="PQ850" s="9"/>
      <c r="PR850" s="9"/>
      <c r="PS850" s="9"/>
      <c r="PT850" s="9"/>
      <c r="PU850" s="9"/>
      <c r="PV850" s="9"/>
      <c r="PW850" s="9"/>
      <c r="PX850" s="9"/>
      <c r="PY850" s="9"/>
      <c r="PZ850" s="9"/>
      <c r="QA850" s="9"/>
      <c r="QB850" s="9"/>
      <c r="QC850" s="9"/>
      <c r="QD850" s="9"/>
      <c r="QE850" s="9"/>
      <c r="QF850" s="9"/>
      <c r="QG850" s="9"/>
      <c r="QH850" s="9"/>
      <c r="QI850" s="9"/>
      <c r="QJ850" s="9"/>
      <c r="QK850" s="9"/>
      <c r="QL850" s="9"/>
      <c r="QM850" s="9"/>
      <c r="QN850" s="9"/>
      <c r="QO850" s="9"/>
      <c r="QP850" s="9"/>
      <c r="QQ850" s="9"/>
      <c r="QR850" s="9"/>
      <c r="QS850" s="9"/>
      <c r="QT850" s="9"/>
      <c r="QU850" s="9"/>
      <c r="QV850" s="9"/>
      <c r="QW850" s="9"/>
      <c r="QX850" s="9"/>
      <c r="QY850" s="9"/>
      <c r="QZ850" s="9"/>
      <c r="RA850" s="9"/>
      <c r="RB850" s="9"/>
      <c r="RC850" s="9"/>
      <c r="RD850" s="9"/>
      <c r="RE850" s="9"/>
      <c r="RF850" s="9"/>
      <c r="RG850" s="9"/>
      <c r="RH850" s="9"/>
      <c r="RI850" s="9"/>
      <c r="RJ850" s="9"/>
      <c r="RK850" s="9"/>
      <c r="RL850" s="9"/>
      <c r="RM850" s="9"/>
      <c r="RN850" s="9"/>
      <c r="RO850" s="9"/>
      <c r="RP850" s="9"/>
      <c r="RQ850" s="9"/>
      <c r="RR850" s="9"/>
      <c r="RS850" s="9"/>
      <c r="RT850" s="9"/>
      <c r="RU850" s="9"/>
      <c r="RV850" s="9"/>
      <c r="RW850" s="9"/>
      <c r="RX850" s="9"/>
      <c r="RY850" s="9"/>
      <c r="RZ850" s="9"/>
      <c r="SA850" s="9"/>
      <c r="SB850" s="9"/>
      <c r="SC850" s="9"/>
      <c r="SD850" s="9"/>
      <c r="SE850" s="9"/>
      <c r="SF850" s="9"/>
      <c r="SG850" s="9"/>
      <c r="SH850" s="9"/>
      <c r="SI850" s="9"/>
      <c r="SJ850" s="9"/>
      <c r="SK850" s="9"/>
      <c r="SL850" s="9"/>
      <c r="SM850" s="9"/>
      <c r="SN850" s="9"/>
      <c r="SO850" s="9"/>
      <c r="SP850" s="9"/>
      <c r="SQ850" s="9"/>
      <c r="SR850" s="9"/>
      <c r="SS850" s="9"/>
      <c r="ST850" s="9"/>
      <c r="SU850" s="9"/>
      <c r="SV850" s="9"/>
      <c r="SW850" s="9"/>
      <c r="SX850" s="9"/>
      <c r="SY850" s="9"/>
      <c r="SZ850" s="9"/>
      <c r="TA850" s="9"/>
      <c r="TB850" s="9"/>
      <c r="TC850" s="9"/>
      <c r="TD850" s="9"/>
      <c r="TE850" s="9"/>
      <c r="TF850" s="9"/>
      <c r="TG850" s="9"/>
      <c r="TH850" s="9"/>
      <c r="TI850" s="9"/>
      <c r="TJ850" s="9"/>
      <c r="TK850" s="9"/>
      <c r="TL850" s="9"/>
      <c r="TM850" s="9"/>
      <c r="TN850" s="9"/>
      <c r="TO850" s="9"/>
      <c r="TP850" s="9"/>
      <c r="TQ850" s="9"/>
      <c r="TR850" s="9"/>
      <c r="TS850" s="9"/>
      <c r="TT850" s="9"/>
      <c r="TU850" s="9"/>
      <c r="TV850" s="9"/>
      <c r="TW850" s="9"/>
      <c r="TX850" s="9"/>
      <c r="TY850" s="9"/>
      <c r="TZ850" s="9"/>
      <c r="UA850" s="9"/>
      <c r="UB850" s="9"/>
      <c r="UC850" s="9"/>
      <c r="UD850" s="9"/>
      <c r="UE850" s="9"/>
      <c r="UF850" s="9"/>
      <c r="UG850" s="9"/>
      <c r="UH850" s="9"/>
      <c r="UI850" s="9"/>
      <c r="UJ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  <c r="FL851" s="9"/>
      <c r="FM851" s="9"/>
      <c r="FN851" s="9"/>
      <c r="FO851" s="9"/>
      <c r="FP851" s="9"/>
      <c r="FQ851" s="9"/>
      <c r="FR851" s="9"/>
      <c r="FS851" s="9"/>
      <c r="FT851" s="9"/>
      <c r="FU851" s="9"/>
      <c r="FV851" s="9"/>
      <c r="FW851" s="9"/>
      <c r="FX851" s="9"/>
      <c r="FY851" s="9"/>
      <c r="FZ851" s="9"/>
      <c r="GA851" s="9"/>
      <c r="GB851" s="9"/>
      <c r="GC851" s="9"/>
      <c r="GD851" s="9"/>
      <c r="GE851" s="9"/>
      <c r="GF851" s="9"/>
      <c r="GG851" s="9"/>
      <c r="GH851" s="9"/>
      <c r="GI851" s="9"/>
      <c r="GJ851" s="9"/>
      <c r="GK851" s="9"/>
      <c r="GL851" s="9"/>
      <c r="GM851" s="9"/>
      <c r="GN851" s="9"/>
      <c r="GO851" s="9"/>
      <c r="GP851" s="9"/>
      <c r="GQ851" s="9"/>
      <c r="GR851" s="9"/>
      <c r="GS851" s="9"/>
      <c r="GT851" s="9"/>
      <c r="GU851" s="9"/>
      <c r="GV851" s="9"/>
      <c r="GW851" s="9"/>
      <c r="GX851" s="9"/>
      <c r="GY851" s="9"/>
      <c r="GZ851" s="9"/>
      <c r="HA851" s="9"/>
      <c r="HB851" s="9"/>
      <c r="HC851" s="9"/>
      <c r="HD851" s="9"/>
      <c r="HE851" s="9"/>
      <c r="HF851" s="9"/>
      <c r="HG851" s="9"/>
      <c r="HH851" s="9"/>
      <c r="HI851" s="9"/>
      <c r="HJ851" s="9"/>
      <c r="HK851" s="9"/>
      <c r="HL851" s="9"/>
      <c r="HM851" s="9"/>
      <c r="HN851" s="9"/>
      <c r="HO851" s="9"/>
      <c r="HP851" s="9"/>
      <c r="HQ851" s="9"/>
      <c r="HR851" s="9"/>
      <c r="HS851" s="9"/>
      <c r="HT851" s="9"/>
      <c r="HU851" s="9"/>
      <c r="HV851" s="9"/>
      <c r="HW851" s="9"/>
      <c r="HX851" s="9"/>
      <c r="HY851" s="9"/>
      <c r="HZ851" s="9"/>
      <c r="IA851" s="9"/>
      <c r="IB851" s="9"/>
      <c r="IC851" s="9"/>
      <c r="ID851" s="9"/>
      <c r="IE851" s="9"/>
      <c r="IF851" s="9"/>
      <c r="IG851" s="9"/>
      <c r="IH851" s="9"/>
      <c r="II851" s="9"/>
      <c r="IJ851" s="9"/>
      <c r="IK851" s="9"/>
      <c r="IL851" s="9"/>
      <c r="IM851" s="9"/>
      <c r="IN851" s="9"/>
      <c r="IO851" s="9"/>
      <c r="IP851" s="9"/>
      <c r="IQ851" s="9"/>
      <c r="IR851" s="9"/>
      <c r="IS851" s="9"/>
      <c r="IT851" s="9"/>
      <c r="IU851" s="9"/>
      <c r="IV851" s="9"/>
      <c r="IW851" s="9"/>
      <c r="IX851" s="9"/>
      <c r="IY851" s="9"/>
      <c r="IZ851" s="9"/>
      <c r="JA851" s="9"/>
      <c r="JB851" s="9"/>
      <c r="JC851" s="9"/>
      <c r="JD851" s="9"/>
      <c r="JE851" s="9"/>
      <c r="JF851" s="9"/>
      <c r="JG851" s="9"/>
      <c r="JH851" s="9"/>
      <c r="JI851" s="9"/>
      <c r="JJ851" s="9"/>
      <c r="JK851" s="9"/>
      <c r="JL851" s="9"/>
      <c r="JM851" s="9"/>
      <c r="JN851" s="9"/>
      <c r="JO851" s="9"/>
      <c r="JP851" s="9"/>
      <c r="JQ851" s="9"/>
      <c r="JR851" s="9"/>
      <c r="JS851" s="9"/>
      <c r="JT851" s="9"/>
      <c r="JU851" s="9"/>
      <c r="JV851" s="9"/>
      <c r="JW851" s="9"/>
      <c r="JX851" s="9"/>
      <c r="JY851" s="9"/>
      <c r="JZ851" s="9"/>
      <c r="KA851" s="9"/>
      <c r="KB851" s="9"/>
      <c r="KC851" s="9"/>
      <c r="KD851" s="9"/>
      <c r="KE851" s="9"/>
      <c r="KF851" s="9"/>
      <c r="KG851" s="9"/>
      <c r="KH851" s="9"/>
      <c r="KI851" s="9"/>
      <c r="KJ851" s="9"/>
      <c r="KK851" s="9"/>
      <c r="KL851" s="9"/>
      <c r="KM851" s="9"/>
      <c r="KN851" s="9"/>
      <c r="KO851" s="9"/>
      <c r="KP851" s="9"/>
      <c r="KQ851" s="9"/>
      <c r="KR851" s="9"/>
      <c r="KS851" s="9"/>
      <c r="KT851" s="9"/>
      <c r="KU851" s="9"/>
      <c r="KV851" s="9"/>
      <c r="KW851" s="9"/>
      <c r="KX851" s="9"/>
      <c r="KY851" s="9"/>
      <c r="KZ851" s="9"/>
      <c r="LA851" s="9"/>
      <c r="LB851" s="9"/>
      <c r="LC851" s="9"/>
      <c r="LD851" s="9"/>
      <c r="LE851" s="9"/>
      <c r="LF851" s="9"/>
      <c r="LG851" s="9"/>
      <c r="LH851" s="9"/>
      <c r="LI851" s="9"/>
      <c r="LJ851" s="9"/>
      <c r="LK851" s="9"/>
      <c r="LL851" s="9"/>
      <c r="LM851" s="9"/>
      <c r="LN851" s="9"/>
      <c r="LO851" s="9"/>
      <c r="LP851" s="9"/>
      <c r="LQ851" s="9"/>
      <c r="LR851" s="9"/>
      <c r="LS851" s="9"/>
      <c r="LT851" s="9"/>
      <c r="LU851" s="9"/>
      <c r="LV851" s="9"/>
      <c r="LW851" s="9"/>
      <c r="LX851" s="9"/>
      <c r="LY851" s="9"/>
      <c r="LZ851" s="9"/>
      <c r="MA851" s="9"/>
      <c r="MB851" s="9"/>
      <c r="MC851" s="9"/>
      <c r="MD851" s="9"/>
      <c r="ME851" s="9"/>
      <c r="MF851" s="9"/>
      <c r="MG851" s="9"/>
      <c r="MH851" s="9"/>
      <c r="MI851" s="9"/>
      <c r="MJ851" s="9"/>
      <c r="MK851" s="9"/>
      <c r="ML851" s="9"/>
      <c r="MM851" s="9"/>
      <c r="MN851" s="9"/>
      <c r="MO851" s="9"/>
      <c r="MP851" s="9"/>
      <c r="MQ851" s="9"/>
      <c r="MR851" s="9"/>
      <c r="MS851" s="9"/>
      <c r="MT851" s="9"/>
      <c r="MU851" s="9"/>
      <c r="MV851" s="9"/>
      <c r="MW851" s="9"/>
      <c r="MX851" s="9"/>
      <c r="MY851" s="9"/>
      <c r="MZ851" s="9"/>
      <c r="NA851" s="9"/>
      <c r="NB851" s="9"/>
      <c r="NC851" s="9"/>
      <c r="ND851" s="9"/>
      <c r="NE851" s="9"/>
      <c r="NF851" s="9"/>
      <c r="NG851" s="9"/>
      <c r="NH851" s="9"/>
      <c r="NI851" s="9"/>
      <c r="NJ851" s="9"/>
      <c r="NK851" s="9"/>
      <c r="NL851" s="9"/>
      <c r="NM851" s="9"/>
      <c r="NN851" s="9"/>
      <c r="NO851" s="9"/>
      <c r="NP851" s="9"/>
      <c r="NQ851" s="9"/>
      <c r="NR851" s="9"/>
      <c r="NS851" s="9"/>
      <c r="NT851" s="9"/>
      <c r="NU851" s="9"/>
      <c r="NV851" s="9"/>
      <c r="NW851" s="9"/>
      <c r="NX851" s="9"/>
      <c r="NY851" s="9"/>
      <c r="NZ851" s="9"/>
      <c r="OA851" s="9"/>
      <c r="OB851" s="9"/>
      <c r="OC851" s="9"/>
      <c r="OD851" s="9"/>
      <c r="OE851" s="9"/>
      <c r="OF851" s="9"/>
      <c r="OG851" s="9"/>
      <c r="OH851" s="9"/>
      <c r="OI851" s="9"/>
      <c r="OJ851" s="9"/>
      <c r="OK851" s="9"/>
      <c r="OL851" s="9"/>
      <c r="OM851" s="9"/>
      <c r="ON851" s="9"/>
      <c r="OO851" s="9"/>
      <c r="OP851" s="9"/>
      <c r="OQ851" s="9"/>
      <c r="OR851" s="9"/>
      <c r="OS851" s="9"/>
      <c r="OT851" s="9"/>
      <c r="OU851" s="9"/>
      <c r="OV851" s="9"/>
      <c r="OW851" s="9"/>
      <c r="OX851" s="9"/>
      <c r="OY851" s="9"/>
      <c r="OZ851" s="9"/>
      <c r="PA851" s="9"/>
      <c r="PB851" s="9"/>
      <c r="PC851" s="9"/>
      <c r="PD851" s="9"/>
      <c r="PE851" s="9"/>
      <c r="PF851" s="9"/>
      <c r="PG851" s="9"/>
      <c r="PH851" s="9"/>
      <c r="PI851" s="9"/>
      <c r="PJ851" s="9"/>
      <c r="PK851" s="9"/>
      <c r="PL851" s="9"/>
      <c r="PM851" s="9"/>
      <c r="PN851" s="9"/>
      <c r="PO851" s="9"/>
      <c r="PP851" s="9"/>
      <c r="PQ851" s="9"/>
      <c r="PR851" s="9"/>
      <c r="PS851" s="9"/>
      <c r="PT851" s="9"/>
      <c r="PU851" s="9"/>
      <c r="PV851" s="9"/>
      <c r="PW851" s="9"/>
      <c r="PX851" s="9"/>
      <c r="PY851" s="9"/>
      <c r="PZ851" s="9"/>
      <c r="QA851" s="9"/>
      <c r="QB851" s="9"/>
      <c r="QC851" s="9"/>
      <c r="QD851" s="9"/>
      <c r="QE851" s="9"/>
      <c r="QF851" s="9"/>
      <c r="QG851" s="9"/>
      <c r="QH851" s="9"/>
      <c r="QI851" s="9"/>
      <c r="QJ851" s="9"/>
      <c r="QK851" s="9"/>
      <c r="QL851" s="9"/>
      <c r="QM851" s="9"/>
      <c r="QN851" s="9"/>
      <c r="QO851" s="9"/>
      <c r="QP851" s="9"/>
      <c r="QQ851" s="9"/>
      <c r="QR851" s="9"/>
      <c r="QS851" s="9"/>
      <c r="QT851" s="9"/>
      <c r="QU851" s="9"/>
      <c r="QV851" s="9"/>
      <c r="QW851" s="9"/>
      <c r="QX851" s="9"/>
      <c r="QY851" s="9"/>
      <c r="QZ851" s="9"/>
      <c r="RA851" s="9"/>
      <c r="RB851" s="9"/>
      <c r="RC851" s="9"/>
      <c r="RD851" s="9"/>
      <c r="RE851" s="9"/>
      <c r="RF851" s="9"/>
      <c r="RG851" s="9"/>
      <c r="RH851" s="9"/>
      <c r="RI851" s="9"/>
      <c r="RJ851" s="9"/>
      <c r="RK851" s="9"/>
      <c r="RL851" s="9"/>
      <c r="RM851" s="9"/>
      <c r="RN851" s="9"/>
      <c r="RO851" s="9"/>
      <c r="RP851" s="9"/>
      <c r="RQ851" s="9"/>
      <c r="RR851" s="9"/>
      <c r="RS851" s="9"/>
      <c r="RT851" s="9"/>
      <c r="RU851" s="9"/>
      <c r="RV851" s="9"/>
      <c r="RW851" s="9"/>
      <c r="RX851" s="9"/>
      <c r="RY851" s="9"/>
      <c r="RZ851" s="9"/>
      <c r="SA851" s="9"/>
      <c r="SB851" s="9"/>
      <c r="SC851" s="9"/>
      <c r="SD851" s="9"/>
      <c r="SE851" s="9"/>
      <c r="SF851" s="9"/>
      <c r="SG851" s="9"/>
      <c r="SH851" s="9"/>
      <c r="SI851" s="9"/>
      <c r="SJ851" s="9"/>
      <c r="SK851" s="9"/>
      <c r="SL851" s="9"/>
      <c r="SM851" s="9"/>
      <c r="SN851" s="9"/>
      <c r="SO851" s="9"/>
      <c r="SP851" s="9"/>
      <c r="SQ851" s="9"/>
      <c r="SR851" s="9"/>
      <c r="SS851" s="9"/>
      <c r="ST851" s="9"/>
      <c r="SU851" s="9"/>
      <c r="SV851" s="9"/>
      <c r="SW851" s="9"/>
      <c r="SX851" s="9"/>
      <c r="SY851" s="9"/>
      <c r="SZ851" s="9"/>
      <c r="TA851" s="9"/>
      <c r="TB851" s="9"/>
      <c r="TC851" s="9"/>
      <c r="TD851" s="9"/>
      <c r="TE851" s="9"/>
      <c r="TF851" s="9"/>
      <c r="TG851" s="9"/>
      <c r="TH851" s="9"/>
      <c r="TI851" s="9"/>
      <c r="TJ851" s="9"/>
      <c r="TK851" s="9"/>
      <c r="TL851" s="9"/>
      <c r="TM851" s="9"/>
      <c r="TN851" s="9"/>
      <c r="TO851" s="9"/>
      <c r="TP851" s="9"/>
      <c r="TQ851" s="9"/>
      <c r="TR851" s="9"/>
      <c r="TS851" s="9"/>
      <c r="TT851" s="9"/>
      <c r="TU851" s="9"/>
      <c r="TV851" s="9"/>
      <c r="TW851" s="9"/>
      <c r="TX851" s="9"/>
      <c r="TY851" s="9"/>
      <c r="TZ851" s="9"/>
      <c r="UA851" s="9"/>
      <c r="UB851" s="9"/>
      <c r="UC851" s="9"/>
      <c r="UD851" s="9"/>
      <c r="UE851" s="9"/>
      <c r="UF851" s="9"/>
      <c r="UG851" s="9"/>
      <c r="UH851" s="9"/>
      <c r="UI851" s="9"/>
      <c r="UJ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  <c r="HZ852" s="9"/>
      <c r="IA852" s="9"/>
      <c r="IB852" s="9"/>
      <c r="IC852" s="9"/>
      <c r="ID852" s="9"/>
      <c r="IE852" s="9"/>
      <c r="IF852" s="9"/>
      <c r="IG852" s="9"/>
      <c r="IH852" s="9"/>
      <c r="II852" s="9"/>
      <c r="IJ852" s="9"/>
      <c r="IK852" s="9"/>
      <c r="IL852" s="9"/>
      <c r="IM852" s="9"/>
      <c r="IN852" s="9"/>
      <c r="IO852" s="9"/>
      <c r="IP852" s="9"/>
      <c r="IQ852" s="9"/>
      <c r="IR852" s="9"/>
      <c r="IS852" s="9"/>
      <c r="IT852" s="9"/>
      <c r="IU852" s="9"/>
      <c r="IV852" s="9"/>
      <c r="IW852" s="9"/>
      <c r="IX852" s="9"/>
      <c r="IY852" s="9"/>
      <c r="IZ852" s="9"/>
      <c r="JA852" s="9"/>
      <c r="JB852" s="9"/>
      <c r="JC852" s="9"/>
      <c r="JD852" s="9"/>
      <c r="JE852" s="9"/>
      <c r="JF852" s="9"/>
      <c r="JG852" s="9"/>
      <c r="JH852" s="9"/>
      <c r="JI852" s="9"/>
      <c r="JJ852" s="9"/>
      <c r="JK852" s="9"/>
      <c r="JL852" s="9"/>
      <c r="JM852" s="9"/>
      <c r="JN852" s="9"/>
      <c r="JO852" s="9"/>
      <c r="JP852" s="9"/>
      <c r="JQ852" s="9"/>
      <c r="JR852" s="9"/>
      <c r="JS852" s="9"/>
      <c r="JT852" s="9"/>
      <c r="JU852" s="9"/>
      <c r="JV852" s="9"/>
      <c r="JW852" s="9"/>
      <c r="JX852" s="9"/>
      <c r="JY852" s="9"/>
      <c r="JZ852" s="9"/>
      <c r="KA852" s="9"/>
      <c r="KB852" s="9"/>
      <c r="KC852" s="9"/>
      <c r="KD852" s="9"/>
      <c r="KE852" s="9"/>
      <c r="KF852" s="9"/>
      <c r="KG852" s="9"/>
      <c r="KH852" s="9"/>
      <c r="KI852" s="9"/>
      <c r="KJ852" s="9"/>
      <c r="KK852" s="9"/>
      <c r="KL852" s="9"/>
      <c r="KM852" s="9"/>
      <c r="KN852" s="9"/>
      <c r="KO852" s="9"/>
      <c r="KP852" s="9"/>
      <c r="KQ852" s="9"/>
      <c r="KR852" s="9"/>
      <c r="KS852" s="9"/>
      <c r="KT852" s="9"/>
      <c r="KU852" s="9"/>
      <c r="KV852" s="9"/>
      <c r="KW852" s="9"/>
      <c r="KX852" s="9"/>
      <c r="KY852" s="9"/>
      <c r="KZ852" s="9"/>
      <c r="LA852" s="9"/>
      <c r="LB852" s="9"/>
      <c r="LC852" s="9"/>
      <c r="LD852" s="9"/>
      <c r="LE852" s="9"/>
      <c r="LF852" s="9"/>
      <c r="LG852" s="9"/>
      <c r="LH852" s="9"/>
      <c r="LI852" s="9"/>
      <c r="LJ852" s="9"/>
      <c r="LK852" s="9"/>
      <c r="LL852" s="9"/>
      <c r="LM852" s="9"/>
      <c r="LN852" s="9"/>
      <c r="LO852" s="9"/>
      <c r="LP852" s="9"/>
      <c r="LQ852" s="9"/>
      <c r="LR852" s="9"/>
      <c r="LS852" s="9"/>
      <c r="LT852" s="9"/>
      <c r="LU852" s="9"/>
      <c r="LV852" s="9"/>
      <c r="LW852" s="9"/>
      <c r="LX852" s="9"/>
      <c r="LY852" s="9"/>
      <c r="LZ852" s="9"/>
      <c r="MA852" s="9"/>
      <c r="MB852" s="9"/>
      <c r="MC852" s="9"/>
      <c r="MD852" s="9"/>
      <c r="ME852" s="9"/>
      <c r="MF852" s="9"/>
      <c r="MG852" s="9"/>
      <c r="MH852" s="9"/>
      <c r="MI852" s="9"/>
      <c r="MJ852" s="9"/>
      <c r="MK852" s="9"/>
      <c r="ML852" s="9"/>
      <c r="MM852" s="9"/>
      <c r="MN852" s="9"/>
      <c r="MO852" s="9"/>
      <c r="MP852" s="9"/>
      <c r="MQ852" s="9"/>
      <c r="MR852" s="9"/>
      <c r="MS852" s="9"/>
      <c r="MT852" s="9"/>
      <c r="MU852" s="9"/>
      <c r="MV852" s="9"/>
      <c r="MW852" s="9"/>
      <c r="MX852" s="9"/>
      <c r="MY852" s="9"/>
      <c r="MZ852" s="9"/>
      <c r="NA852" s="9"/>
      <c r="NB852" s="9"/>
      <c r="NC852" s="9"/>
      <c r="ND852" s="9"/>
      <c r="NE852" s="9"/>
      <c r="NF852" s="9"/>
      <c r="NG852" s="9"/>
      <c r="NH852" s="9"/>
      <c r="NI852" s="9"/>
      <c r="NJ852" s="9"/>
      <c r="NK852" s="9"/>
      <c r="NL852" s="9"/>
      <c r="NM852" s="9"/>
      <c r="NN852" s="9"/>
      <c r="NO852" s="9"/>
      <c r="NP852" s="9"/>
      <c r="NQ852" s="9"/>
      <c r="NR852" s="9"/>
      <c r="NS852" s="9"/>
      <c r="NT852" s="9"/>
      <c r="NU852" s="9"/>
      <c r="NV852" s="9"/>
      <c r="NW852" s="9"/>
      <c r="NX852" s="9"/>
      <c r="NY852" s="9"/>
      <c r="NZ852" s="9"/>
      <c r="OA852" s="9"/>
      <c r="OB852" s="9"/>
      <c r="OC852" s="9"/>
      <c r="OD852" s="9"/>
      <c r="OE852" s="9"/>
      <c r="OF852" s="9"/>
      <c r="OG852" s="9"/>
      <c r="OH852" s="9"/>
      <c r="OI852" s="9"/>
      <c r="OJ852" s="9"/>
      <c r="OK852" s="9"/>
      <c r="OL852" s="9"/>
      <c r="OM852" s="9"/>
      <c r="ON852" s="9"/>
      <c r="OO852" s="9"/>
      <c r="OP852" s="9"/>
      <c r="OQ852" s="9"/>
      <c r="OR852" s="9"/>
      <c r="OS852" s="9"/>
      <c r="OT852" s="9"/>
      <c r="OU852" s="9"/>
      <c r="OV852" s="9"/>
      <c r="OW852" s="9"/>
      <c r="OX852" s="9"/>
      <c r="OY852" s="9"/>
      <c r="OZ852" s="9"/>
      <c r="PA852" s="9"/>
      <c r="PB852" s="9"/>
      <c r="PC852" s="9"/>
      <c r="PD852" s="9"/>
      <c r="PE852" s="9"/>
      <c r="PF852" s="9"/>
      <c r="PG852" s="9"/>
      <c r="PH852" s="9"/>
      <c r="PI852" s="9"/>
      <c r="PJ852" s="9"/>
      <c r="PK852" s="9"/>
      <c r="PL852" s="9"/>
      <c r="PM852" s="9"/>
      <c r="PN852" s="9"/>
      <c r="PO852" s="9"/>
      <c r="PP852" s="9"/>
      <c r="PQ852" s="9"/>
      <c r="PR852" s="9"/>
      <c r="PS852" s="9"/>
      <c r="PT852" s="9"/>
      <c r="PU852" s="9"/>
      <c r="PV852" s="9"/>
      <c r="PW852" s="9"/>
      <c r="PX852" s="9"/>
      <c r="PY852" s="9"/>
      <c r="PZ852" s="9"/>
      <c r="QA852" s="9"/>
      <c r="QB852" s="9"/>
      <c r="QC852" s="9"/>
      <c r="QD852" s="9"/>
      <c r="QE852" s="9"/>
      <c r="QF852" s="9"/>
      <c r="QG852" s="9"/>
      <c r="QH852" s="9"/>
      <c r="QI852" s="9"/>
      <c r="QJ852" s="9"/>
      <c r="QK852" s="9"/>
      <c r="QL852" s="9"/>
      <c r="QM852" s="9"/>
      <c r="QN852" s="9"/>
      <c r="QO852" s="9"/>
      <c r="QP852" s="9"/>
      <c r="QQ852" s="9"/>
      <c r="QR852" s="9"/>
      <c r="QS852" s="9"/>
      <c r="QT852" s="9"/>
      <c r="QU852" s="9"/>
      <c r="QV852" s="9"/>
      <c r="QW852" s="9"/>
      <c r="QX852" s="9"/>
      <c r="QY852" s="9"/>
      <c r="QZ852" s="9"/>
      <c r="RA852" s="9"/>
      <c r="RB852" s="9"/>
      <c r="RC852" s="9"/>
      <c r="RD852" s="9"/>
      <c r="RE852" s="9"/>
      <c r="RF852" s="9"/>
      <c r="RG852" s="9"/>
      <c r="RH852" s="9"/>
      <c r="RI852" s="9"/>
      <c r="RJ852" s="9"/>
      <c r="RK852" s="9"/>
      <c r="RL852" s="9"/>
      <c r="RM852" s="9"/>
      <c r="RN852" s="9"/>
      <c r="RO852" s="9"/>
      <c r="RP852" s="9"/>
      <c r="RQ852" s="9"/>
      <c r="RR852" s="9"/>
      <c r="RS852" s="9"/>
      <c r="RT852" s="9"/>
      <c r="RU852" s="9"/>
      <c r="RV852" s="9"/>
      <c r="RW852" s="9"/>
      <c r="RX852" s="9"/>
      <c r="RY852" s="9"/>
      <c r="RZ852" s="9"/>
      <c r="SA852" s="9"/>
      <c r="SB852" s="9"/>
      <c r="SC852" s="9"/>
      <c r="SD852" s="9"/>
      <c r="SE852" s="9"/>
      <c r="SF852" s="9"/>
      <c r="SG852" s="9"/>
      <c r="SH852" s="9"/>
      <c r="SI852" s="9"/>
      <c r="SJ852" s="9"/>
      <c r="SK852" s="9"/>
      <c r="SL852" s="9"/>
      <c r="SM852" s="9"/>
      <c r="SN852" s="9"/>
      <c r="SO852" s="9"/>
      <c r="SP852" s="9"/>
      <c r="SQ852" s="9"/>
      <c r="SR852" s="9"/>
      <c r="SS852" s="9"/>
      <c r="ST852" s="9"/>
      <c r="SU852" s="9"/>
      <c r="SV852" s="9"/>
      <c r="SW852" s="9"/>
      <c r="SX852" s="9"/>
      <c r="SY852" s="9"/>
      <c r="SZ852" s="9"/>
      <c r="TA852" s="9"/>
      <c r="TB852" s="9"/>
      <c r="TC852" s="9"/>
      <c r="TD852" s="9"/>
      <c r="TE852" s="9"/>
      <c r="TF852" s="9"/>
      <c r="TG852" s="9"/>
      <c r="TH852" s="9"/>
      <c r="TI852" s="9"/>
      <c r="TJ852" s="9"/>
      <c r="TK852" s="9"/>
      <c r="TL852" s="9"/>
      <c r="TM852" s="9"/>
      <c r="TN852" s="9"/>
      <c r="TO852" s="9"/>
      <c r="TP852" s="9"/>
      <c r="TQ852" s="9"/>
      <c r="TR852" s="9"/>
      <c r="TS852" s="9"/>
      <c r="TT852" s="9"/>
      <c r="TU852" s="9"/>
      <c r="TV852" s="9"/>
      <c r="TW852" s="9"/>
      <c r="TX852" s="9"/>
      <c r="TY852" s="9"/>
      <c r="TZ852" s="9"/>
      <c r="UA852" s="9"/>
      <c r="UB852" s="9"/>
      <c r="UC852" s="9"/>
      <c r="UD852" s="9"/>
      <c r="UE852" s="9"/>
      <c r="UF852" s="9"/>
      <c r="UG852" s="9"/>
      <c r="UH852" s="9"/>
      <c r="UI852" s="9"/>
      <c r="UJ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9"/>
      <c r="GV853" s="9"/>
      <c r="GW853" s="9"/>
      <c r="GX853" s="9"/>
      <c r="GY853" s="9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  <c r="HO853" s="9"/>
      <c r="HP853" s="9"/>
      <c r="HQ853" s="9"/>
      <c r="HR853" s="9"/>
      <c r="HS853" s="9"/>
      <c r="HT853" s="9"/>
      <c r="HU853" s="9"/>
      <c r="HV853" s="9"/>
      <c r="HW853" s="9"/>
      <c r="HX853" s="9"/>
      <c r="HY853" s="9"/>
      <c r="HZ853" s="9"/>
      <c r="IA853" s="9"/>
      <c r="IB853" s="9"/>
      <c r="IC853" s="9"/>
      <c r="ID853" s="9"/>
      <c r="IE853" s="9"/>
      <c r="IF853" s="9"/>
      <c r="IG853" s="9"/>
      <c r="IH853" s="9"/>
      <c r="II853" s="9"/>
      <c r="IJ853" s="9"/>
      <c r="IK853" s="9"/>
      <c r="IL853" s="9"/>
      <c r="IM853" s="9"/>
      <c r="IN853" s="9"/>
      <c r="IO853" s="9"/>
      <c r="IP853" s="9"/>
      <c r="IQ853" s="9"/>
      <c r="IR853" s="9"/>
      <c r="IS853" s="9"/>
      <c r="IT853" s="9"/>
      <c r="IU853" s="9"/>
      <c r="IV853" s="9"/>
      <c r="IW853" s="9"/>
      <c r="IX853" s="9"/>
      <c r="IY853" s="9"/>
      <c r="IZ853" s="9"/>
      <c r="JA853" s="9"/>
      <c r="JB853" s="9"/>
      <c r="JC853" s="9"/>
      <c r="JD853" s="9"/>
      <c r="JE853" s="9"/>
      <c r="JF853" s="9"/>
      <c r="JG853" s="9"/>
      <c r="JH853" s="9"/>
      <c r="JI853" s="9"/>
      <c r="JJ853" s="9"/>
      <c r="JK853" s="9"/>
      <c r="JL853" s="9"/>
      <c r="JM853" s="9"/>
      <c r="JN853" s="9"/>
      <c r="JO853" s="9"/>
      <c r="JP853" s="9"/>
      <c r="JQ853" s="9"/>
      <c r="JR853" s="9"/>
      <c r="JS853" s="9"/>
      <c r="JT853" s="9"/>
      <c r="JU853" s="9"/>
      <c r="JV853" s="9"/>
      <c r="JW853" s="9"/>
      <c r="JX853" s="9"/>
      <c r="JY853" s="9"/>
      <c r="JZ853" s="9"/>
      <c r="KA853" s="9"/>
      <c r="KB853" s="9"/>
      <c r="KC853" s="9"/>
      <c r="KD853" s="9"/>
      <c r="KE853" s="9"/>
      <c r="KF853" s="9"/>
      <c r="KG853" s="9"/>
      <c r="KH853" s="9"/>
      <c r="KI853" s="9"/>
      <c r="KJ853" s="9"/>
      <c r="KK853" s="9"/>
      <c r="KL853" s="9"/>
      <c r="KM853" s="9"/>
      <c r="KN853" s="9"/>
      <c r="KO853" s="9"/>
      <c r="KP853" s="9"/>
      <c r="KQ853" s="9"/>
      <c r="KR853" s="9"/>
      <c r="KS853" s="9"/>
      <c r="KT853" s="9"/>
      <c r="KU853" s="9"/>
      <c r="KV853" s="9"/>
      <c r="KW853" s="9"/>
      <c r="KX853" s="9"/>
      <c r="KY853" s="9"/>
      <c r="KZ853" s="9"/>
      <c r="LA853" s="9"/>
      <c r="LB853" s="9"/>
      <c r="LC853" s="9"/>
      <c r="LD853" s="9"/>
      <c r="LE853" s="9"/>
      <c r="LF853" s="9"/>
      <c r="LG853" s="9"/>
      <c r="LH853" s="9"/>
      <c r="LI853" s="9"/>
      <c r="LJ853" s="9"/>
      <c r="LK853" s="9"/>
      <c r="LL853" s="9"/>
      <c r="LM853" s="9"/>
      <c r="LN853" s="9"/>
      <c r="LO853" s="9"/>
      <c r="LP853" s="9"/>
      <c r="LQ853" s="9"/>
      <c r="LR853" s="9"/>
      <c r="LS853" s="9"/>
      <c r="LT853" s="9"/>
      <c r="LU853" s="9"/>
      <c r="LV853" s="9"/>
      <c r="LW853" s="9"/>
      <c r="LX853" s="9"/>
      <c r="LY853" s="9"/>
      <c r="LZ853" s="9"/>
      <c r="MA853" s="9"/>
      <c r="MB853" s="9"/>
      <c r="MC853" s="9"/>
      <c r="MD853" s="9"/>
      <c r="ME853" s="9"/>
      <c r="MF853" s="9"/>
      <c r="MG853" s="9"/>
      <c r="MH853" s="9"/>
      <c r="MI853" s="9"/>
      <c r="MJ853" s="9"/>
      <c r="MK853" s="9"/>
      <c r="ML853" s="9"/>
      <c r="MM853" s="9"/>
      <c r="MN853" s="9"/>
      <c r="MO853" s="9"/>
      <c r="MP853" s="9"/>
      <c r="MQ853" s="9"/>
      <c r="MR853" s="9"/>
      <c r="MS853" s="9"/>
      <c r="MT853" s="9"/>
      <c r="MU853" s="9"/>
      <c r="MV853" s="9"/>
      <c r="MW853" s="9"/>
      <c r="MX853" s="9"/>
      <c r="MY853" s="9"/>
      <c r="MZ853" s="9"/>
      <c r="NA853" s="9"/>
      <c r="NB853" s="9"/>
      <c r="NC853" s="9"/>
      <c r="ND853" s="9"/>
      <c r="NE853" s="9"/>
      <c r="NF853" s="9"/>
      <c r="NG853" s="9"/>
      <c r="NH853" s="9"/>
      <c r="NI853" s="9"/>
      <c r="NJ853" s="9"/>
      <c r="NK853" s="9"/>
      <c r="NL853" s="9"/>
      <c r="NM853" s="9"/>
      <c r="NN853" s="9"/>
      <c r="NO853" s="9"/>
      <c r="NP853" s="9"/>
      <c r="NQ853" s="9"/>
      <c r="NR853" s="9"/>
      <c r="NS853" s="9"/>
      <c r="NT853" s="9"/>
      <c r="NU853" s="9"/>
      <c r="NV853" s="9"/>
      <c r="NW853" s="9"/>
      <c r="NX853" s="9"/>
      <c r="NY853" s="9"/>
      <c r="NZ853" s="9"/>
      <c r="OA853" s="9"/>
      <c r="OB853" s="9"/>
      <c r="OC853" s="9"/>
      <c r="OD853" s="9"/>
      <c r="OE853" s="9"/>
      <c r="OF853" s="9"/>
      <c r="OG853" s="9"/>
      <c r="OH853" s="9"/>
      <c r="OI853" s="9"/>
      <c r="OJ853" s="9"/>
      <c r="OK853" s="9"/>
      <c r="OL853" s="9"/>
      <c r="OM853" s="9"/>
      <c r="ON853" s="9"/>
      <c r="OO853" s="9"/>
      <c r="OP853" s="9"/>
      <c r="OQ853" s="9"/>
      <c r="OR853" s="9"/>
      <c r="OS853" s="9"/>
      <c r="OT853" s="9"/>
      <c r="OU853" s="9"/>
      <c r="OV853" s="9"/>
      <c r="OW853" s="9"/>
      <c r="OX853" s="9"/>
      <c r="OY853" s="9"/>
      <c r="OZ853" s="9"/>
      <c r="PA853" s="9"/>
      <c r="PB853" s="9"/>
      <c r="PC853" s="9"/>
      <c r="PD853" s="9"/>
      <c r="PE853" s="9"/>
      <c r="PF853" s="9"/>
      <c r="PG853" s="9"/>
      <c r="PH853" s="9"/>
      <c r="PI853" s="9"/>
      <c r="PJ853" s="9"/>
      <c r="PK853" s="9"/>
      <c r="PL853" s="9"/>
      <c r="PM853" s="9"/>
      <c r="PN853" s="9"/>
      <c r="PO853" s="9"/>
      <c r="PP853" s="9"/>
      <c r="PQ853" s="9"/>
      <c r="PR853" s="9"/>
      <c r="PS853" s="9"/>
      <c r="PT853" s="9"/>
      <c r="PU853" s="9"/>
      <c r="PV853" s="9"/>
      <c r="PW853" s="9"/>
      <c r="PX853" s="9"/>
      <c r="PY853" s="9"/>
      <c r="PZ853" s="9"/>
      <c r="QA853" s="9"/>
      <c r="QB853" s="9"/>
      <c r="QC853" s="9"/>
      <c r="QD853" s="9"/>
      <c r="QE853" s="9"/>
      <c r="QF853" s="9"/>
      <c r="QG853" s="9"/>
      <c r="QH853" s="9"/>
      <c r="QI853" s="9"/>
      <c r="QJ853" s="9"/>
      <c r="QK853" s="9"/>
      <c r="QL853" s="9"/>
      <c r="QM853" s="9"/>
      <c r="QN853" s="9"/>
      <c r="QO853" s="9"/>
      <c r="QP853" s="9"/>
      <c r="QQ853" s="9"/>
      <c r="QR853" s="9"/>
      <c r="QS853" s="9"/>
      <c r="QT853" s="9"/>
      <c r="QU853" s="9"/>
      <c r="QV853" s="9"/>
      <c r="QW853" s="9"/>
      <c r="QX853" s="9"/>
      <c r="QY853" s="9"/>
      <c r="QZ853" s="9"/>
      <c r="RA853" s="9"/>
      <c r="RB853" s="9"/>
      <c r="RC853" s="9"/>
      <c r="RD853" s="9"/>
      <c r="RE853" s="9"/>
      <c r="RF853" s="9"/>
      <c r="RG853" s="9"/>
      <c r="RH853" s="9"/>
      <c r="RI853" s="9"/>
      <c r="RJ853" s="9"/>
      <c r="RK853" s="9"/>
      <c r="RL853" s="9"/>
      <c r="RM853" s="9"/>
      <c r="RN853" s="9"/>
      <c r="RO853" s="9"/>
      <c r="RP853" s="9"/>
      <c r="RQ853" s="9"/>
      <c r="RR853" s="9"/>
      <c r="RS853" s="9"/>
      <c r="RT853" s="9"/>
      <c r="RU853" s="9"/>
      <c r="RV853" s="9"/>
      <c r="RW853" s="9"/>
      <c r="RX853" s="9"/>
      <c r="RY853" s="9"/>
      <c r="RZ853" s="9"/>
      <c r="SA853" s="9"/>
      <c r="SB853" s="9"/>
      <c r="SC853" s="9"/>
      <c r="SD853" s="9"/>
      <c r="SE853" s="9"/>
      <c r="SF853" s="9"/>
      <c r="SG853" s="9"/>
      <c r="SH853" s="9"/>
      <c r="SI853" s="9"/>
      <c r="SJ853" s="9"/>
      <c r="SK853" s="9"/>
      <c r="SL853" s="9"/>
      <c r="SM853" s="9"/>
      <c r="SN853" s="9"/>
      <c r="SO853" s="9"/>
      <c r="SP853" s="9"/>
      <c r="SQ853" s="9"/>
      <c r="SR853" s="9"/>
      <c r="SS853" s="9"/>
      <c r="ST853" s="9"/>
      <c r="SU853" s="9"/>
      <c r="SV853" s="9"/>
      <c r="SW853" s="9"/>
      <c r="SX853" s="9"/>
      <c r="SY853" s="9"/>
      <c r="SZ853" s="9"/>
      <c r="TA853" s="9"/>
      <c r="TB853" s="9"/>
      <c r="TC853" s="9"/>
      <c r="TD853" s="9"/>
      <c r="TE853" s="9"/>
      <c r="TF853" s="9"/>
      <c r="TG853" s="9"/>
      <c r="TH853" s="9"/>
      <c r="TI853" s="9"/>
      <c r="TJ853" s="9"/>
      <c r="TK853" s="9"/>
      <c r="TL853" s="9"/>
      <c r="TM853" s="9"/>
      <c r="TN853" s="9"/>
      <c r="TO853" s="9"/>
      <c r="TP853" s="9"/>
      <c r="TQ853" s="9"/>
      <c r="TR853" s="9"/>
      <c r="TS853" s="9"/>
      <c r="TT853" s="9"/>
      <c r="TU853" s="9"/>
      <c r="TV853" s="9"/>
      <c r="TW853" s="9"/>
      <c r="TX853" s="9"/>
      <c r="TY853" s="9"/>
      <c r="TZ853" s="9"/>
      <c r="UA853" s="9"/>
      <c r="UB853" s="9"/>
      <c r="UC853" s="9"/>
      <c r="UD853" s="9"/>
      <c r="UE853" s="9"/>
      <c r="UF853" s="9"/>
      <c r="UG853" s="9"/>
      <c r="UH853" s="9"/>
      <c r="UI853" s="9"/>
      <c r="UJ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  <c r="HZ854" s="9"/>
      <c r="IA854" s="9"/>
      <c r="IB854" s="9"/>
      <c r="IC854" s="9"/>
      <c r="ID854" s="9"/>
      <c r="IE854" s="9"/>
      <c r="IF854" s="9"/>
      <c r="IG854" s="9"/>
      <c r="IH854" s="9"/>
      <c r="II854" s="9"/>
      <c r="IJ854" s="9"/>
      <c r="IK854" s="9"/>
      <c r="IL854" s="9"/>
      <c r="IM854" s="9"/>
      <c r="IN854" s="9"/>
      <c r="IO854" s="9"/>
      <c r="IP854" s="9"/>
      <c r="IQ854" s="9"/>
      <c r="IR854" s="9"/>
      <c r="IS854" s="9"/>
      <c r="IT854" s="9"/>
      <c r="IU854" s="9"/>
      <c r="IV854" s="9"/>
      <c r="IW854" s="9"/>
      <c r="IX854" s="9"/>
      <c r="IY854" s="9"/>
      <c r="IZ854" s="9"/>
      <c r="JA854" s="9"/>
      <c r="JB854" s="9"/>
      <c r="JC854" s="9"/>
      <c r="JD854" s="9"/>
      <c r="JE854" s="9"/>
      <c r="JF854" s="9"/>
      <c r="JG854" s="9"/>
      <c r="JH854" s="9"/>
      <c r="JI854" s="9"/>
      <c r="JJ854" s="9"/>
      <c r="JK854" s="9"/>
      <c r="JL854" s="9"/>
      <c r="JM854" s="9"/>
      <c r="JN854" s="9"/>
      <c r="JO854" s="9"/>
      <c r="JP854" s="9"/>
      <c r="JQ854" s="9"/>
      <c r="JR854" s="9"/>
      <c r="JS854" s="9"/>
      <c r="JT854" s="9"/>
      <c r="JU854" s="9"/>
      <c r="JV854" s="9"/>
      <c r="JW854" s="9"/>
      <c r="JX854" s="9"/>
      <c r="JY854" s="9"/>
      <c r="JZ854" s="9"/>
      <c r="KA854" s="9"/>
      <c r="KB854" s="9"/>
      <c r="KC854" s="9"/>
      <c r="KD854" s="9"/>
      <c r="KE854" s="9"/>
      <c r="KF854" s="9"/>
      <c r="KG854" s="9"/>
      <c r="KH854" s="9"/>
      <c r="KI854" s="9"/>
      <c r="KJ854" s="9"/>
      <c r="KK854" s="9"/>
      <c r="KL854" s="9"/>
      <c r="KM854" s="9"/>
      <c r="KN854" s="9"/>
      <c r="KO854" s="9"/>
      <c r="KP854" s="9"/>
      <c r="KQ854" s="9"/>
      <c r="KR854" s="9"/>
      <c r="KS854" s="9"/>
      <c r="KT854" s="9"/>
      <c r="KU854" s="9"/>
      <c r="KV854" s="9"/>
      <c r="KW854" s="9"/>
      <c r="KX854" s="9"/>
      <c r="KY854" s="9"/>
      <c r="KZ854" s="9"/>
      <c r="LA854" s="9"/>
      <c r="LB854" s="9"/>
      <c r="LC854" s="9"/>
      <c r="LD854" s="9"/>
      <c r="LE854" s="9"/>
      <c r="LF854" s="9"/>
      <c r="LG854" s="9"/>
      <c r="LH854" s="9"/>
      <c r="LI854" s="9"/>
      <c r="LJ854" s="9"/>
      <c r="LK854" s="9"/>
      <c r="LL854" s="9"/>
      <c r="LM854" s="9"/>
      <c r="LN854" s="9"/>
      <c r="LO854" s="9"/>
      <c r="LP854" s="9"/>
      <c r="LQ854" s="9"/>
      <c r="LR854" s="9"/>
      <c r="LS854" s="9"/>
      <c r="LT854" s="9"/>
      <c r="LU854" s="9"/>
      <c r="LV854" s="9"/>
      <c r="LW854" s="9"/>
      <c r="LX854" s="9"/>
      <c r="LY854" s="9"/>
      <c r="LZ854" s="9"/>
      <c r="MA854" s="9"/>
      <c r="MB854" s="9"/>
      <c r="MC854" s="9"/>
      <c r="MD854" s="9"/>
      <c r="ME854" s="9"/>
      <c r="MF854" s="9"/>
      <c r="MG854" s="9"/>
      <c r="MH854" s="9"/>
      <c r="MI854" s="9"/>
      <c r="MJ854" s="9"/>
      <c r="MK854" s="9"/>
      <c r="ML854" s="9"/>
      <c r="MM854" s="9"/>
      <c r="MN854" s="9"/>
      <c r="MO854" s="9"/>
      <c r="MP854" s="9"/>
      <c r="MQ854" s="9"/>
      <c r="MR854" s="9"/>
      <c r="MS854" s="9"/>
      <c r="MT854" s="9"/>
      <c r="MU854" s="9"/>
      <c r="MV854" s="9"/>
      <c r="MW854" s="9"/>
      <c r="MX854" s="9"/>
      <c r="MY854" s="9"/>
      <c r="MZ854" s="9"/>
      <c r="NA854" s="9"/>
      <c r="NB854" s="9"/>
      <c r="NC854" s="9"/>
      <c r="ND854" s="9"/>
      <c r="NE854" s="9"/>
      <c r="NF854" s="9"/>
      <c r="NG854" s="9"/>
      <c r="NH854" s="9"/>
      <c r="NI854" s="9"/>
      <c r="NJ854" s="9"/>
      <c r="NK854" s="9"/>
      <c r="NL854" s="9"/>
      <c r="NM854" s="9"/>
      <c r="NN854" s="9"/>
      <c r="NO854" s="9"/>
      <c r="NP854" s="9"/>
      <c r="NQ854" s="9"/>
      <c r="NR854" s="9"/>
      <c r="NS854" s="9"/>
      <c r="NT854" s="9"/>
      <c r="NU854" s="9"/>
      <c r="NV854" s="9"/>
      <c r="NW854" s="9"/>
      <c r="NX854" s="9"/>
      <c r="NY854" s="9"/>
      <c r="NZ854" s="9"/>
      <c r="OA854" s="9"/>
      <c r="OB854" s="9"/>
      <c r="OC854" s="9"/>
      <c r="OD854" s="9"/>
      <c r="OE854" s="9"/>
      <c r="OF854" s="9"/>
      <c r="OG854" s="9"/>
      <c r="OH854" s="9"/>
      <c r="OI854" s="9"/>
      <c r="OJ854" s="9"/>
      <c r="OK854" s="9"/>
      <c r="OL854" s="9"/>
      <c r="OM854" s="9"/>
      <c r="ON854" s="9"/>
      <c r="OO854" s="9"/>
      <c r="OP854" s="9"/>
      <c r="OQ854" s="9"/>
      <c r="OR854" s="9"/>
      <c r="OS854" s="9"/>
      <c r="OT854" s="9"/>
      <c r="OU854" s="9"/>
      <c r="OV854" s="9"/>
      <c r="OW854" s="9"/>
      <c r="OX854" s="9"/>
      <c r="OY854" s="9"/>
      <c r="OZ854" s="9"/>
      <c r="PA854" s="9"/>
      <c r="PB854" s="9"/>
      <c r="PC854" s="9"/>
      <c r="PD854" s="9"/>
      <c r="PE854" s="9"/>
      <c r="PF854" s="9"/>
      <c r="PG854" s="9"/>
      <c r="PH854" s="9"/>
      <c r="PI854" s="9"/>
      <c r="PJ854" s="9"/>
      <c r="PK854" s="9"/>
      <c r="PL854" s="9"/>
      <c r="PM854" s="9"/>
      <c r="PN854" s="9"/>
      <c r="PO854" s="9"/>
      <c r="PP854" s="9"/>
      <c r="PQ854" s="9"/>
      <c r="PR854" s="9"/>
      <c r="PS854" s="9"/>
      <c r="PT854" s="9"/>
      <c r="PU854" s="9"/>
      <c r="PV854" s="9"/>
      <c r="PW854" s="9"/>
      <c r="PX854" s="9"/>
      <c r="PY854" s="9"/>
      <c r="PZ854" s="9"/>
      <c r="QA854" s="9"/>
      <c r="QB854" s="9"/>
      <c r="QC854" s="9"/>
      <c r="QD854" s="9"/>
      <c r="QE854" s="9"/>
      <c r="QF854" s="9"/>
      <c r="QG854" s="9"/>
      <c r="QH854" s="9"/>
      <c r="QI854" s="9"/>
      <c r="QJ854" s="9"/>
      <c r="QK854" s="9"/>
      <c r="QL854" s="9"/>
      <c r="QM854" s="9"/>
      <c r="QN854" s="9"/>
      <c r="QO854" s="9"/>
      <c r="QP854" s="9"/>
      <c r="QQ854" s="9"/>
      <c r="QR854" s="9"/>
      <c r="QS854" s="9"/>
      <c r="QT854" s="9"/>
      <c r="QU854" s="9"/>
      <c r="QV854" s="9"/>
      <c r="QW854" s="9"/>
      <c r="QX854" s="9"/>
      <c r="QY854" s="9"/>
      <c r="QZ854" s="9"/>
      <c r="RA854" s="9"/>
      <c r="RB854" s="9"/>
      <c r="RC854" s="9"/>
      <c r="RD854" s="9"/>
      <c r="RE854" s="9"/>
      <c r="RF854" s="9"/>
      <c r="RG854" s="9"/>
      <c r="RH854" s="9"/>
      <c r="RI854" s="9"/>
      <c r="RJ854" s="9"/>
      <c r="RK854" s="9"/>
      <c r="RL854" s="9"/>
      <c r="RM854" s="9"/>
      <c r="RN854" s="9"/>
      <c r="RO854" s="9"/>
      <c r="RP854" s="9"/>
      <c r="RQ854" s="9"/>
      <c r="RR854" s="9"/>
      <c r="RS854" s="9"/>
      <c r="RT854" s="9"/>
      <c r="RU854" s="9"/>
      <c r="RV854" s="9"/>
      <c r="RW854" s="9"/>
      <c r="RX854" s="9"/>
      <c r="RY854" s="9"/>
      <c r="RZ854" s="9"/>
      <c r="SA854" s="9"/>
      <c r="SB854" s="9"/>
      <c r="SC854" s="9"/>
      <c r="SD854" s="9"/>
      <c r="SE854" s="9"/>
      <c r="SF854" s="9"/>
      <c r="SG854" s="9"/>
      <c r="SH854" s="9"/>
      <c r="SI854" s="9"/>
      <c r="SJ854" s="9"/>
      <c r="SK854" s="9"/>
      <c r="SL854" s="9"/>
      <c r="SM854" s="9"/>
      <c r="SN854" s="9"/>
      <c r="SO854" s="9"/>
      <c r="SP854" s="9"/>
      <c r="SQ854" s="9"/>
      <c r="SR854" s="9"/>
      <c r="SS854" s="9"/>
      <c r="ST854" s="9"/>
      <c r="SU854" s="9"/>
      <c r="SV854" s="9"/>
      <c r="SW854" s="9"/>
      <c r="SX854" s="9"/>
      <c r="SY854" s="9"/>
      <c r="SZ854" s="9"/>
      <c r="TA854" s="9"/>
      <c r="TB854" s="9"/>
      <c r="TC854" s="9"/>
      <c r="TD854" s="9"/>
      <c r="TE854" s="9"/>
      <c r="TF854" s="9"/>
      <c r="TG854" s="9"/>
      <c r="TH854" s="9"/>
      <c r="TI854" s="9"/>
      <c r="TJ854" s="9"/>
      <c r="TK854" s="9"/>
      <c r="TL854" s="9"/>
      <c r="TM854" s="9"/>
      <c r="TN854" s="9"/>
      <c r="TO854" s="9"/>
      <c r="TP854" s="9"/>
      <c r="TQ854" s="9"/>
      <c r="TR854" s="9"/>
      <c r="TS854" s="9"/>
      <c r="TT854" s="9"/>
      <c r="TU854" s="9"/>
      <c r="TV854" s="9"/>
      <c r="TW854" s="9"/>
      <c r="TX854" s="9"/>
      <c r="TY854" s="9"/>
      <c r="TZ854" s="9"/>
      <c r="UA854" s="9"/>
      <c r="UB854" s="9"/>
      <c r="UC854" s="9"/>
      <c r="UD854" s="9"/>
      <c r="UE854" s="9"/>
      <c r="UF854" s="9"/>
      <c r="UG854" s="9"/>
      <c r="UH854" s="9"/>
      <c r="UI854" s="9"/>
      <c r="UJ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  <c r="HZ855" s="9"/>
      <c r="IA855" s="9"/>
      <c r="IB855" s="9"/>
      <c r="IC855" s="9"/>
      <c r="ID855" s="9"/>
      <c r="IE855" s="9"/>
      <c r="IF855" s="9"/>
      <c r="IG855" s="9"/>
      <c r="IH855" s="9"/>
      <c r="II855" s="9"/>
      <c r="IJ855" s="9"/>
      <c r="IK855" s="9"/>
      <c r="IL855" s="9"/>
      <c r="IM855" s="9"/>
      <c r="IN855" s="9"/>
      <c r="IO855" s="9"/>
      <c r="IP855" s="9"/>
      <c r="IQ855" s="9"/>
      <c r="IR855" s="9"/>
      <c r="IS855" s="9"/>
      <c r="IT855" s="9"/>
      <c r="IU855" s="9"/>
      <c r="IV855" s="9"/>
      <c r="IW855" s="9"/>
      <c r="IX855" s="9"/>
      <c r="IY855" s="9"/>
      <c r="IZ855" s="9"/>
      <c r="JA855" s="9"/>
      <c r="JB855" s="9"/>
      <c r="JC855" s="9"/>
      <c r="JD855" s="9"/>
      <c r="JE855" s="9"/>
      <c r="JF855" s="9"/>
      <c r="JG855" s="9"/>
      <c r="JH855" s="9"/>
      <c r="JI855" s="9"/>
      <c r="JJ855" s="9"/>
      <c r="JK855" s="9"/>
      <c r="JL855" s="9"/>
      <c r="JM855" s="9"/>
      <c r="JN855" s="9"/>
      <c r="JO855" s="9"/>
      <c r="JP855" s="9"/>
      <c r="JQ855" s="9"/>
      <c r="JR855" s="9"/>
      <c r="JS855" s="9"/>
      <c r="JT855" s="9"/>
      <c r="JU855" s="9"/>
      <c r="JV855" s="9"/>
      <c r="JW855" s="9"/>
      <c r="JX855" s="9"/>
      <c r="JY855" s="9"/>
      <c r="JZ855" s="9"/>
      <c r="KA855" s="9"/>
      <c r="KB855" s="9"/>
      <c r="KC855" s="9"/>
      <c r="KD855" s="9"/>
      <c r="KE855" s="9"/>
      <c r="KF855" s="9"/>
      <c r="KG855" s="9"/>
      <c r="KH855" s="9"/>
      <c r="KI855" s="9"/>
      <c r="KJ855" s="9"/>
      <c r="KK855" s="9"/>
      <c r="KL855" s="9"/>
      <c r="KM855" s="9"/>
      <c r="KN855" s="9"/>
      <c r="KO855" s="9"/>
      <c r="KP855" s="9"/>
      <c r="KQ855" s="9"/>
      <c r="KR855" s="9"/>
      <c r="KS855" s="9"/>
      <c r="KT855" s="9"/>
      <c r="KU855" s="9"/>
      <c r="KV855" s="9"/>
      <c r="KW855" s="9"/>
      <c r="KX855" s="9"/>
      <c r="KY855" s="9"/>
      <c r="KZ855" s="9"/>
      <c r="LA855" s="9"/>
      <c r="LB855" s="9"/>
      <c r="LC855" s="9"/>
      <c r="LD855" s="9"/>
      <c r="LE855" s="9"/>
      <c r="LF855" s="9"/>
      <c r="LG855" s="9"/>
      <c r="LH855" s="9"/>
      <c r="LI855" s="9"/>
      <c r="LJ855" s="9"/>
      <c r="LK855" s="9"/>
      <c r="LL855" s="9"/>
      <c r="LM855" s="9"/>
      <c r="LN855" s="9"/>
      <c r="LO855" s="9"/>
      <c r="LP855" s="9"/>
      <c r="LQ855" s="9"/>
      <c r="LR855" s="9"/>
      <c r="LS855" s="9"/>
      <c r="LT855" s="9"/>
      <c r="LU855" s="9"/>
      <c r="LV855" s="9"/>
      <c r="LW855" s="9"/>
      <c r="LX855" s="9"/>
      <c r="LY855" s="9"/>
      <c r="LZ855" s="9"/>
      <c r="MA855" s="9"/>
      <c r="MB855" s="9"/>
      <c r="MC855" s="9"/>
      <c r="MD855" s="9"/>
      <c r="ME855" s="9"/>
      <c r="MF855" s="9"/>
      <c r="MG855" s="9"/>
      <c r="MH855" s="9"/>
      <c r="MI855" s="9"/>
      <c r="MJ855" s="9"/>
      <c r="MK855" s="9"/>
      <c r="ML855" s="9"/>
      <c r="MM855" s="9"/>
      <c r="MN855" s="9"/>
      <c r="MO855" s="9"/>
      <c r="MP855" s="9"/>
      <c r="MQ855" s="9"/>
      <c r="MR855" s="9"/>
      <c r="MS855" s="9"/>
      <c r="MT855" s="9"/>
      <c r="MU855" s="9"/>
      <c r="MV855" s="9"/>
      <c r="MW855" s="9"/>
      <c r="MX855" s="9"/>
      <c r="MY855" s="9"/>
      <c r="MZ855" s="9"/>
      <c r="NA855" s="9"/>
      <c r="NB855" s="9"/>
      <c r="NC855" s="9"/>
      <c r="ND855" s="9"/>
      <c r="NE855" s="9"/>
      <c r="NF855" s="9"/>
      <c r="NG855" s="9"/>
      <c r="NH855" s="9"/>
      <c r="NI855" s="9"/>
      <c r="NJ855" s="9"/>
      <c r="NK855" s="9"/>
      <c r="NL855" s="9"/>
      <c r="NM855" s="9"/>
      <c r="NN855" s="9"/>
      <c r="NO855" s="9"/>
      <c r="NP855" s="9"/>
      <c r="NQ855" s="9"/>
      <c r="NR855" s="9"/>
      <c r="NS855" s="9"/>
      <c r="NT855" s="9"/>
      <c r="NU855" s="9"/>
      <c r="NV855" s="9"/>
      <c r="NW855" s="9"/>
      <c r="NX855" s="9"/>
      <c r="NY855" s="9"/>
      <c r="NZ855" s="9"/>
      <c r="OA855" s="9"/>
      <c r="OB855" s="9"/>
      <c r="OC855" s="9"/>
      <c r="OD855" s="9"/>
      <c r="OE855" s="9"/>
      <c r="OF855" s="9"/>
      <c r="OG855" s="9"/>
      <c r="OH855" s="9"/>
      <c r="OI855" s="9"/>
      <c r="OJ855" s="9"/>
      <c r="OK855" s="9"/>
      <c r="OL855" s="9"/>
      <c r="OM855" s="9"/>
      <c r="ON855" s="9"/>
      <c r="OO855" s="9"/>
      <c r="OP855" s="9"/>
      <c r="OQ855" s="9"/>
      <c r="OR855" s="9"/>
      <c r="OS855" s="9"/>
      <c r="OT855" s="9"/>
      <c r="OU855" s="9"/>
      <c r="OV855" s="9"/>
      <c r="OW855" s="9"/>
      <c r="OX855" s="9"/>
      <c r="OY855" s="9"/>
      <c r="OZ855" s="9"/>
      <c r="PA855" s="9"/>
      <c r="PB855" s="9"/>
      <c r="PC855" s="9"/>
      <c r="PD855" s="9"/>
      <c r="PE855" s="9"/>
      <c r="PF855" s="9"/>
      <c r="PG855" s="9"/>
      <c r="PH855" s="9"/>
      <c r="PI855" s="9"/>
      <c r="PJ855" s="9"/>
      <c r="PK855" s="9"/>
      <c r="PL855" s="9"/>
      <c r="PM855" s="9"/>
      <c r="PN855" s="9"/>
      <c r="PO855" s="9"/>
      <c r="PP855" s="9"/>
      <c r="PQ855" s="9"/>
      <c r="PR855" s="9"/>
      <c r="PS855" s="9"/>
      <c r="PT855" s="9"/>
      <c r="PU855" s="9"/>
      <c r="PV855" s="9"/>
      <c r="PW855" s="9"/>
      <c r="PX855" s="9"/>
      <c r="PY855" s="9"/>
      <c r="PZ855" s="9"/>
      <c r="QA855" s="9"/>
      <c r="QB855" s="9"/>
      <c r="QC855" s="9"/>
      <c r="QD855" s="9"/>
      <c r="QE855" s="9"/>
      <c r="QF855" s="9"/>
      <c r="QG855" s="9"/>
      <c r="QH855" s="9"/>
      <c r="QI855" s="9"/>
      <c r="QJ855" s="9"/>
      <c r="QK855" s="9"/>
      <c r="QL855" s="9"/>
      <c r="QM855" s="9"/>
      <c r="QN855" s="9"/>
      <c r="QO855" s="9"/>
      <c r="QP855" s="9"/>
      <c r="QQ855" s="9"/>
      <c r="QR855" s="9"/>
      <c r="QS855" s="9"/>
      <c r="QT855" s="9"/>
      <c r="QU855" s="9"/>
      <c r="QV855" s="9"/>
      <c r="QW855" s="9"/>
      <c r="QX855" s="9"/>
      <c r="QY855" s="9"/>
      <c r="QZ855" s="9"/>
      <c r="RA855" s="9"/>
      <c r="RB855" s="9"/>
      <c r="RC855" s="9"/>
      <c r="RD855" s="9"/>
      <c r="RE855" s="9"/>
      <c r="RF855" s="9"/>
      <c r="RG855" s="9"/>
      <c r="RH855" s="9"/>
      <c r="RI855" s="9"/>
      <c r="RJ855" s="9"/>
      <c r="RK855" s="9"/>
      <c r="RL855" s="9"/>
      <c r="RM855" s="9"/>
      <c r="RN855" s="9"/>
      <c r="RO855" s="9"/>
      <c r="RP855" s="9"/>
      <c r="RQ855" s="9"/>
      <c r="RR855" s="9"/>
      <c r="RS855" s="9"/>
      <c r="RT855" s="9"/>
      <c r="RU855" s="9"/>
      <c r="RV855" s="9"/>
      <c r="RW855" s="9"/>
      <c r="RX855" s="9"/>
      <c r="RY855" s="9"/>
      <c r="RZ855" s="9"/>
      <c r="SA855" s="9"/>
      <c r="SB855" s="9"/>
      <c r="SC855" s="9"/>
      <c r="SD855" s="9"/>
      <c r="SE855" s="9"/>
      <c r="SF855" s="9"/>
      <c r="SG855" s="9"/>
      <c r="SH855" s="9"/>
      <c r="SI855" s="9"/>
      <c r="SJ855" s="9"/>
      <c r="SK855" s="9"/>
      <c r="SL855" s="9"/>
      <c r="SM855" s="9"/>
      <c r="SN855" s="9"/>
      <c r="SO855" s="9"/>
      <c r="SP855" s="9"/>
      <c r="SQ855" s="9"/>
      <c r="SR855" s="9"/>
      <c r="SS855" s="9"/>
      <c r="ST855" s="9"/>
      <c r="SU855" s="9"/>
      <c r="SV855" s="9"/>
      <c r="SW855" s="9"/>
      <c r="SX855" s="9"/>
      <c r="SY855" s="9"/>
      <c r="SZ855" s="9"/>
      <c r="TA855" s="9"/>
      <c r="TB855" s="9"/>
      <c r="TC855" s="9"/>
      <c r="TD855" s="9"/>
      <c r="TE855" s="9"/>
      <c r="TF855" s="9"/>
      <c r="TG855" s="9"/>
      <c r="TH855" s="9"/>
      <c r="TI855" s="9"/>
      <c r="TJ855" s="9"/>
      <c r="TK855" s="9"/>
      <c r="TL855" s="9"/>
      <c r="TM855" s="9"/>
      <c r="TN855" s="9"/>
      <c r="TO855" s="9"/>
      <c r="TP855" s="9"/>
      <c r="TQ855" s="9"/>
      <c r="TR855" s="9"/>
      <c r="TS855" s="9"/>
      <c r="TT855" s="9"/>
      <c r="TU855" s="9"/>
      <c r="TV855" s="9"/>
      <c r="TW855" s="9"/>
      <c r="TX855" s="9"/>
      <c r="TY855" s="9"/>
      <c r="TZ855" s="9"/>
      <c r="UA855" s="9"/>
      <c r="UB855" s="9"/>
      <c r="UC855" s="9"/>
      <c r="UD855" s="9"/>
      <c r="UE855" s="9"/>
      <c r="UF855" s="9"/>
      <c r="UG855" s="9"/>
      <c r="UH855" s="9"/>
      <c r="UI855" s="9"/>
      <c r="UJ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  <c r="HO856" s="9"/>
      <c r="HP856" s="9"/>
      <c r="HQ856" s="9"/>
      <c r="HR856" s="9"/>
      <c r="HS856" s="9"/>
      <c r="HT856" s="9"/>
      <c r="HU856" s="9"/>
      <c r="HV856" s="9"/>
      <c r="HW856" s="9"/>
      <c r="HX856" s="9"/>
      <c r="HY856" s="9"/>
      <c r="HZ856" s="9"/>
      <c r="IA856" s="9"/>
      <c r="IB856" s="9"/>
      <c r="IC856" s="9"/>
      <c r="ID856" s="9"/>
      <c r="IE856" s="9"/>
      <c r="IF856" s="9"/>
      <c r="IG856" s="9"/>
      <c r="IH856" s="9"/>
      <c r="II856" s="9"/>
      <c r="IJ856" s="9"/>
      <c r="IK856" s="9"/>
      <c r="IL856" s="9"/>
      <c r="IM856" s="9"/>
      <c r="IN856" s="9"/>
      <c r="IO856" s="9"/>
      <c r="IP856" s="9"/>
      <c r="IQ856" s="9"/>
      <c r="IR856" s="9"/>
      <c r="IS856" s="9"/>
      <c r="IT856" s="9"/>
      <c r="IU856" s="9"/>
      <c r="IV856" s="9"/>
      <c r="IW856" s="9"/>
      <c r="IX856" s="9"/>
      <c r="IY856" s="9"/>
      <c r="IZ856" s="9"/>
      <c r="JA856" s="9"/>
      <c r="JB856" s="9"/>
      <c r="JC856" s="9"/>
      <c r="JD856" s="9"/>
      <c r="JE856" s="9"/>
      <c r="JF856" s="9"/>
      <c r="JG856" s="9"/>
      <c r="JH856" s="9"/>
      <c r="JI856" s="9"/>
      <c r="JJ856" s="9"/>
      <c r="JK856" s="9"/>
      <c r="JL856" s="9"/>
      <c r="JM856" s="9"/>
      <c r="JN856" s="9"/>
      <c r="JO856" s="9"/>
      <c r="JP856" s="9"/>
      <c r="JQ856" s="9"/>
      <c r="JR856" s="9"/>
      <c r="JS856" s="9"/>
      <c r="JT856" s="9"/>
      <c r="JU856" s="9"/>
      <c r="JV856" s="9"/>
      <c r="JW856" s="9"/>
      <c r="JX856" s="9"/>
      <c r="JY856" s="9"/>
      <c r="JZ856" s="9"/>
      <c r="KA856" s="9"/>
      <c r="KB856" s="9"/>
      <c r="KC856" s="9"/>
      <c r="KD856" s="9"/>
      <c r="KE856" s="9"/>
      <c r="KF856" s="9"/>
      <c r="KG856" s="9"/>
      <c r="KH856" s="9"/>
      <c r="KI856" s="9"/>
      <c r="KJ856" s="9"/>
      <c r="KK856" s="9"/>
      <c r="KL856" s="9"/>
      <c r="KM856" s="9"/>
      <c r="KN856" s="9"/>
      <c r="KO856" s="9"/>
      <c r="KP856" s="9"/>
      <c r="KQ856" s="9"/>
      <c r="KR856" s="9"/>
      <c r="KS856" s="9"/>
      <c r="KT856" s="9"/>
      <c r="KU856" s="9"/>
      <c r="KV856" s="9"/>
      <c r="KW856" s="9"/>
      <c r="KX856" s="9"/>
      <c r="KY856" s="9"/>
      <c r="KZ856" s="9"/>
      <c r="LA856" s="9"/>
      <c r="LB856" s="9"/>
      <c r="LC856" s="9"/>
      <c r="LD856" s="9"/>
      <c r="LE856" s="9"/>
      <c r="LF856" s="9"/>
      <c r="LG856" s="9"/>
      <c r="LH856" s="9"/>
      <c r="LI856" s="9"/>
      <c r="LJ856" s="9"/>
      <c r="LK856" s="9"/>
      <c r="LL856" s="9"/>
      <c r="LM856" s="9"/>
      <c r="LN856" s="9"/>
      <c r="LO856" s="9"/>
      <c r="LP856" s="9"/>
      <c r="LQ856" s="9"/>
      <c r="LR856" s="9"/>
      <c r="LS856" s="9"/>
      <c r="LT856" s="9"/>
      <c r="LU856" s="9"/>
      <c r="LV856" s="9"/>
      <c r="LW856" s="9"/>
      <c r="LX856" s="9"/>
      <c r="LY856" s="9"/>
      <c r="LZ856" s="9"/>
      <c r="MA856" s="9"/>
      <c r="MB856" s="9"/>
      <c r="MC856" s="9"/>
      <c r="MD856" s="9"/>
      <c r="ME856" s="9"/>
      <c r="MF856" s="9"/>
      <c r="MG856" s="9"/>
      <c r="MH856" s="9"/>
      <c r="MI856" s="9"/>
      <c r="MJ856" s="9"/>
      <c r="MK856" s="9"/>
      <c r="ML856" s="9"/>
      <c r="MM856" s="9"/>
      <c r="MN856" s="9"/>
      <c r="MO856" s="9"/>
      <c r="MP856" s="9"/>
      <c r="MQ856" s="9"/>
      <c r="MR856" s="9"/>
      <c r="MS856" s="9"/>
      <c r="MT856" s="9"/>
      <c r="MU856" s="9"/>
      <c r="MV856" s="9"/>
      <c r="MW856" s="9"/>
      <c r="MX856" s="9"/>
      <c r="MY856" s="9"/>
      <c r="MZ856" s="9"/>
      <c r="NA856" s="9"/>
      <c r="NB856" s="9"/>
      <c r="NC856" s="9"/>
      <c r="ND856" s="9"/>
      <c r="NE856" s="9"/>
      <c r="NF856" s="9"/>
      <c r="NG856" s="9"/>
      <c r="NH856" s="9"/>
      <c r="NI856" s="9"/>
      <c r="NJ856" s="9"/>
      <c r="NK856" s="9"/>
      <c r="NL856" s="9"/>
      <c r="NM856" s="9"/>
      <c r="NN856" s="9"/>
      <c r="NO856" s="9"/>
      <c r="NP856" s="9"/>
      <c r="NQ856" s="9"/>
      <c r="NR856" s="9"/>
      <c r="NS856" s="9"/>
      <c r="NT856" s="9"/>
      <c r="NU856" s="9"/>
      <c r="NV856" s="9"/>
      <c r="NW856" s="9"/>
      <c r="NX856" s="9"/>
      <c r="NY856" s="9"/>
      <c r="NZ856" s="9"/>
      <c r="OA856" s="9"/>
      <c r="OB856" s="9"/>
      <c r="OC856" s="9"/>
      <c r="OD856" s="9"/>
      <c r="OE856" s="9"/>
      <c r="OF856" s="9"/>
      <c r="OG856" s="9"/>
      <c r="OH856" s="9"/>
      <c r="OI856" s="9"/>
      <c r="OJ856" s="9"/>
      <c r="OK856" s="9"/>
      <c r="OL856" s="9"/>
      <c r="OM856" s="9"/>
      <c r="ON856" s="9"/>
      <c r="OO856" s="9"/>
      <c r="OP856" s="9"/>
      <c r="OQ856" s="9"/>
      <c r="OR856" s="9"/>
      <c r="OS856" s="9"/>
      <c r="OT856" s="9"/>
      <c r="OU856" s="9"/>
      <c r="OV856" s="9"/>
      <c r="OW856" s="9"/>
      <c r="OX856" s="9"/>
      <c r="OY856" s="9"/>
      <c r="OZ856" s="9"/>
      <c r="PA856" s="9"/>
      <c r="PB856" s="9"/>
      <c r="PC856" s="9"/>
      <c r="PD856" s="9"/>
      <c r="PE856" s="9"/>
      <c r="PF856" s="9"/>
      <c r="PG856" s="9"/>
      <c r="PH856" s="9"/>
      <c r="PI856" s="9"/>
      <c r="PJ856" s="9"/>
      <c r="PK856" s="9"/>
      <c r="PL856" s="9"/>
      <c r="PM856" s="9"/>
      <c r="PN856" s="9"/>
      <c r="PO856" s="9"/>
      <c r="PP856" s="9"/>
      <c r="PQ856" s="9"/>
      <c r="PR856" s="9"/>
      <c r="PS856" s="9"/>
      <c r="PT856" s="9"/>
      <c r="PU856" s="9"/>
      <c r="PV856" s="9"/>
      <c r="PW856" s="9"/>
      <c r="PX856" s="9"/>
      <c r="PY856" s="9"/>
      <c r="PZ856" s="9"/>
      <c r="QA856" s="9"/>
      <c r="QB856" s="9"/>
      <c r="QC856" s="9"/>
      <c r="QD856" s="9"/>
      <c r="QE856" s="9"/>
      <c r="QF856" s="9"/>
      <c r="QG856" s="9"/>
      <c r="QH856" s="9"/>
      <c r="QI856" s="9"/>
      <c r="QJ856" s="9"/>
      <c r="QK856" s="9"/>
      <c r="QL856" s="9"/>
      <c r="QM856" s="9"/>
      <c r="QN856" s="9"/>
      <c r="QO856" s="9"/>
      <c r="QP856" s="9"/>
      <c r="QQ856" s="9"/>
      <c r="QR856" s="9"/>
      <c r="QS856" s="9"/>
      <c r="QT856" s="9"/>
      <c r="QU856" s="9"/>
      <c r="QV856" s="9"/>
      <c r="QW856" s="9"/>
      <c r="QX856" s="9"/>
      <c r="QY856" s="9"/>
      <c r="QZ856" s="9"/>
      <c r="RA856" s="9"/>
      <c r="RB856" s="9"/>
      <c r="RC856" s="9"/>
      <c r="RD856" s="9"/>
      <c r="RE856" s="9"/>
      <c r="RF856" s="9"/>
      <c r="RG856" s="9"/>
      <c r="RH856" s="9"/>
      <c r="RI856" s="9"/>
      <c r="RJ856" s="9"/>
      <c r="RK856" s="9"/>
      <c r="RL856" s="9"/>
      <c r="RM856" s="9"/>
      <c r="RN856" s="9"/>
      <c r="RO856" s="9"/>
      <c r="RP856" s="9"/>
      <c r="RQ856" s="9"/>
      <c r="RR856" s="9"/>
      <c r="RS856" s="9"/>
      <c r="RT856" s="9"/>
      <c r="RU856" s="9"/>
      <c r="RV856" s="9"/>
      <c r="RW856" s="9"/>
      <c r="RX856" s="9"/>
      <c r="RY856" s="9"/>
      <c r="RZ856" s="9"/>
      <c r="SA856" s="9"/>
      <c r="SB856" s="9"/>
      <c r="SC856" s="9"/>
      <c r="SD856" s="9"/>
      <c r="SE856" s="9"/>
      <c r="SF856" s="9"/>
      <c r="SG856" s="9"/>
      <c r="SH856" s="9"/>
      <c r="SI856" s="9"/>
      <c r="SJ856" s="9"/>
      <c r="SK856" s="9"/>
      <c r="SL856" s="9"/>
      <c r="SM856" s="9"/>
      <c r="SN856" s="9"/>
      <c r="SO856" s="9"/>
      <c r="SP856" s="9"/>
      <c r="SQ856" s="9"/>
      <c r="SR856" s="9"/>
      <c r="SS856" s="9"/>
      <c r="ST856" s="9"/>
      <c r="SU856" s="9"/>
      <c r="SV856" s="9"/>
      <c r="SW856" s="9"/>
      <c r="SX856" s="9"/>
      <c r="SY856" s="9"/>
      <c r="SZ856" s="9"/>
      <c r="TA856" s="9"/>
      <c r="TB856" s="9"/>
      <c r="TC856" s="9"/>
      <c r="TD856" s="9"/>
      <c r="TE856" s="9"/>
      <c r="TF856" s="9"/>
      <c r="TG856" s="9"/>
      <c r="TH856" s="9"/>
      <c r="TI856" s="9"/>
      <c r="TJ856" s="9"/>
      <c r="TK856" s="9"/>
      <c r="TL856" s="9"/>
      <c r="TM856" s="9"/>
      <c r="TN856" s="9"/>
      <c r="TO856" s="9"/>
      <c r="TP856" s="9"/>
      <c r="TQ856" s="9"/>
      <c r="TR856" s="9"/>
      <c r="TS856" s="9"/>
      <c r="TT856" s="9"/>
      <c r="TU856" s="9"/>
      <c r="TV856" s="9"/>
      <c r="TW856" s="9"/>
      <c r="TX856" s="9"/>
      <c r="TY856" s="9"/>
      <c r="TZ856" s="9"/>
      <c r="UA856" s="9"/>
      <c r="UB856" s="9"/>
      <c r="UC856" s="9"/>
      <c r="UD856" s="9"/>
      <c r="UE856" s="9"/>
      <c r="UF856" s="9"/>
      <c r="UG856" s="9"/>
      <c r="UH856" s="9"/>
      <c r="UI856" s="9"/>
      <c r="UJ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9"/>
      <c r="FS857" s="9"/>
      <c r="FT857" s="9"/>
      <c r="FU857" s="9"/>
      <c r="FV857" s="9"/>
      <c r="FW857" s="9"/>
      <c r="FX857" s="9"/>
      <c r="FY857" s="9"/>
      <c r="FZ857" s="9"/>
      <c r="GA857" s="9"/>
      <c r="GB857" s="9"/>
      <c r="GC857" s="9"/>
      <c r="GD857" s="9"/>
      <c r="GE857" s="9"/>
      <c r="GF857" s="9"/>
      <c r="GG857" s="9"/>
      <c r="GH857" s="9"/>
      <c r="GI857" s="9"/>
      <c r="GJ857" s="9"/>
      <c r="GK857" s="9"/>
      <c r="GL857" s="9"/>
      <c r="GM857" s="9"/>
      <c r="GN857" s="9"/>
      <c r="GO857" s="9"/>
      <c r="GP857" s="9"/>
      <c r="GQ857" s="9"/>
      <c r="GR857" s="9"/>
      <c r="GS857" s="9"/>
      <c r="GT857" s="9"/>
      <c r="GU857" s="9"/>
      <c r="GV857" s="9"/>
      <c r="GW857" s="9"/>
      <c r="GX857" s="9"/>
      <c r="GY857" s="9"/>
      <c r="GZ857" s="9"/>
      <c r="HA857" s="9"/>
      <c r="HB857" s="9"/>
      <c r="HC857" s="9"/>
      <c r="HD857" s="9"/>
      <c r="HE857" s="9"/>
      <c r="HF857" s="9"/>
      <c r="HG857" s="9"/>
      <c r="HH857" s="9"/>
      <c r="HI857" s="9"/>
      <c r="HJ857" s="9"/>
      <c r="HK857" s="9"/>
      <c r="HL857" s="9"/>
      <c r="HM857" s="9"/>
      <c r="HN857" s="9"/>
      <c r="HO857" s="9"/>
      <c r="HP857" s="9"/>
      <c r="HQ857" s="9"/>
      <c r="HR857" s="9"/>
      <c r="HS857" s="9"/>
      <c r="HT857" s="9"/>
      <c r="HU857" s="9"/>
      <c r="HV857" s="9"/>
      <c r="HW857" s="9"/>
      <c r="HX857" s="9"/>
      <c r="HY857" s="9"/>
      <c r="HZ857" s="9"/>
      <c r="IA857" s="9"/>
      <c r="IB857" s="9"/>
      <c r="IC857" s="9"/>
      <c r="ID857" s="9"/>
      <c r="IE857" s="9"/>
      <c r="IF857" s="9"/>
      <c r="IG857" s="9"/>
      <c r="IH857" s="9"/>
      <c r="II857" s="9"/>
      <c r="IJ857" s="9"/>
      <c r="IK857" s="9"/>
      <c r="IL857" s="9"/>
      <c r="IM857" s="9"/>
      <c r="IN857" s="9"/>
      <c r="IO857" s="9"/>
      <c r="IP857" s="9"/>
      <c r="IQ857" s="9"/>
      <c r="IR857" s="9"/>
      <c r="IS857" s="9"/>
      <c r="IT857" s="9"/>
      <c r="IU857" s="9"/>
      <c r="IV857" s="9"/>
      <c r="IW857" s="9"/>
      <c r="IX857" s="9"/>
      <c r="IY857" s="9"/>
      <c r="IZ857" s="9"/>
      <c r="JA857" s="9"/>
      <c r="JB857" s="9"/>
      <c r="JC857" s="9"/>
      <c r="JD857" s="9"/>
      <c r="JE857" s="9"/>
      <c r="JF857" s="9"/>
      <c r="JG857" s="9"/>
      <c r="JH857" s="9"/>
      <c r="JI857" s="9"/>
      <c r="JJ857" s="9"/>
      <c r="JK857" s="9"/>
      <c r="JL857" s="9"/>
      <c r="JM857" s="9"/>
      <c r="JN857" s="9"/>
      <c r="JO857" s="9"/>
      <c r="JP857" s="9"/>
      <c r="JQ857" s="9"/>
      <c r="JR857" s="9"/>
      <c r="JS857" s="9"/>
      <c r="JT857" s="9"/>
      <c r="JU857" s="9"/>
      <c r="JV857" s="9"/>
      <c r="JW857" s="9"/>
      <c r="JX857" s="9"/>
      <c r="JY857" s="9"/>
      <c r="JZ857" s="9"/>
      <c r="KA857" s="9"/>
      <c r="KB857" s="9"/>
      <c r="KC857" s="9"/>
      <c r="KD857" s="9"/>
      <c r="KE857" s="9"/>
      <c r="KF857" s="9"/>
      <c r="KG857" s="9"/>
      <c r="KH857" s="9"/>
      <c r="KI857" s="9"/>
      <c r="KJ857" s="9"/>
      <c r="KK857" s="9"/>
      <c r="KL857" s="9"/>
      <c r="KM857" s="9"/>
      <c r="KN857" s="9"/>
      <c r="KO857" s="9"/>
      <c r="KP857" s="9"/>
      <c r="KQ857" s="9"/>
      <c r="KR857" s="9"/>
      <c r="KS857" s="9"/>
      <c r="KT857" s="9"/>
      <c r="KU857" s="9"/>
      <c r="KV857" s="9"/>
      <c r="KW857" s="9"/>
      <c r="KX857" s="9"/>
      <c r="KY857" s="9"/>
      <c r="KZ857" s="9"/>
      <c r="LA857" s="9"/>
      <c r="LB857" s="9"/>
      <c r="LC857" s="9"/>
      <c r="LD857" s="9"/>
      <c r="LE857" s="9"/>
      <c r="LF857" s="9"/>
      <c r="LG857" s="9"/>
      <c r="LH857" s="9"/>
      <c r="LI857" s="9"/>
      <c r="LJ857" s="9"/>
      <c r="LK857" s="9"/>
      <c r="LL857" s="9"/>
      <c r="LM857" s="9"/>
      <c r="LN857" s="9"/>
      <c r="LO857" s="9"/>
      <c r="LP857" s="9"/>
      <c r="LQ857" s="9"/>
      <c r="LR857" s="9"/>
      <c r="LS857" s="9"/>
      <c r="LT857" s="9"/>
      <c r="LU857" s="9"/>
      <c r="LV857" s="9"/>
      <c r="LW857" s="9"/>
      <c r="LX857" s="9"/>
      <c r="LY857" s="9"/>
      <c r="LZ857" s="9"/>
      <c r="MA857" s="9"/>
      <c r="MB857" s="9"/>
      <c r="MC857" s="9"/>
      <c r="MD857" s="9"/>
      <c r="ME857" s="9"/>
      <c r="MF857" s="9"/>
      <c r="MG857" s="9"/>
      <c r="MH857" s="9"/>
      <c r="MI857" s="9"/>
      <c r="MJ857" s="9"/>
      <c r="MK857" s="9"/>
      <c r="ML857" s="9"/>
      <c r="MM857" s="9"/>
      <c r="MN857" s="9"/>
      <c r="MO857" s="9"/>
      <c r="MP857" s="9"/>
      <c r="MQ857" s="9"/>
      <c r="MR857" s="9"/>
      <c r="MS857" s="9"/>
      <c r="MT857" s="9"/>
      <c r="MU857" s="9"/>
      <c r="MV857" s="9"/>
      <c r="MW857" s="9"/>
      <c r="MX857" s="9"/>
      <c r="MY857" s="9"/>
      <c r="MZ857" s="9"/>
      <c r="NA857" s="9"/>
      <c r="NB857" s="9"/>
      <c r="NC857" s="9"/>
      <c r="ND857" s="9"/>
      <c r="NE857" s="9"/>
      <c r="NF857" s="9"/>
      <c r="NG857" s="9"/>
      <c r="NH857" s="9"/>
      <c r="NI857" s="9"/>
      <c r="NJ857" s="9"/>
      <c r="NK857" s="9"/>
      <c r="NL857" s="9"/>
      <c r="NM857" s="9"/>
      <c r="NN857" s="9"/>
      <c r="NO857" s="9"/>
      <c r="NP857" s="9"/>
      <c r="NQ857" s="9"/>
      <c r="NR857" s="9"/>
      <c r="NS857" s="9"/>
      <c r="NT857" s="9"/>
      <c r="NU857" s="9"/>
      <c r="NV857" s="9"/>
      <c r="NW857" s="9"/>
      <c r="NX857" s="9"/>
      <c r="NY857" s="9"/>
      <c r="NZ857" s="9"/>
      <c r="OA857" s="9"/>
      <c r="OB857" s="9"/>
      <c r="OC857" s="9"/>
      <c r="OD857" s="9"/>
      <c r="OE857" s="9"/>
      <c r="OF857" s="9"/>
      <c r="OG857" s="9"/>
      <c r="OH857" s="9"/>
      <c r="OI857" s="9"/>
      <c r="OJ857" s="9"/>
      <c r="OK857" s="9"/>
      <c r="OL857" s="9"/>
      <c r="OM857" s="9"/>
      <c r="ON857" s="9"/>
      <c r="OO857" s="9"/>
      <c r="OP857" s="9"/>
      <c r="OQ857" s="9"/>
      <c r="OR857" s="9"/>
      <c r="OS857" s="9"/>
      <c r="OT857" s="9"/>
      <c r="OU857" s="9"/>
      <c r="OV857" s="9"/>
      <c r="OW857" s="9"/>
      <c r="OX857" s="9"/>
      <c r="OY857" s="9"/>
      <c r="OZ857" s="9"/>
      <c r="PA857" s="9"/>
      <c r="PB857" s="9"/>
      <c r="PC857" s="9"/>
      <c r="PD857" s="9"/>
      <c r="PE857" s="9"/>
      <c r="PF857" s="9"/>
      <c r="PG857" s="9"/>
      <c r="PH857" s="9"/>
      <c r="PI857" s="9"/>
      <c r="PJ857" s="9"/>
      <c r="PK857" s="9"/>
      <c r="PL857" s="9"/>
      <c r="PM857" s="9"/>
      <c r="PN857" s="9"/>
      <c r="PO857" s="9"/>
      <c r="PP857" s="9"/>
      <c r="PQ857" s="9"/>
      <c r="PR857" s="9"/>
      <c r="PS857" s="9"/>
      <c r="PT857" s="9"/>
      <c r="PU857" s="9"/>
      <c r="PV857" s="9"/>
      <c r="PW857" s="9"/>
      <c r="PX857" s="9"/>
      <c r="PY857" s="9"/>
      <c r="PZ857" s="9"/>
      <c r="QA857" s="9"/>
      <c r="QB857" s="9"/>
      <c r="QC857" s="9"/>
      <c r="QD857" s="9"/>
      <c r="QE857" s="9"/>
      <c r="QF857" s="9"/>
      <c r="QG857" s="9"/>
      <c r="QH857" s="9"/>
      <c r="QI857" s="9"/>
      <c r="QJ857" s="9"/>
      <c r="QK857" s="9"/>
      <c r="QL857" s="9"/>
      <c r="QM857" s="9"/>
      <c r="QN857" s="9"/>
      <c r="QO857" s="9"/>
      <c r="QP857" s="9"/>
      <c r="QQ857" s="9"/>
      <c r="QR857" s="9"/>
      <c r="QS857" s="9"/>
      <c r="QT857" s="9"/>
      <c r="QU857" s="9"/>
      <c r="QV857" s="9"/>
      <c r="QW857" s="9"/>
      <c r="QX857" s="9"/>
      <c r="QY857" s="9"/>
      <c r="QZ857" s="9"/>
      <c r="RA857" s="9"/>
      <c r="RB857" s="9"/>
      <c r="RC857" s="9"/>
      <c r="RD857" s="9"/>
      <c r="RE857" s="9"/>
      <c r="RF857" s="9"/>
      <c r="RG857" s="9"/>
      <c r="RH857" s="9"/>
      <c r="RI857" s="9"/>
      <c r="RJ857" s="9"/>
      <c r="RK857" s="9"/>
      <c r="RL857" s="9"/>
      <c r="RM857" s="9"/>
      <c r="RN857" s="9"/>
      <c r="RO857" s="9"/>
      <c r="RP857" s="9"/>
      <c r="RQ857" s="9"/>
      <c r="RR857" s="9"/>
      <c r="RS857" s="9"/>
      <c r="RT857" s="9"/>
      <c r="RU857" s="9"/>
      <c r="RV857" s="9"/>
      <c r="RW857" s="9"/>
      <c r="RX857" s="9"/>
      <c r="RY857" s="9"/>
      <c r="RZ857" s="9"/>
      <c r="SA857" s="9"/>
      <c r="SB857" s="9"/>
      <c r="SC857" s="9"/>
      <c r="SD857" s="9"/>
      <c r="SE857" s="9"/>
      <c r="SF857" s="9"/>
      <c r="SG857" s="9"/>
      <c r="SH857" s="9"/>
      <c r="SI857" s="9"/>
      <c r="SJ857" s="9"/>
      <c r="SK857" s="9"/>
      <c r="SL857" s="9"/>
      <c r="SM857" s="9"/>
      <c r="SN857" s="9"/>
      <c r="SO857" s="9"/>
      <c r="SP857" s="9"/>
      <c r="SQ857" s="9"/>
      <c r="SR857" s="9"/>
      <c r="SS857" s="9"/>
      <c r="ST857" s="9"/>
      <c r="SU857" s="9"/>
      <c r="SV857" s="9"/>
      <c r="SW857" s="9"/>
      <c r="SX857" s="9"/>
      <c r="SY857" s="9"/>
      <c r="SZ857" s="9"/>
      <c r="TA857" s="9"/>
      <c r="TB857" s="9"/>
      <c r="TC857" s="9"/>
      <c r="TD857" s="9"/>
      <c r="TE857" s="9"/>
      <c r="TF857" s="9"/>
      <c r="TG857" s="9"/>
      <c r="TH857" s="9"/>
      <c r="TI857" s="9"/>
      <c r="TJ857" s="9"/>
      <c r="TK857" s="9"/>
      <c r="TL857" s="9"/>
      <c r="TM857" s="9"/>
      <c r="TN857" s="9"/>
      <c r="TO857" s="9"/>
      <c r="TP857" s="9"/>
      <c r="TQ857" s="9"/>
      <c r="TR857" s="9"/>
      <c r="TS857" s="9"/>
      <c r="TT857" s="9"/>
      <c r="TU857" s="9"/>
      <c r="TV857" s="9"/>
      <c r="TW857" s="9"/>
      <c r="TX857" s="9"/>
      <c r="TY857" s="9"/>
      <c r="TZ857" s="9"/>
      <c r="UA857" s="9"/>
      <c r="UB857" s="9"/>
      <c r="UC857" s="9"/>
      <c r="UD857" s="9"/>
      <c r="UE857" s="9"/>
      <c r="UF857" s="9"/>
      <c r="UG857" s="9"/>
      <c r="UH857" s="9"/>
      <c r="UI857" s="9"/>
      <c r="UJ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  <c r="GA858" s="9"/>
      <c r="GB858" s="9"/>
      <c r="GC858" s="9"/>
      <c r="GD858" s="9"/>
      <c r="GE858" s="9"/>
      <c r="GF858" s="9"/>
      <c r="GG858" s="9"/>
      <c r="GH858" s="9"/>
      <c r="GI858" s="9"/>
      <c r="GJ858" s="9"/>
      <c r="GK858" s="9"/>
      <c r="GL858" s="9"/>
      <c r="GM858" s="9"/>
      <c r="GN858" s="9"/>
      <c r="GO858" s="9"/>
      <c r="GP858" s="9"/>
      <c r="GQ858" s="9"/>
      <c r="GR858" s="9"/>
      <c r="GS858" s="9"/>
      <c r="GT858" s="9"/>
      <c r="GU858" s="9"/>
      <c r="GV858" s="9"/>
      <c r="GW858" s="9"/>
      <c r="GX858" s="9"/>
      <c r="GY858" s="9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  <c r="HO858" s="9"/>
      <c r="HP858" s="9"/>
      <c r="HQ858" s="9"/>
      <c r="HR858" s="9"/>
      <c r="HS858" s="9"/>
      <c r="HT858" s="9"/>
      <c r="HU858" s="9"/>
      <c r="HV858" s="9"/>
      <c r="HW858" s="9"/>
      <c r="HX858" s="9"/>
      <c r="HY858" s="9"/>
      <c r="HZ858" s="9"/>
      <c r="IA858" s="9"/>
      <c r="IB858" s="9"/>
      <c r="IC858" s="9"/>
      <c r="ID858" s="9"/>
      <c r="IE858" s="9"/>
      <c r="IF858" s="9"/>
      <c r="IG858" s="9"/>
      <c r="IH858" s="9"/>
      <c r="II858" s="9"/>
      <c r="IJ858" s="9"/>
      <c r="IK858" s="9"/>
      <c r="IL858" s="9"/>
      <c r="IM858" s="9"/>
      <c r="IN858" s="9"/>
      <c r="IO858" s="9"/>
      <c r="IP858" s="9"/>
      <c r="IQ858" s="9"/>
      <c r="IR858" s="9"/>
      <c r="IS858" s="9"/>
      <c r="IT858" s="9"/>
      <c r="IU858" s="9"/>
      <c r="IV858" s="9"/>
      <c r="IW858" s="9"/>
      <c r="IX858" s="9"/>
      <c r="IY858" s="9"/>
      <c r="IZ858" s="9"/>
      <c r="JA858" s="9"/>
      <c r="JB858" s="9"/>
      <c r="JC858" s="9"/>
      <c r="JD858" s="9"/>
      <c r="JE858" s="9"/>
      <c r="JF858" s="9"/>
      <c r="JG858" s="9"/>
      <c r="JH858" s="9"/>
      <c r="JI858" s="9"/>
      <c r="JJ858" s="9"/>
      <c r="JK858" s="9"/>
      <c r="JL858" s="9"/>
      <c r="JM858" s="9"/>
      <c r="JN858" s="9"/>
      <c r="JO858" s="9"/>
      <c r="JP858" s="9"/>
      <c r="JQ858" s="9"/>
      <c r="JR858" s="9"/>
      <c r="JS858" s="9"/>
      <c r="JT858" s="9"/>
      <c r="JU858" s="9"/>
      <c r="JV858" s="9"/>
      <c r="JW858" s="9"/>
      <c r="JX858" s="9"/>
      <c r="JY858" s="9"/>
      <c r="JZ858" s="9"/>
      <c r="KA858" s="9"/>
      <c r="KB858" s="9"/>
      <c r="KC858" s="9"/>
      <c r="KD858" s="9"/>
      <c r="KE858" s="9"/>
      <c r="KF858" s="9"/>
      <c r="KG858" s="9"/>
      <c r="KH858" s="9"/>
      <c r="KI858" s="9"/>
      <c r="KJ858" s="9"/>
      <c r="KK858" s="9"/>
      <c r="KL858" s="9"/>
      <c r="KM858" s="9"/>
      <c r="KN858" s="9"/>
      <c r="KO858" s="9"/>
      <c r="KP858" s="9"/>
      <c r="KQ858" s="9"/>
      <c r="KR858" s="9"/>
      <c r="KS858" s="9"/>
      <c r="KT858" s="9"/>
      <c r="KU858" s="9"/>
      <c r="KV858" s="9"/>
      <c r="KW858" s="9"/>
      <c r="KX858" s="9"/>
      <c r="KY858" s="9"/>
      <c r="KZ858" s="9"/>
      <c r="LA858" s="9"/>
      <c r="LB858" s="9"/>
      <c r="LC858" s="9"/>
      <c r="LD858" s="9"/>
      <c r="LE858" s="9"/>
      <c r="LF858" s="9"/>
      <c r="LG858" s="9"/>
      <c r="LH858" s="9"/>
      <c r="LI858" s="9"/>
      <c r="LJ858" s="9"/>
      <c r="LK858" s="9"/>
      <c r="LL858" s="9"/>
      <c r="LM858" s="9"/>
      <c r="LN858" s="9"/>
      <c r="LO858" s="9"/>
      <c r="LP858" s="9"/>
      <c r="LQ858" s="9"/>
      <c r="LR858" s="9"/>
      <c r="LS858" s="9"/>
      <c r="LT858" s="9"/>
      <c r="LU858" s="9"/>
      <c r="LV858" s="9"/>
      <c r="LW858" s="9"/>
      <c r="LX858" s="9"/>
      <c r="LY858" s="9"/>
      <c r="LZ858" s="9"/>
      <c r="MA858" s="9"/>
      <c r="MB858" s="9"/>
      <c r="MC858" s="9"/>
      <c r="MD858" s="9"/>
      <c r="ME858" s="9"/>
      <c r="MF858" s="9"/>
      <c r="MG858" s="9"/>
      <c r="MH858" s="9"/>
      <c r="MI858" s="9"/>
      <c r="MJ858" s="9"/>
      <c r="MK858" s="9"/>
      <c r="ML858" s="9"/>
      <c r="MM858" s="9"/>
      <c r="MN858" s="9"/>
      <c r="MO858" s="9"/>
      <c r="MP858" s="9"/>
      <c r="MQ858" s="9"/>
      <c r="MR858" s="9"/>
      <c r="MS858" s="9"/>
      <c r="MT858" s="9"/>
      <c r="MU858" s="9"/>
      <c r="MV858" s="9"/>
      <c r="MW858" s="9"/>
      <c r="MX858" s="9"/>
      <c r="MY858" s="9"/>
      <c r="MZ858" s="9"/>
      <c r="NA858" s="9"/>
      <c r="NB858" s="9"/>
      <c r="NC858" s="9"/>
      <c r="ND858" s="9"/>
      <c r="NE858" s="9"/>
      <c r="NF858" s="9"/>
      <c r="NG858" s="9"/>
      <c r="NH858" s="9"/>
      <c r="NI858" s="9"/>
      <c r="NJ858" s="9"/>
      <c r="NK858" s="9"/>
      <c r="NL858" s="9"/>
      <c r="NM858" s="9"/>
      <c r="NN858" s="9"/>
      <c r="NO858" s="9"/>
      <c r="NP858" s="9"/>
      <c r="NQ858" s="9"/>
      <c r="NR858" s="9"/>
      <c r="NS858" s="9"/>
      <c r="NT858" s="9"/>
      <c r="NU858" s="9"/>
      <c r="NV858" s="9"/>
      <c r="NW858" s="9"/>
      <c r="NX858" s="9"/>
      <c r="NY858" s="9"/>
      <c r="NZ858" s="9"/>
      <c r="OA858" s="9"/>
      <c r="OB858" s="9"/>
      <c r="OC858" s="9"/>
      <c r="OD858" s="9"/>
      <c r="OE858" s="9"/>
      <c r="OF858" s="9"/>
      <c r="OG858" s="9"/>
      <c r="OH858" s="9"/>
      <c r="OI858" s="9"/>
      <c r="OJ858" s="9"/>
      <c r="OK858" s="9"/>
      <c r="OL858" s="9"/>
      <c r="OM858" s="9"/>
      <c r="ON858" s="9"/>
      <c r="OO858" s="9"/>
      <c r="OP858" s="9"/>
      <c r="OQ858" s="9"/>
      <c r="OR858" s="9"/>
      <c r="OS858" s="9"/>
      <c r="OT858" s="9"/>
      <c r="OU858" s="9"/>
      <c r="OV858" s="9"/>
      <c r="OW858" s="9"/>
      <c r="OX858" s="9"/>
      <c r="OY858" s="9"/>
      <c r="OZ858" s="9"/>
      <c r="PA858" s="9"/>
      <c r="PB858" s="9"/>
      <c r="PC858" s="9"/>
      <c r="PD858" s="9"/>
      <c r="PE858" s="9"/>
      <c r="PF858" s="9"/>
      <c r="PG858" s="9"/>
      <c r="PH858" s="9"/>
      <c r="PI858" s="9"/>
      <c r="PJ858" s="9"/>
      <c r="PK858" s="9"/>
      <c r="PL858" s="9"/>
      <c r="PM858" s="9"/>
      <c r="PN858" s="9"/>
      <c r="PO858" s="9"/>
      <c r="PP858" s="9"/>
      <c r="PQ858" s="9"/>
      <c r="PR858" s="9"/>
      <c r="PS858" s="9"/>
      <c r="PT858" s="9"/>
      <c r="PU858" s="9"/>
      <c r="PV858" s="9"/>
      <c r="PW858" s="9"/>
      <c r="PX858" s="9"/>
      <c r="PY858" s="9"/>
      <c r="PZ858" s="9"/>
      <c r="QA858" s="9"/>
      <c r="QB858" s="9"/>
      <c r="QC858" s="9"/>
      <c r="QD858" s="9"/>
      <c r="QE858" s="9"/>
      <c r="QF858" s="9"/>
      <c r="QG858" s="9"/>
      <c r="QH858" s="9"/>
      <c r="QI858" s="9"/>
      <c r="QJ858" s="9"/>
      <c r="QK858" s="9"/>
      <c r="QL858" s="9"/>
      <c r="QM858" s="9"/>
      <c r="QN858" s="9"/>
      <c r="QO858" s="9"/>
      <c r="QP858" s="9"/>
      <c r="QQ858" s="9"/>
      <c r="QR858" s="9"/>
      <c r="QS858" s="9"/>
      <c r="QT858" s="9"/>
      <c r="QU858" s="9"/>
      <c r="QV858" s="9"/>
      <c r="QW858" s="9"/>
      <c r="QX858" s="9"/>
      <c r="QY858" s="9"/>
      <c r="QZ858" s="9"/>
      <c r="RA858" s="9"/>
      <c r="RB858" s="9"/>
      <c r="RC858" s="9"/>
      <c r="RD858" s="9"/>
      <c r="RE858" s="9"/>
      <c r="RF858" s="9"/>
      <c r="RG858" s="9"/>
      <c r="RH858" s="9"/>
      <c r="RI858" s="9"/>
      <c r="RJ858" s="9"/>
      <c r="RK858" s="9"/>
      <c r="RL858" s="9"/>
      <c r="RM858" s="9"/>
      <c r="RN858" s="9"/>
      <c r="RO858" s="9"/>
      <c r="RP858" s="9"/>
      <c r="RQ858" s="9"/>
      <c r="RR858" s="9"/>
      <c r="RS858" s="9"/>
      <c r="RT858" s="9"/>
      <c r="RU858" s="9"/>
      <c r="RV858" s="9"/>
      <c r="RW858" s="9"/>
      <c r="RX858" s="9"/>
      <c r="RY858" s="9"/>
      <c r="RZ858" s="9"/>
      <c r="SA858" s="9"/>
      <c r="SB858" s="9"/>
      <c r="SC858" s="9"/>
      <c r="SD858" s="9"/>
      <c r="SE858" s="9"/>
      <c r="SF858" s="9"/>
      <c r="SG858" s="9"/>
      <c r="SH858" s="9"/>
      <c r="SI858" s="9"/>
      <c r="SJ858" s="9"/>
      <c r="SK858" s="9"/>
      <c r="SL858" s="9"/>
      <c r="SM858" s="9"/>
      <c r="SN858" s="9"/>
      <c r="SO858" s="9"/>
      <c r="SP858" s="9"/>
      <c r="SQ858" s="9"/>
      <c r="SR858" s="9"/>
      <c r="SS858" s="9"/>
      <c r="ST858" s="9"/>
      <c r="SU858" s="9"/>
      <c r="SV858" s="9"/>
      <c r="SW858" s="9"/>
      <c r="SX858" s="9"/>
      <c r="SY858" s="9"/>
      <c r="SZ858" s="9"/>
      <c r="TA858" s="9"/>
      <c r="TB858" s="9"/>
      <c r="TC858" s="9"/>
      <c r="TD858" s="9"/>
      <c r="TE858" s="9"/>
      <c r="TF858" s="9"/>
      <c r="TG858" s="9"/>
      <c r="TH858" s="9"/>
      <c r="TI858" s="9"/>
      <c r="TJ858" s="9"/>
      <c r="TK858" s="9"/>
      <c r="TL858" s="9"/>
      <c r="TM858" s="9"/>
      <c r="TN858" s="9"/>
      <c r="TO858" s="9"/>
      <c r="TP858" s="9"/>
      <c r="TQ858" s="9"/>
      <c r="TR858" s="9"/>
      <c r="TS858" s="9"/>
      <c r="TT858" s="9"/>
      <c r="TU858" s="9"/>
      <c r="TV858" s="9"/>
      <c r="TW858" s="9"/>
      <c r="TX858" s="9"/>
      <c r="TY858" s="9"/>
      <c r="TZ858" s="9"/>
      <c r="UA858" s="9"/>
      <c r="UB858" s="9"/>
      <c r="UC858" s="9"/>
      <c r="UD858" s="9"/>
      <c r="UE858" s="9"/>
      <c r="UF858" s="9"/>
      <c r="UG858" s="9"/>
      <c r="UH858" s="9"/>
      <c r="UI858" s="9"/>
      <c r="UJ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  <c r="GA859" s="9"/>
      <c r="GB859" s="9"/>
      <c r="GC859" s="9"/>
      <c r="GD859" s="9"/>
      <c r="GE859" s="9"/>
      <c r="GF859" s="9"/>
      <c r="GG859" s="9"/>
      <c r="GH859" s="9"/>
      <c r="GI859" s="9"/>
      <c r="GJ859" s="9"/>
      <c r="GK859" s="9"/>
      <c r="GL859" s="9"/>
      <c r="GM859" s="9"/>
      <c r="GN859" s="9"/>
      <c r="GO859" s="9"/>
      <c r="GP859" s="9"/>
      <c r="GQ859" s="9"/>
      <c r="GR859" s="9"/>
      <c r="GS859" s="9"/>
      <c r="GT859" s="9"/>
      <c r="GU859" s="9"/>
      <c r="GV859" s="9"/>
      <c r="GW859" s="9"/>
      <c r="GX859" s="9"/>
      <c r="GY859" s="9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  <c r="HO859" s="9"/>
      <c r="HP859" s="9"/>
      <c r="HQ859" s="9"/>
      <c r="HR859" s="9"/>
      <c r="HS859" s="9"/>
      <c r="HT859" s="9"/>
      <c r="HU859" s="9"/>
      <c r="HV859" s="9"/>
      <c r="HW859" s="9"/>
      <c r="HX859" s="9"/>
      <c r="HY859" s="9"/>
      <c r="HZ859" s="9"/>
      <c r="IA859" s="9"/>
      <c r="IB859" s="9"/>
      <c r="IC859" s="9"/>
      <c r="ID859" s="9"/>
      <c r="IE859" s="9"/>
      <c r="IF859" s="9"/>
      <c r="IG859" s="9"/>
      <c r="IH859" s="9"/>
      <c r="II859" s="9"/>
      <c r="IJ859" s="9"/>
      <c r="IK859" s="9"/>
      <c r="IL859" s="9"/>
      <c r="IM859" s="9"/>
      <c r="IN859" s="9"/>
      <c r="IO859" s="9"/>
      <c r="IP859" s="9"/>
      <c r="IQ859" s="9"/>
      <c r="IR859" s="9"/>
      <c r="IS859" s="9"/>
      <c r="IT859" s="9"/>
      <c r="IU859" s="9"/>
      <c r="IV859" s="9"/>
      <c r="IW859" s="9"/>
      <c r="IX859" s="9"/>
      <c r="IY859" s="9"/>
      <c r="IZ859" s="9"/>
      <c r="JA859" s="9"/>
      <c r="JB859" s="9"/>
      <c r="JC859" s="9"/>
      <c r="JD859" s="9"/>
      <c r="JE859" s="9"/>
      <c r="JF859" s="9"/>
      <c r="JG859" s="9"/>
      <c r="JH859" s="9"/>
      <c r="JI859" s="9"/>
      <c r="JJ859" s="9"/>
      <c r="JK859" s="9"/>
      <c r="JL859" s="9"/>
      <c r="JM859" s="9"/>
      <c r="JN859" s="9"/>
      <c r="JO859" s="9"/>
      <c r="JP859" s="9"/>
      <c r="JQ859" s="9"/>
      <c r="JR859" s="9"/>
      <c r="JS859" s="9"/>
      <c r="JT859" s="9"/>
      <c r="JU859" s="9"/>
      <c r="JV859" s="9"/>
      <c r="JW859" s="9"/>
      <c r="JX859" s="9"/>
      <c r="JY859" s="9"/>
      <c r="JZ859" s="9"/>
      <c r="KA859" s="9"/>
      <c r="KB859" s="9"/>
      <c r="KC859" s="9"/>
      <c r="KD859" s="9"/>
      <c r="KE859" s="9"/>
      <c r="KF859" s="9"/>
      <c r="KG859" s="9"/>
      <c r="KH859" s="9"/>
      <c r="KI859" s="9"/>
      <c r="KJ859" s="9"/>
      <c r="KK859" s="9"/>
      <c r="KL859" s="9"/>
      <c r="KM859" s="9"/>
      <c r="KN859" s="9"/>
      <c r="KO859" s="9"/>
      <c r="KP859" s="9"/>
      <c r="KQ859" s="9"/>
      <c r="KR859" s="9"/>
      <c r="KS859" s="9"/>
      <c r="KT859" s="9"/>
      <c r="KU859" s="9"/>
      <c r="KV859" s="9"/>
      <c r="KW859" s="9"/>
      <c r="KX859" s="9"/>
      <c r="KY859" s="9"/>
      <c r="KZ859" s="9"/>
      <c r="LA859" s="9"/>
      <c r="LB859" s="9"/>
      <c r="LC859" s="9"/>
      <c r="LD859" s="9"/>
      <c r="LE859" s="9"/>
      <c r="LF859" s="9"/>
      <c r="LG859" s="9"/>
      <c r="LH859" s="9"/>
      <c r="LI859" s="9"/>
      <c r="LJ859" s="9"/>
      <c r="LK859" s="9"/>
      <c r="LL859" s="9"/>
      <c r="LM859" s="9"/>
      <c r="LN859" s="9"/>
      <c r="LO859" s="9"/>
      <c r="LP859" s="9"/>
      <c r="LQ859" s="9"/>
      <c r="LR859" s="9"/>
      <c r="LS859" s="9"/>
      <c r="LT859" s="9"/>
      <c r="LU859" s="9"/>
      <c r="LV859" s="9"/>
      <c r="LW859" s="9"/>
      <c r="LX859" s="9"/>
      <c r="LY859" s="9"/>
      <c r="LZ859" s="9"/>
      <c r="MA859" s="9"/>
      <c r="MB859" s="9"/>
      <c r="MC859" s="9"/>
      <c r="MD859" s="9"/>
      <c r="ME859" s="9"/>
      <c r="MF859" s="9"/>
      <c r="MG859" s="9"/>
      <c r="MH859" s="9"/>
      <c r="MI859" s="9"/>
      <c r="MJ859" s="9"/>
      <c r="MK859" s="9"/>
      <c r="ML859" s="9"/>
      <c r="MM859" s="9"/>
      <c r="MN859" s="9"/>
      <c r="MO859" s="9"/>
      <c r="MP859" s="9"/>
      <c r="MQ859" s="9"/>
      <c r="MR859" s="9"/>
      <c r="MS859" s="9"/>
      <c r="MT859" s="9"/>
      <c r="MU859" s="9"/>
      <c r="MV859" s="9"/>
      <c r="MW859" s="9"/>
      <c r="MX859" s="9"/>
      <c r="MY859" s="9"/>
      <c r="MZ859" s="9"/>
      <c r="NA859" s="9"/>
      <c r="NB859" s="9"/>
      <c r="NC859" s="9"/>
      <c r="ND859" s="9"/>
      <c r="NE859" s="9"/>
      <c r="NF859" s="9"/>
      <c r="NG859" s="9"/>
      <c r="NH859" s="9"/>
      <c r="NI859" s="9"/>
      <c r="NJ859" s="9"/>
      <c r="NK859" s="9"/>
      <c r="NL859" s="9"/>
      <c r="NM859" s="9"/>
      <c r="NN859" s="9"/>
      <c r="NO859" s="9"/>
      <c r="NP859" s="9"/>
      <c r="NQ859" s="9"/>
      <c r="NR859" s="9"/>
      <c r="NS859" s="9"/>
      <c r="NT859" s="9"/>
      <c r="NU859" s="9"/>
      <c r="NV859" s="9"/>
      <c r="NW859" s="9"/>
      <c r="NX859" s="9"/>
      <c r="NY859" s="9"/>
      <c r="NZ859" s="9"/>
      <c r="OA859" s="9"/>
      <c r="OB859" s="9"/>
      <c r="OC859" s="9"/>
      <c r="OD859" s="9"/>
      <c r="OE859" s="9"/>
      <c r="OF859" s="9"/>
      <c r="OG859" s="9"/>
      <c r="OH859" s="9"/>
      <c r="OI859" s="9"/>
      <c r="OJ859" s="9"/>
      <c r="OK859" s="9"/>
      <c r="OL859" s="9"/>
      <c r="OM859" s="9"/>
      <c r="ON859" s="9"/>
      <c r="OO859" s="9"/>
      <c r="OP859" s="9"/>
      <c r="OQ859" s="9"/>
      <c r="OR859" s="9"/>
      <c r="OS859" s="9"/>
      <c r="OT859" s="9"/>
      <c r="OU859" s="9"/>
      <c r="OV859" s="9"/>
      <c r="OW859" s="9"/>
      <c r="OX859" s="9"/>
      <c r="OY859" s="9"/>
      <c r="OZ859" s="9"/>
      <c r="PA859" s="9"/>
      <c r="PB859" s="9"/>
      <c r="PC859" s="9"/>
      <c r="PD859" s="9"/>
      <c r="PE859" s="9"/>
      <c r="PF859" s="9"/>
      <c r="PG859" s="9"/>
      <c r="PH859" s="9"/>
      <c r="PI859" s="9"/>
      <c r="PJ859" s="9"/>
      <c r="PK859" s="9"/>
      <c r="PL859" s="9"/>
      <c r="PM859" s="9"/>
      <c r="PN859" s="9"/>
      <c r="PO859" s="9"/>
      <c r="PP859" s="9"/>
      <c r="PQ859" s="9"/>
      <c r="PR859" s="9"/>
      <c r="PS859" s="9"/>
      <c r="PT859" s="9"/>
      <c r="PU859" s="9"/>
      <c r="PV859" s="9"/>
      <c r="PW859" s="9"/>
      <c r="PX859" s="9"/>
      <c r="PY859" s="9"/>
      <c r="PZ859" s="9"/>
      <c r="QA859" s="9"/>
      <c r="QB859" s="9"/>
      <c r="QC859" s="9"/>
      <c r="QD859" s="9"/>
      <c r="QE859" s="9"/>
      <c r="QF859" s="9"/>
      <c r="QG859" s="9"/>
      <c r="QH859" s="9"/>
      <c r="QI859" s="9"/>
      <c r="QJ859" s="9"/>
      <c r="QK859" s="9"/>
      <c r="QL859" s="9"/>
      <c r="QM859" s="9"/>
      <c r="QN859" s="9"/>
      <c r="QO859" s="9"/>
      <c r="QP859" s="9"/>
      <c r="QQ859" s="9"/>
      <c r="QR859" s="9"/>
      <c r="QS859" s="9"/>
      <c r="QT859" s="9"/>
      <c r="QU859" s="9"/>
      <c r="QV859" s="9"/>
      <c r="QW859" s="9"/>
      <c r="QX859" s="9"/>
      <c r="QY859" s="9"/>
      <c r="QZ859" s="9"/>
      <c r="RA859" s="9"/>
      <c r="RB859" s="9"/>
      <c r="RC859" s="9"/>
      <c r="RD859" s="9"/>
      <c r="RE859" s="9"/>
      <c r="RF859" s="9"/>
      <c r="RG859" s="9"/>
      <c r="RH859" s="9"/>
      <c r="RI859" s="9"/>
      <c r="RJ859" s="9"/>
      <c r="RK859" s="9"/>
      <c r="RL859" s="9"/>
      <c r="RM859" s="9"/>
      <c r="RN859" s="9"/>
      <c r="RO859" s="9"/>
      <c r="RP859" s="9"/>
      <c r="RQ859" s="9"/>
      <c r="RR859" s="9"/>
      <c r="RS859" s="9"/>
      <c r="RT859" s="9"/>
      <c r="RU859" s="9"/>
      <c r="RV859" s="9"/>
      <c r="RW859" s="9"/>
      <c r="RX859" s="9"/>
      <c r="RY859" s="9"/>
      <c r="RZ859" s="9"/>
      <c r="SA859" s="9"/>
      <c r="SB859" s="9"/>
      <c r="SC859" s="9"/>
      <c r="SD859" s="9"/>
      <c r="SE859" s="9"/>
      <c r="SF859" s="9"/>
      <c r="SG859" s="9"/>
      <c r="SH859" s="9"/>
      <c r="SI859" s="9"/>
      <c r="SJ859" s="9"/>
      <c r="SK859" s="9"/>
      <c r="SL859" s="9"/>
      <c r="SM859" s="9"/>
      <c r="SN859" s="9"/>
      <c r="SO859" s="9"/>
      <c r="SP859" s="9"/>
      <c r="SQ859" s="9"/>
      <c r="SR859" s="9"/>
      <c r="SS859" s="9"/>
      <c r="ST859" s="9"/>
      <c r="SU859" s="9"/>
      <c r="SV859" s="9"/>
      <c r="SW859" s="9"/>
      <c r="SX859" s="9"/>
      <c r="SY859" s="9"/>
      <c r="SZ859" s="9"/>
      <c r="TA859" s="9"/>
      <c r="TB859" s="9"/>
      <c r="TC859" s="9"/>
      <c r="TD859" s="9"/>
      <c r="TE859" s="9"/>
      <c r="TF859" s="9"/>
      <c r="TG859" s="9"/>
      <c r="TH859" s="9"/>
      <c r="TI859" s="9"/>
      <c r="TJ859" s="9"/>
      <c r="TK859" s="9"/>
      <c r="TL859" s="9"/>
      <c r="TM859" s="9"/>
      <c r="TN859" s="9"/>
      <c r="TO859" s="9"/>
      <c r="TP859" s="9"/>
      <c r="TQ859" s="9"/>
      <c r="TR859" s="9"/>
      <c r="TS859" s="9"/>
      <c r="TT859" s="9"/>
      <c r="TU859" s="9"/>
      <c r="TV859" s="9"/>
      <c r="TW859" s="9"/>
      <c r="TX859" s="9"/>
      <c r="TY859" s="9"/>
      <c r="TZ859" s="9"/>
      <c r="UA859" s="9"/>
      <c r="UB859" s="9"/>
      <c r="UC859" s="9"/>
      <c r="UD859" s="9"/>
      <c r="UE859" s="9"/>
      <c r="UF859" s="9"/>
      <c r="UG859" s="9"/>
      <c r="UH859" s="9"/>
      <c r="UI859" s="9"/>
      <c r="UJ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  <c r="GA860" s="9"/>
      <c r="GB860" s="9"/>
      <c r="GC860" s="9"/>
      <c r="GD860" s="9"/>
      <c r="GE860" s="9"/>
      <c r="GF860" s="9"/>
      <c r="GG860" s="9"/>
      <c r="GH860" s="9"/>
      <c r="GI860" s="9"/>
      <c r="GJ860" s="9"/>
      <c r="GK860" s="9"/>
      <c r="GL860" s="9"/>
      <c r="GM860" s="9"/>
      <c r="GN860" s="9"/>
      <c r="GO860" s="9"/>
      <c r="GP860" s="9"/>
      <c r="GQ860" s="9"/>
      <c r="GR860" s="9"/>
      <c r="GS860" s="9"/>
      <c r="GT860" s="9"/>
      <c r="GU860" s="9"/>
      <c r="GV860" s="9"/>
      <c r="GW860" s="9"/>
      <c r="GX860" s="9"/>
      <c r="GY860" s="9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  <c r="HO860" s="9"/>
      <c r="HP860" s="9"/>
      <c r="HQ860" s="9"/>
      <c r="HR860" s="9"/>
      <c r="HS860" s="9"/>
      <c r="HT860" s="9"/>
      <c r="HU860" s="9"/>
      <c r="HV860" s="9"/>
      <c r="HW860" s="9"/>
      <c r="HX860" s="9"/>
      <c r="HY860" s="9"/>
      <c r="HZ860" s="9"/>
      <c r="IA860" s="9"/>
      <c r="IB860" s="9"/>
      <c r="IC860" s="9"/>
      <c r="ID860" s="9"/>
      <c r="IE860" s="9"/>
      <c r="IF860" s="9"/>
      <c r="IG860" s="9"/>
      <c r="IH860" s="9"/>
      <c r="II860" s="9"/>
      <c r="IJ860" s="9"/>
      <c r="IK860" s="9"/>
      <c r="IL860" s="9"/>
      <c r="IM860" s="9"/>
      <c r="IN860" s="9"/>
      <c r="IO860" s="9"/>
      <c r="IP860" s="9"/>
      <c r="IQ860" s="9"/>
      <c r="IR860" s="9"/>
      <c r="IS860" s="9"/>
      <c r="IT860" s="9"/>
      <c r="IU860" s="9"/>
      <c r="IV860" s="9"/>
      <c r="IW860" s="9"/>
      <c r="IX860" s="9"/>
      <c r="IY860" s="9"/>
      <c r="IZ860" s="9"/>
      <c r="JA860" s="9"/>
      <c r="JB860" s="9"/>
      <c r="JC860" s="9"/>
      <c r="JD860" s="9"/>
      <c r="JE860" s="9"/>
      <c r="JF860" s="9"/>
      <c r="JG860" s="9"/>
      <c r="JH860" s="9"/>
      <c r="JI860" s="9"/>
      <c r="JJ860" s="9"/>
      <c r="JK860" s="9"/>
      <c r="JL860" s="9"/>
      <c r="JM860" s="9"/>
      <c r="JN860" s="9"/>
      <c r="JO860" s="9"/>
      <c r="JP860" s="9"/>
      <c r="JQ860" s="9"/>
      <c r="JR860" s="9"/>
      <c r="JS860" s="9"/>
      <c r="JT860" s="9"/>
      <c r="JU860" s="9"/>
      <c r="JV860" s="9"/>
      <c r="JW860" s="9"/>
      <c r="JX860" s="9"/>
      <c r="JY860" s="9"/>
      <c r="JZ860" s="9"/>
      <c r="KA860" s="9"/>
      <c r="KB860" s="9"/>
      <c r="KC860" s="9"/>
      <c r="KD860" s="9"/>
      <c r="KE860" s="9"/>
      <c r="KF860" s="9"/>
      <c r="KG860" s="9"/>
      <c r="KH860" s="9"/>
      <c r="KI860" s="9"/>
      <c r="KJ860" s="9"/>
      <c r="KK860" s="9"/>
      <c r="KL860" s="9"/>
      <c r="KM860" s="9"/>
      <c r="KN860" s="9"/>
      <c r="KO860" s="9"/>
      <c r="KP860" s="9"/>
      <c r="KQ860" s="9"/>
      <c r="KR860" s="9"/>
      <c r="KS860" s="9"/>
      <c r="KT860" s="9"/>
      <c r="KU860" s="9"/>
      <c r="KV860" s="9"/>
      <c r="KW860" s="9"/>
      <c r="KX860" s="9"/>
      <c r="KY860" s="9"/>
      <c r="KZ860" s="9"/>
      <c r="LA860" s="9"/>
      <c r="LB860" s="9"/>
      <c r="LC860" s="9"/>
      <c r="LD860" s="9"/>
      <c r="LE860" s="9"/>
      <c r="LF860" s="9"/>
      <c r="LG860" s="9"/>
      <c r="LH860" s="9"/>
      <c r="LI860" s="9"/>
      <c r="LJ860" s="9"/>
      <c r="LK860" s="9"/>
      <c r="LL860" s="9"/>
      <c r="LM860" s="9"/>
      <c r="LN860" s="9"/>
      <c r="LO860" s="9"/>
      <c r="LP860" s="9"/>
      <c r="LQ860" s="9"/>
      <c r="LR860" s="9"/>
      <c r="LS860" s="9"/>
      <c r="LT860" s="9"/>
      <c r="LU860" s="9"/>
      <c r="LV860" s="9"/>
      <c r="LW860" s="9"/>
      <c r="LX860" s="9"/>
      <c r="LY860" s="9"/>
      <c r="LZ860" s="9"/>
      <c r="MA860" s="9"/>
      <c r="MB860" s="9"/>
      <c r="MC860" s="9"/>
      <c r="MD860" s="9"/>
      <c r="ME860" s="9"/>
      <c r="MF860" s="9"/>
      <c r="MG860" s="9"/>
      <c r="MH860" s="9"/>
      <c r="MI860" s="9"/>
      <c r="MJ860" s="9"/>
      <c r="MK860" s="9"/>
      <c r="ML860" s="9"/>
      <c r="MM860" s="9"/>
      <c r="MN860" s="9"/>
      <c r="MO860" s="9"/>
      <c r="MP860" s="9"/>
      <c r="MQ860" s="9"/>
      <c r="MR860" s="9"/>
      <c r="MS860" s="9"/>
      <c r="MT860" s="9"/>
      <c r="MU860" s="9"/>
      <c r="MV860" s="9"/>
      <c r="MW860" s="9"/>
      <c r="MX860" s="9"/>
      <c r="MY860" s="9"/>
      <c r="MZ860" s="9"/>
      <c r="NA860" s="9"/>
      <c r="NB860" s="9"/>
      <c r="NC860" s="9"/>
      <c r="ND860" s="9"/>
      <c r="NE860" s="9"/>
      <c r="NF860" s="9"/>
      <c r="NG860" s="9"/>
      <c r="NH860" s="9"/>
      <c r="NI860" s="9"/>
      <c r="NJ860" s="9"/>
      <c r="NK860" s="9"/>
      <c r="NL860" s="9"/>
      <c r="NM860" s="9"/>
      <c r="NN860" s="9"/>
      <c r="NO860" s="9"/>
      <c r="NP860" s="9"/>
      <c r="NQ860" s="9"/>
      <c r="NR860" s="9"/>
      <c r="NS860" s="9"/>
      <c r="NT860" s="9"/>
      <c r="NU860" s="9"/>
      <c r="NV860" s="9"/>
      <c r="NW860" s="9"/>
      <c r="NX860" s="9"/>
      <c r="NY860" s="9"/>
      <c r="NZ860" s="9"/>
      <c r="OA860" s="9"/>
      <c r="OB860" s="9"/>
      <c r="OC860" s="9"/>
      <c r="OD860" s="9"/>
      <c r="OE860" s="9"/>
      <c r="OF860" s="9"/>
      <c r="OG860" s="9"/>
      <c r="OH860" s="9"/>
      <c r="OI860" s="9"/>
      <c r="OJ860" s="9"/>
      <c r="OK860" s="9"/>
      <c r="OL860" s="9"/>
      <c r="OM860" s="9"/>
      <c r="ON860" s="9"/>
      <c r="OO860" s="9"/>
      <c r="OP860" s="9"/>
      <c r="OQ860" s="9"/>
      <c r="OR860" s="9"/>
      <c r="OS860" s="9"/>
      <c r="OT860" s="9"/>
      <c r="OU860" s="9"/>
      <c r="OV860" s="9"/>
      <c r="OW860" s="9"/>
      <c r="OX860" s="9"/>
      <c r="OY860" s="9"/>
      <c r="OZ860" s="9"/>
      <c r="PA860" s="9"/>
      <c r="PB860" s="9"/>
      <c r="PC860" s="9"/>
      <c r="PD860" s="9"/>
      <c r="PE860" s="9"/>
      <c r="PF860" s="9"/>
      <c r="PG860" s="9"/>
      <c r="PH860" s="9"/>
      <c r="PI860" s="9"/>
      <c r="PJ860" s="9"/>
      <c r="PK860" s="9"/>
      <c r="PL860" s="9"/>
      <c r="PM860" s="9"/>
      <c r="PN860" s="9"/>
      <c r="PO860" s="9"/>
      <c r="PP860" s="9"/>
      <c r="PQ860" s="9"/>
      <c r="PR860" s="9"/>
      <c r="PS860" s="9"/>
      <c r="PT860" s="9"/>
      <c r="PU860" s="9"/>
      <c r="PV860" s="9"/>
      <c r="PW860" s="9"/>
      <c r="PX860" s="9"/>
      <c r="PY860" s="9"/>
      <c r="PZ860" s="9"/>
      <c r="QA860" s="9"/>
      <c r="QB860" s="9"/>
      <c r="QC860" s="9"/>
      <c r="QD860" s="9"/>
      <c r="QE860" s="9"/>
      <c r="QF860" s="9"/>
      <c r="QG860" s="9"/>
      <c r="QH860" s="9"/>
      <c r="QI860" s="9"/>
      <c r="QJ860" s="9"/>
      <c r="QK860" s="9"/>
      <c r="QL860" s="9"/>
      <c r="QM860" s="9"/>
      <c r="QN860" s="9"/>
      <c r="QO860" s="9"/>
      <c r="QP860" s="9"/>
      <c r="QQ860" s="9"/>
      <c r="QR860" s="9"/>
      <c r="QS860" s="9"/>
      <c r="QT860" s="9"/>
      <c r="QU860" s="9"/>
      <c r="QV860" s="9"/>
      <c r="QW860" s="9"/>
      <c r="QX860" s="9"/>
      <c r="QY860" s="9"/>
      <c r="QZ860" s="9"/>
      <c r="RA860" s="9"/>
      <c r="RB860" s="9"/>
      <c r="RC860" s="9"/>
      <c r="RD860" s="9"/>
      <c r="RE860" s="9"/>
      <c r="RF860" s="9"/>
      <c r="RG860" s="9"/>
      <c r="RH860" s="9"/>
      <c r="RI860" s="9"/>
      <c r="RJ860" s="9"/>
      <c r="RK860" s="9"/>
      <c r="RL860" s="9"/>
      <c r="RM860" s="9"/>
      <c r="RN860" s="9"/>
      <c r="RO860" s="9"/>
      <c r="RP860" s="9"/>
      <c r="RQ860" s="9"/>
      <c r="RR860" s="9"/>
      <c r="RS860" s="9"/>
      <c r="RT860" s="9"/>
      <c r="RU860" s="9"/>
      <c r="RV860" s="9"/>
      <c r="RW860" s="9"/>
      <c r="RX860" s="9"/>
      <c r="RY860" s="9"/>
      <c r="RZ860" s="9"/>
      <c r="SA860" s="9"/>
      <c r="SB860" s="9"/>
      <c r="SC860" s="9"/>
      <c r="SD860" s="9"/>
      <c r="SE860" s="9"/>
      <c r="SF860" s="9"/>
      <c r="SG860" s="9"/>
      <c r="SH860" s="9"/>
      <c r="SI860" s="9"/>
      <c r="SJ860" s="9"/>
      <c r="SK860" s="9"/>
      <c r="SL860" s="9"/>
      <c r="SM860" s="9"/>
      <c r="SN860" s="9"/>
      <c r="SO860" s="9"/>
      <c r="SP860" s="9"/>
      <c r="SQ860" s="9"/>
      <c r="SR860" s="9"/>
      <c r="SS860" s="9"/>
      <c r="ST860" s="9"/>
      <c r="SU860" s="9"/>
      <c r="SV860" s="9"/>
      <c r="SW860" s="9"/>
      <c r="SX860" s="9"/>
      <c r="SY860" s="9"/>
      <c r="SZ860" s="9"/>
      <c r="TA860" s="9"/>
      <c r="TB860" s="9"/>
      <c r="TC860" s="9"/>
      <c r="TD860" s="9"/>
      <c r="TE860" s="9"/>
      <c r="TF860" s="9"/>
      <c r="TG860" s="9"/>
      <c r="TH860" s="9"/>
      <c r="TI860" s="9"/>
      <c r="TJ860" s="9"/>
      <c r="TK860" s="9"/>
      <c r="TL860" s="9"/>
      <c r="TM860" s="9"/>
      <c r="TN860" s="9"/>
      <c r="TO860" s="9"/>
      <c r="TP860" s="9"/>
      <c r="TQ860" s="9"/>
      <c r="TR860" s="9"/>
      <c r="TS860" s="9"/>
      <c r="TT860" s="9"/>
      <c r="TU860" s="9"/>
      <c r="TV860" s="9"/>
      <c r="TW860" s="9"/>
      <c r="TX860" s="9"/>
      <c r="TY860" s="9"/>
      <c r="TZ860" s="9"/>
      <c r="UA860" s="9"/>
      <c r="UB860" s="9"/>
      <c r="UC860" s="9"/>
      <c r="UD860" s="9"/>
      <c r="UE860" s="9"/>
      <c r="UF860" s="9"/>
      <c r="UG860" s="9"/>
      <c r="UH860" s="9"/>
      <c r="UI860" s="9"/>
      <c r="UJ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9"/>
      <c r="GV861" s="9"/>
      <c r="GW861" s="9"/>
      <c r="GX861" s="9"/>
      <c r="GY861" s="9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  <c r="HO861" s="9"/>
      <c r="HP861" s="9"/>
      <c r="HQ861" s="9"/>
      <c r="HR861" s="9"/>
      <c r="HS861" s="9"/>
      <c r="HT861" s="9"/>
      <c r="HU861" s="9"/>
      <c r="HV861" s="9"/>
      <c r="HW861" s="9"/>
      <c r="HX861" s="9"/>
      <c r="HY861" s="9"/>
      <c r="HZ861" s="9"/>
      <c r="IA861" s="9"/>
      <c r="IB861" s="9"/>
      <c r="IC861" s="9"/>
      <c r="ID861" s="9"/>
      <c r="IE861" s="9"/>
      <c r="IF861" s="9"/>
      <c r="IG861" s="9"/>
      <c r="IH861" s="9"/>
      <c r="II861" s="9"/>
      <c r="IJ861" s="9"/>
      <c r="IK861" s="9"/>
      <c r="IL861" s="9"/>
      <c r="IM861" s="9"/>
      <c r="IN861" s="9"/>
      <c r="IO861" s="9"/>
      <c r="IP861" s="9"/>
      <c r="IQ861" s="9"/>
      <c r="IR861" s="9"/>
      <c r="IS861" s="9"/>
      <c r="IT861" s="9"/>
      <c r="IU861" s="9"/>
      <c r="IV861" s="9"/>
      <c r="IW861" s="9"/>
      <c r="IX861" s="9"/>
      <c r="IY861" s="9"/>
      <c r="IZ861" s="9"/>
      <c r="JA861" s="9"/>
      <c r="JB861" s="9"/>
      <c r="JC861" s="9"/>
      <c r="JD861" s="9"/>
      <c r="JE861" s="9"/>
      <c r="JF861" s="9"/>
      <c r="JG861" s="9"/>
      <c r="JH861" s="9"/>
      <c r="JI861" s="9"/>
      <c r="JJ861" s="9"/>
      <c r="JK861" s="9"/>
      <c r="JL861" s="9"/>
      <c r="JM861" s="9"/>
      <c r="JN861" s="9"/>
      <c r="JO861" s="9"/>
      <c r="JP861" s="9"/>
      <c r="JQ861" s="9"/>
      <c r="JR861" s="9"/>
      <c r="JS861" s="9"/>
      <c r="JT861" s="9"/>
      <c r="JU861" s="9"/>
      <c r="JV861" s="9"/>
      <c r="JW861" s="9"/>
      <c r="JX861" s="9"/>
      <c r="JY861" s="9"/>
      <c r="JZ861" s="9"/>
      <c r="KA861" s="9"/>
      <c r="KB861" s="9"/>
      <c r="KC861" s="9"/>
      <c r="KD861" s="9"/>
      <c r="KE861" s="9"/>
      <c r="KF861" s="9"/>
      <c r="KG861" s="9"/>
      <c r="KH861" s="9"/>
      <c r="KI861" s="9"/>
      <c r="KJ861" s="9"/>
      <c r="KK861" s="9"/>
      <c r="KL861" s="9"/>
      <c r="KM861" s="9"/>
      <c r="KN861" s="9"/>
      <c r="KO861" s="9"/>
      <c r="KP861" s="9"/>
      <c r="KQ861" s="9"/>
      <c r="KR861" s="9"/>
      <c r="KS861" s="9"/>
      <c r="KT861" s="9"/>
      <c r="KU861" s="9"/>
      <c r="KV861" s="9"/>
      <c r="KW861" s="9"/>
      <c r="KX861" s="9"/>
      <c r="KY861" s="9"/>
      <c r="KZ861" s="9"/>
      <c r="LA861" s="9"/>
      <c r="LB861" s="9"/>
      <c r="LC861" s="9"/>
      <c r="LD861" s="9"/>
      <c r="LE861" s="9"/>
      <c r="LF861" s="9"/>
      <c r="LG861" s="9"/>
      <c r="LH861" s="9"/>
      <c r="LI861" s="9"/>
      <c r="LJ861" s="9"/>
      <c r="LK861" s="9"/>
      <c r="LL861" s="9"/>
      <c r="LM861" s="9"/>
      <c r="LN861" s="9"/>
      <c r="LO861" s="9"/>
      <c r="LP861" s="9"/>
      <c r="LQ861" s="9"/>
      <c r="LR861" s="9"/>
      <c r="LS861" s="9"/>
      <c r="LT861" s="9"/>
      <c r="LU861" s="9"/>
      <c r="LV861" s="9"/>
      <c r="LW861" s="9"/>
      <c r="LX861" s="9"/>
      <c r="LY861" s="9"/>
      <c r="LZ861" s="9"/>
      <c r="MA861" s="9"/>
      <c r="MB861" s="9"/>
      <c r="MC861" s="9"/>
      <c r="MD861" s="9"/>
      <c r="ME861" s="9"/>
      <c r="MF861" s="9"/>
      <c r="MG861" s="9"/>
      <c r="MH861" s="9"/>
      <c r="MI861" s="9"/>
      <c r="MJ861" s="9"/>
      <c r="MK861" s="9"/>
      <c r="ML861" s="9"/>
      <c r="MM861" s="9"/>
      <c r="MN861" s="9"/>
      <c r="MO861" s="9"/>
      <c r="MP861" s="9"/>
      <c r="MQ861" s="9"/>
      <c r="MR861" s="9"/>
      <c r="MS861" s="9"/>
      <c r="MT861" s="9"/>
      <c r="MU861" s="9"/>
      <c r="MV861" s="9"/>
      <c r="MW861" s="9"/>
      <c r="MX861" s="9"/>
      <c r="MY861" s="9"/>
      <c r="MZ861" s="9"/>
      <c r="NA861" s="9"/>
      <c r="NB861" s="9"/>
      <c r="NC861" s="9"/>
      <c r="ND861" s="9"/>
      <c r="NE861" s="9"/>
      <c r="NF861" s="9"/>
      <c r="NG861" s="9"/>
      <c r="NH861" s="9"/>
      <c r="NI861" s="9"/>
      <c r="NJ861" s="9"/>
      <c r="NK861" s="9"/>
      <c r="NL861" s="9"/>
      <c r="NM861" s="9"/>
      <c r="NN861" s="9"/>
      <c r="NO861" s="9"/>
      <c r="NP861" s="9"/>
      <c r="NQ861" s="9"/>
      <c r="NR861" s="9"/>
      <c r="NS861" s="9"/>
      <c r="NT861" s="9"/>
      <c r="NU861" s="9"/>
      <c r="NV861" s="9"/>
      <c r="NW861" s="9"/>
      <c r="NX861" s="9"/>
      <c r="NY861" s="9"/>
      <c r="NZ861" s="9"/>
      <c r="OA861" s="9"/>
      <c r="OB861" s="9"/>
      <c r="OC861" s="9"/>
      <c r="OD861" s="9"/>
      <c r="OE861" s="9"/>
      <c r="OF861" s="9"/>
      <c r="OG861" s="9"/>
      <c r="OH861" s="9"/>
      <c r="OI861" s="9"/>
      <c r="OJ861" s="9"/>
      <c r="OK861" s="9"/>
      <c r="OL861" s="9"/>
      <c r="OM861" s="9"/>
      <c r="ON861" s="9"/>
      <c r="OO861" s="9"/>
      <c r="OP861" s="9"/>
      <c r="OQ861" s="9"/>
      <c r="OR861" s="9"/>
      <c r="OS861" s="9"/>
      <c r="OT861" s="9"/>
      <c r="OU861" s="9"/>
      <c r="OV861" s="9"/>
      <c r="OW861" s="9"/>
      <c r="OX861" s="9"/>
      <c r="OY861" s="9"/>
      <c r="OZ861" s="9"/>
      <c r="PA861" s="9"/>
      <c r="PB861" s="9"/>
      <c r="PC861" s="9"/>
      <c r="PD861" s="9"/>
      <c r="PE861" s="9"/>
      <c r="PF861" s="9"/>
      <c r="PG861" s="9"/>
      <c r="PH861" s="9"/>
      <c r="PI861" s="9"/>
      <c r="PJ861" s="9"/>
      <c r="PK861" s="9"/>
      <c r="PL861" s="9"/>
      <c r="PM861" s="9"/>
      <c r="PN861" s="9"/>
      <c r="PO861" s="9"/>
      <c r="PP861" s="9"/>
      <c r="PQ861" s="9"/>
      <c r="PR861" s="9"/>
      <c r="PS861" s="9"/>
      <c r="PT861" s="9"/>
      <c r="PU861" s="9"/>
      <c r="PV861" s="9"/>
      <c r="PW861" s="9"/>
      <c r="PX861" s="9"/>
      <c r="PY861" s="9"/>
      <c r="PZ861" s="9"/>
      <c r="QA861" s="9"/>
      <c r="QB861" s="9"/>
      <c r="QC861" s="9"/>
      <c r="QD861" s="9"/>
      <c r="QE861" s="9"/>
      <c r="QF861" s="9"/>
      <c r="QG861" s="9"/>
      <c r="QH861" s="9"/>
      <c r="QI861" s="9"/>
      <c r="QJ861" s="9"/>
      <c r="QK861" s="9"/>
      <c r="QL861" s="9"/>
      <c r="QM861" s="9"/>
      <c r="QN861" s="9"/>
      <c r="QO861" s="9"/>
      <c r="QP861" s="9"/>
      <c r="QQ861" s="9"/>
      <c r="QR861" s="9"/>
      <c r="QS861" s="9"/>
      <c r="QT861" s="9"/>
      <c r="QU861" s="9"/>
      <c r="QV861" s="9"/>
      <c r="QW861" s="9"/>
      <c r="QX861" s="9"/>
      <c r="QY861" s="9"/>
      <c r="QZ861" s="9"/>
      <c r="RA861" s="9"/>
      <c r="RB861" s="9"/>
      <c r="RC861" s="9"/>
      <c r="RD861" s="9"/>
      <c r="RE861" s="9"/>
      <c r="RF861" s="9"/>
      <c r="RG861" s="9"/>
      <c r="RH861" s="9"/>
      <c r="RI861" s="9"/>
      <c r="RJ861" s="9"/>
      <c r="RK861" s="9"/>
      <c r="RL861" s="9"/>
      <c r="RM861" s="9"/>
      <c r="RN861" s="9"/>
      <c r="RO861" s="9"/>
      <c r="RP861" s="9"/>
      <c r="RQ861" s="9"/>
      <c r="RR861" s="9"/>
      <c r="RS861" s="9"/>
      <c r="RT861" s="9"/>
      <c r="RU861" s="9"/>
      <c r="RV861" s="9"/>
      <c r="RW861" s="9"/>
      <c r="RX861" s="9"/>
      <c r="RY861" s="9"/>
      <c r="RZ861" s="9"/>
      <c r="SA861" s="9"/>
      <c r="SB861" s="9"/>
      <c r="SC861" s="9"/>
      <c r="SD861" s="9"/>
      <c r="SE861" s="9"/>
      <c r="SF861" s="9"/>
      <c r="SG861" s="9"/>
      <c r="SH861" s="9"/>
      <c r="SI861" s="9"/>
      <c r="SJ861" s="9"/>
      <c r="SK861" s="9"/>
      <c r="SL861" s="9"/>
      <c r="SM861" s="9"/>
      <c r="SN861" s="9"/>
      <c r="SO861" s="9"/>
      <c r="SP861" s="9"/>
      <c r="SQ861" s="9"/>
      <c r="SR861" s="9"/>
      <c r="SS861" s="9"/>
      <c r="ST861" s="9"/>
      <c r="SU861" s="9"/>
      <c r="SV861" s="9"/>
      <c r="SW861" s="9"/>
      <c r="SX861" s="9"/>
      <c r="SY861" s="9"/>
      <c r="SZ861" s="9"/>
      <c r="TA861" s="9"/>
      <c r="TB861" s="9"/>
      <c r="TC861" s="9"/>
      <c r="TD861" s="9"/>
      <c r="TE861" s="9"/>
      <c r="TF861" s="9"/>
      <c r="TG861" s="9"/>
      <c r="TH861" s="9"/>
      <c r="TI861" s="9"/>
      <c r="TJ861" s="9"/>
      <c r="TK861" s="9"/>
      <c r="TL861" s="9"/>
      <c r="TM861" s="9"/>
      <c r="TN861" s="9"/>
      <c r="TO861" s="9"/>
      <c r="TP861" s="9"/>
      <c r="TQ861" s="9"/>
      <c r="TR861" s="9"/>
      <c r="TS861" s="9"/>
      <c r="TT861" s="9"/>
      <c r="TU861" s="9"/>
      <c r="TV861" s="9"/>
      <c r="TW861" s="9"/>
      <c r="TX861" s="9"/>
      <c r="TY861" s="9"/>
      <c r="TZ861" s="9"/>
      <c r="UA861" s="9"/>
      <c r="UB861" s="9"/>
      <c r="UC861" s="9"/>
      <c r="UD861" s="9"/>
      <c r="UE861" s="9"/>
      <c r="UF861" s="9"/>
      <c r="UG861" s="9"/>
      <c r="UH861" s="9"/>
      <c r="UI861" s="9"/>
      <c r="UJ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  <c r="HO862" s="9"/>
      <c r="HP862" s="9"/>
      <c r="HQ862" s="9"/>
      <c r="HR862" s="9"/>
      <c r="HS862" s="9"/>
      <c r="HT862" s="9"/>
      <c r="HU862" s="9"/>
      <c r="HV862" s="9"/>
      <c r="HW862" s="9"/>
      <c r="HX862" s="9"/>
      <c r="HY862" s="9"/>
      <c r="HZ862" s="9"/>
      <c r="IA862" s="9"/>
      <c r="IB862" s="9"/>
      <c r="IC862" s="9"/>
      <c r="ID862" s="9"/>
      <c r="IE862" s="9"/>
      <c r="IF862" s="9"/>
      <c r="IG862" s="9"/>
      <c r="IH862" s="9"/>
      <c r="II862" s="9"/>
      <c r="IJ862" s="9"/>
      <c r="IK862" s="9"/>
      <c r="IL862" s="9"/>
      <c r="IM862" s="9"/>
      <c r="IN862" s="9"/>
      <c r="IO862" s="9"/>
      <c r="IP862" s="9"/>
      <c r="IQ862" s="9"/>
      <c r="IR862" s="9"/>
      <c r="IS862" s="9"/>
      <c r="IT862" s="9"/>
      <c r="IU862" s="9"/>
      <c r="IV862" s="9"/>
      <c r="IW862" s="9"/>
      <c r="IX862" s="9"/>
      <c r="IY862" s="9"/>
      <c r="IZ862" s="9"/>
      <c r="JA862" s="9"/>
      <c r="JB862" s="9"/>
      <c r="JC862" s="9"/>
      <c r="JD862" s="9"/>
      <c r="JE862" s="9"/>
      <c r="JF862" s="9"/>
      <c r="JG862" s="9"/>
      <c r="JH862" s="9"/>
      <c r="JI862" s="9"/>
      <c r="JJ862" s="9"/>
      <c r="JK862" s="9"/>
      <c r="JL862" s="9"/>
      <c r="JM862" s="9"/>
      <c r="JN862" s="9"/>
      <c r="JO862" s="9"/>
      <c r="JP862" s="9"/>
      <c r="JQ862" s="9"/>
      <c r="JR862" s="9"/>
      <c r="JS862" s="9"/>
      <c r="JT862" s="9"/>
      <c r="JU862" s="9"/>
      <c r="JV862" s="9"/>
      <c r="JW862" s="9"/>
      <c r="JX862" s="9"/>
      <c r="JY862" s="9"/>
      <c r="JZ862" s="9"/>
      <c r="KA862" s="9"/>
      <c r="KB862" s="9"/>
      <c r="KC862" s="9"/>
      <c r="KD862" s="9"/>
      <c r="KE862" s="9"/>
      <c r="KF862" s="9"/>
      <c r="KG862" s="9"/>
      <c r="KH862" s="9"/>
      <c r="KI862" s="9"/>
      <c r="KJ862" s="9"/>
      <c r="KK862" s="9"/>
      <c r="KL862" s="9"/>
      <c r="KM862" s="9"/>
      <c r="KN862" s="9"/>
      <c r="KO862" s="9"/>
      <c r="KP862" s="9"/>
      <c r="KQ862" s="9"/>
      <c r="KR862" s="9"/>
      <c r="KS862" s="9"/>
      <c r="KT862" s="9"/>
      <c r="KU862" s="9"/>
      <c r="KV862" s="9"/>
      <c r="KW862" s="9"/>
      <c r="KX862" s="9"/>
      <c r="KY862" s="9"/>
      <c r="KZ862" s="9"/>
      <c r="LA862" s="9"/>
      <c r="LB862" s="9"/>
      <c r="LC862" s="9"/>
      <c r="LD862" s="9"/>
      <c r="LE862" s="9"/>
      <c r="LF862" s="9"/>
      <c r="LG862" s="9"/>
      <c r="LH862" s="9"/>
      <c r="LI862" s="9"/>
      <c r="LJ862" s="9"/>
      <c r="LK862" s="9"/>
      <c r="LL862" s="9"/>
      <c r="LM862" s="9"/>
      <c r="LN862" s="9"/>
      <c r="LO862" s="9"/>
      <c r="LP862" s="9"/>
      <c r="LQ862" s="9"/>
      <c r="LR862" s="9"/>
      <c r="LS862" s="9"/>
      <c r="LT862" s="9"/>
      <c r="LU862" s="9"/>
      <c r="LV862" s="9"/>
      <c r="LW862" s="9"/>
      <c r="LX862" s="9"/>
      <c r="LY862" s="9"/>
      <c r="LZ862" s="9"/>
      <c r="MA862" s="9"/>
      <c r="MB862" s="9"/>
      <c r="MC862" s="9"/>
      <c r="MD862" s="9"/>
      <c r="ME862" s="9"/>
      <c r="MF862" s="9"/>
      <c r="MG862" s="9"/>
      <c r="MH862" s="9"/>
      <c r="MI862" s="9"/>
      <c r="MJ862" s="9"/>
      <c r="MK862" s="9"/>
      <c r="ML862" s="9"/>
      <c r="MM862" s="9"/>
      <c r="MN862" s="9"/>
      <c r="MO862" s="9"/>
      <c r="MP862" s="9"/>
      <c r="MQ862" s="9"/>
      <c r="MR862" s="9"/>
      <c r="MS862" s="9"/>
      <c r="MT862" s="9"/>
      <c r="MU862" s="9"/>
      <c r="MV862" s="9"/>
      <c r="MW862" s="9"/>
      <c r="MX862" s="9"/>
      <c r="MY862" s="9"/>
      <c r="MZ862" s="9"/>
      <c r="NA862" s="9"/>
      <c r="NB862" s="9"/>
      <c r="NC862" s="9"/>
      <c r="ND862" s="9"/>
      <c r="NE862" s="9"/>
      <c r="NF862" s="9"/>
      <c r="NG862" s="9"/>
      <c r="NH862" s="9"/>
      <c r="NI862" s="9"/>
      <c r="NJ862" s="9"/>
      <c r="NK862" s="9"/>
      <c r="NL862" s="9"/>
      <c r="NM862" s="9"/>
      <c r="NN862" s="9"/>
      <c r="NO862" s="9"/>
      <c r="NP862" s="9"/>
      <c r="NQ862" s="9"/>
      <c r="NR862" s="9"/>
      <c r="NS862" s="9"/>
      <c r="NT862" s="9"/>
      <c r="NU862" s="9"/>
      <c r="NV862" s="9"/>
      <c r="NW862" s="9"/>
      <c r="NX862" s="9"/>
      <c r="NY862" s="9"/>
      <c r="NZ862" s="9"/>
      <c r="OA862" s="9"/>
      <c r="OB862" s="9"/>
      <c r="OC862" s="9"/>
      <c r="OD862" s="9"/>
      <c r="OE862" s="9"/>
      <c r="OF862" s="9"/>
      <c r="OG862" s="9"/>
      <c r="OH862" s="9"/>
      <c r="OI862" s="9"/>
      <c r="OJ862" s="9"/>
      <c r="OK862" s="9"/>
      <c r="OL862" s="9"/>
      <c r="OM862" s="9"/>
      <c r="ON862" s="9"/>
      <c r="OO862" s="9"/>
      <c r="OP862" s="9"/>
      <c r="OQ862" s="9"/>
      <c r="OR862" s="9"/>
      <c r="OS862" s="9"/>
      <c r="OT862" s="9"/>
      <c r="OU862" s="9"/>
      <c r="OV862" s="9"/>
      <c r="OW862" s="9"/>
      <c r="OX862" s="9"/>
      <c r="OY862" s="9"/>
      <c r="OZ862" s="9"/>
      <c r="PA862" s="9"/>
      <c r="PB862" s="9"/>
      <c r="PC862" s="9"/>
      <c r="PD862" s="9"/>
      <c r="PE862" s="9"/>
      <c r="PF862" s="9"/>
      <c r="PG862" s="9"/>
      <c r="PH862" s="9"/>
      <c r="PI862" s="9"/>
      <c r="PJ862" s="9"/>
      <c r="PK862" s="9"/>
      <c r="PL862" s="9"/>
      <c r="PM862" s="9"/>
      <c r="PN862" s="9"/>
      <c r="PO862" s="9"/>
      <c r="PP862" s="9"/>
      <c r="PQ862" s="9"/>
      <c r="PR862" s="9"/>
      <c r="PS862" s="9"/>
      <c r="PT862" s="9"/>
      <c r="PU862" s="9"/>
      <c r="PV862" s="9"/>
      <c r="PW862" s="9"/>
      <c r="PX862" s="9"/>
      <c r="PY862" s="9"/>
      <c r="PZ862" s="9"/>
      <c r="QA862" s="9"/>
      <c r="QB862" s="9"/>
      <c r="QC862" s="9"/>
      <c r="QD862" s="9"/>
      <c r="QE862" s="9"/>
      <c r="QF862" s="9"/>
      <c r="QG862" s="9"/>
      <c r="QH862" s="9"/>
      <c r="QI862" s="9"/>
      <c r="QJ862" s="9"/>
      <c r="QK862" s="9"/>
      <c r="QL862" s="9"/>
      <c r="QM862" s="9"/>
      <c r="QN862" s="9"/>
      <c r="QO862" s="9"/>
      <c r="QP862" s="9"/>
      <c r="QQ862" s="9"/>
      <c r="QR862" s="9"/>
      <c r="QS862" s="9"/>
      <c r="QT862" s="9"/>
      <c r="QU862" s="9"/>
      <c r="QV862" s="9"/>
      <c r="QW862" s="9"/>
      <c r="QX862" s="9"/>
      <c r="QY862" s="9"/>
      <c r="QZ862" s="9"/>
      <c r="RA862" s="9"/>
      <c r="RB862" s="9"/>
      <c r="RC862" s="9"/>
      <c r="RD862" s="9"/>
      <c r="RE862" s="9"/>
      <c r="RF862" s="9"/>
      <c r="RG862" s="9"/>
      <c r="RH862" s="9"/>
      <c r="RI862" s="9"/>
      <c r="RJ862" s="9"/>
      <c r="RK862" s="9"/>
      <c r="RL862" s="9"/>
      <c r="RM862" s="9"/>
      <c r="RN862" s="9"/>
      <c r="RO862" s="9"/>
      <c r="RP862" s="9"/>
      <c r="RQ862" s="9"/>
      <c r="RR862" s="9"/>
      <c r="RS862" s="9"/>
      <c r="RT862" s="9"/>
      <c r="RU862" s="9"/>
      <c r="RV862" s="9"/>
      <c r="RW862" s="9"/>
      <c r="RX862" s="9"/>
      <c r="RY862" s="9"/>
      <c r="RZ862" s="9"/>
      <c r="SA862" s="9"/>
      <c r="SB862" s="9"/>
      <c r="SC862" s="9"/>
      <c r="SD862" s="9"/>
      <c r="SE862" s="9"/>
      <c r="SF862" s="9"/>
      <c r="SG862" s="9"/>
      <c r="SH862" s="9"/>
      <c r="SI862" s="9"/>
      <c r="SJ862" s="9"/>
      <c r="SK862" s="9"/>
      <c r="SL862" s="9"/>
      <c r="SM862" s="9"/>
      <c r="SN862" s="9"/>
      <c r="SO862" s="9"/>
      <c r="SP862" s="9"/>
      <c r="SQ862" s="9"/>
      <c r="SR862" s="9"/>
      <c r="SS862" s="9"/>
      <c r="ST862" s="9"/>
      <c r="SU862" s="9"/>
      <c r="SV862" s="9"/>
      <c r="SW862" s="9"/>
      <c r="SX862" s="9"/>
      <c r="SY862" s="9"/>
      <c r="SZ862" s="9"/>
      <c r="TA862" s="9"/>
      <c r="TB862" s="9"/>
      <c r="TC862" s="9"/>
      <c r="TD862" s="9"/>
      <c r="TE862" s="9"/>
      <c r="TF862" s="9"/>
      <c r="TG862" s="9"/>
      <c r="TH862" s="9"/>
      <c r="TI862" s="9"/>
      <c r="TJ862" s="9"/>
      <c r="TK862" s="9"/>
      <c r="TL862" s="9"/>
      <c r="TM862" s="9"/>
      <c r="TN862" s="9"/>
      <c r="TO862" s="9"/>
      <c r="TP862" s="9"/>
      <c r="TQ862" s="9"/>
      <c r="TR862" s="9"/>
      <c r="TS862" s="9"/>
      <c r="TT862" s="9"/>
      <c r="TU862" s="9"/>
      <c r="TV862" s="9"/>
      <c r="TW862" s="9"/>
      <c r="TX862" s="9"/>
      <c r="TY862" s="9"/>
      <c r="TZ862" s="9"/>
      <c r="UA862" s="9"/>
      <c r="UB862" s="9"/>
      <c r="UC862" s="9"/>
      <c r="UD862" s="9"/>
      <c r="UE862" s="9"/>
      <c r="UF862" s="9"/>
      <c r="UG862" s="9"/>
      <c r="UH862" s="9"/>
      <c r="UI862" s="9"/>
      <c r="UJ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  <c r="HO863" s="9"/>
      <c r="HP863" s="9"/>
      <c r="HQ863" s="9"/>
      <c r="HR863" s="9"/>
      <c r="HS863" s="9"/>
      <c r="HT863" s="9"/>
      <c r="HU863" s="9"/>
      <c r="HV863" s="9"/>
      <c r="HW863" s="9"/>
      <c r="HX863" s="9"/>
      <c r="HY863" s="9"/>
      <c r="HZ863" s="9"/>
      <c r="IA863" s="9"/>
      <c r="IB863" s="9"/>
      <c r="IC863" s="9"/>
      <c r="ID863" s="9"/>
      <c r="IE863" s="9"/>
      <c r="IF863" s="9"/>
      <c r="IG863" s="9"/>
      <c r="IH863" s="9"/>
      <c r="II863" s="9"/>
      <c r="IJ863" s="9"/>
      <c r="IK863" s="9"/>
      <c r="IL863" s="9"/>
      <c r="IM863" s="9"/>
      <c r="IN863" s="9"/>
      <c r="IO863" s="9"/>
      <c r="IP863" s="9"/>
      <c r="IQ863" s="9"/>
      <c r="IR863" s="9"/>
      <c r="IS863" s="9"/>
      <c r="IT863" s="9"/>
      <c r="IU863" s="9"/>
      <c r="IV863" s="9"/>
      <c r="IW863" s="9"/>
      <c r="IX863" s="9"/>
      <c r="IY863" s="9"/>
      <c r="IZ863" s="9"/>
      <c r="JA863" s="9"/>
      <c r="JB863" s="9"/>
      <c r="JC863" s="9"/>
      <c r="JD863" s="9"/>
      <c r="JE863" s="9"/>
      <c r="JF863" s="9"/>
      <c r="JG863" s="9"/>
      <c r="JH863" s="9"/>
      <c r="JI863" s="9"/>
      <c r="JJ863" s="9"/>
      <c r="JK863" s="9"/>
      <c r="JL863" s="9"/>
      <c r="JM863" s="9"/>
      <c r="JN863" s="9"/>
      <c r="JO863" s="9"/>
      <c r="JP863" s="9"/>
      <c r="JQ863" s="9"/>
      <c r="JR863" s="9"/>
      <c r="JS863" s="9"/>
      <c r="JT863" s="9"/>
      <c r="JU863" s="9"/>
      <c r="JV863" s="9"/>
      <c r="JW863" s="9"/>
      <c r="JX863" s="9"/>
      <c r="JY863" s="9"/>
      <c r="JZ863" s="9"/>
      <c r="KA863" s="9"/>
      <c r="KB863" s="9"/>
      <c r="KC863" s="9"/>
      <c r="KD863" s="9"/>
      <c r="KE863" s="9"/>
      <c r="KF863" s="9"/>
      <c r="KG863" s="9"/>
      <c r="KH863" s="9"/>
      <c r="KI863" s="9"/>
      <c r="KJ863" s="9"/>
      <c r="KK863" s="9"/>
      <c r="KL863" s="9"/>
      <c r="KM863" s="9"/>
      <c r="KN863" s="9"/>
      <c r="KO863" s="9"/>
      <c r="KP863" s="9"/>
      <c r="KQ863" s="9"/>
      <c r="KR863" s="9"/>
      <c r="KS863" s="9"/>
      <c r="KT863" s="9"/>
      <c r="KU863" s="9"/>
      <c r="KV863" s="9"/>
      <c r="KW863" s="9"/>
      <c r="KX863" s="9"/>
      <c r="KY863" s="9"/>
      <c r="KZ863" s="9"/>
      <c r="LA863" s="9"/>
      <c r="LB863" s="9"/>
      <c r="LC863" s="9"/>
      <c r="LD863" s="9"/>
      <c r="LE863" s="9"/>
      <c r="LF863" s="9"/>
      <c r="LG863" s="9"/>
      <c r="LH863" s="9"/>
      <c r="LI863" s="9"/>
      <c r="LJ863" s="9"/>
      <c r="LK863" s="9"/>
      <c r="LL863" s="9"/>
      <c r="LM863" s="9"/>
      <c r="LN863" s="9"/>
      <c r="LO863" s="9"/>
      <c r="LP863" s="9"/>
      <c r="LQ863" s="9"/>
      <c r="LR863" s="9"/>
      <c r="LS863" s="9"/>
      <c r="LT863" s="9"/>
      <c r="LU863" s="9"/>
      <c r="LV863" s="9"/>
      <c r="LW863" s="9"/>
      <c r="LX863" s="9"/>
      <c r="LY863" s="9"/>
      <c r="LZ863" s="9"/>
      <c r="MA863" s="9"/>
      <c r="MB863" s="9"/>
      <c r="MC863" s="9"/>
      <c r="MD863" s="9"/>
      <c r="ME863" s="9"/>
      <c r="MF863" s="9"/>
      <c r="MG863" s="9"/>
      <c r="MH863" s="9"/>
      <c r="MI863" s="9"/>
      <c r="MJ863" s="9"/>
      <c r="MK863" s="9"/>
      <c r="ML863" s="9"/>
      <c r="MM863" s="9"/>
      <c r="MN863" s="9"/>
      <c r="MO863" s="9"/>
      <c r="MP863" s="9"/>
      <c r="MQ863" s="9"/>
      <c r="MR863" s="9"/>
      <c r="MS863" s="9"/>
      <c r="MT863" s="9"/>
      <c r="MU863" s="9"/>
      <c r="MV863" s="9"/>
      <c r="MW863" s="9"/>
      <c r="MX863" s="9"/>
      <c r="MY863" s="9"/>
      <c r="MZ863" s="9"/>
      <c r="NA863" s="9"/>
      <c r="NB863" s="9"/>
      <c r="NC863" s="9"/>
      <c r="ND863" s="9"/>
      <c r="NE863" s="9"/>
      <c r="NF863" s="9"/>
      <c r="NG863" s="9"/>
      <c r="NH863" s="9"/>
      <c r="NI863" s="9"/>
      <c r="NJ863" s="9"/>
      <c r="NK863" s="9"/>
      <c r="NL863" s="9"/>
      <c r="NM863" s="9"/>
      <c r="NN863" s="9"/>
      <c r="NO863" s="9"/>
      <c r="NP863" s="9"/>
      <c r="NQ863" s="9"/>
      <c r="NR863" s="9"/>
      <c r="NS863" s="9"/>
      <c r="NT863" s="9"/>
      <c r="NU863" s="9"/>
      <c r="NV863" s="9"/>
      <c r="NW863" s="9"/>
      <c r="NX863" s="9"/>
      <c r="NY863" s="9"/>
      <c r="NZ863" s="9"/>
      <c r="OA863" s="9"/>
      <c r="OB863" s="9"/>
      <c r="OC863" s="9"/>
      <c r="OD863" s="9"/>
      <c r="OE863" s="9"/>
      <c r="OF863" s="9"/>
      <c r="OG863" s="9"/>
      <c r="OH863" s="9"/>
      <c r="OI863" s="9"/>
      <c r="OJ863" s="9"/>
      <c r="OK863" s="9"/>
      <c r="OL863" s="9"/>
      <c r="OM863" s="9"/>
      <c r="ON863" s="9"/>
      <c r="OO863" s="9"/>
      <c r="OP863" s="9"/>
      <c r="OQ863" s="9"/>
      <c r="OR863" s="9"/>
      <c r="OS863" s="9"/>
      <c r="OT863" s="9"/>
      <c r="OU863" s="9"/>
      <c r="OV863" s="9"/>
      <c r="OW863" s="9"/>
      <c r="OX863" s="9"/>
      <c r="OY863" s="9"/>
      <c r="OZ863" s="9"/>
      <c r="PA863" s="9"/>
      <c r="PB863" s="9"/>
      <c r="PC863" s="9"/>
      <c r="PD863" s="9"/>
      <c r="PE863" s="9"/>
      <c r="PF863" s="9"/>
      <c r="PG863" s="9"/>
      <c r="PH863" s="9"/>
      <c r="PI863" s="9"/>
      <c r="PJ863" s="9"/>
      <c r="PK863" s="9"/>
      <c r="PL863" s="9"/>
      <c r="PM863" s="9"/>
      <c r="PN863" s="9"/>
      <c r="PO863" s="9"/>
      <c r="PP863" s="9"/>
      <c r="PQ863" s="9"/>
      <c r="PR863" s="9"/>
      <c r="PS863" s="9"/>
      <c r="PT863" s="9"/>
      <c r="PU863" s="9"/>
      <c r="PV863" s="9"/>
      <c r="PW863" s="9"/>
      <c r="PX863" s="9"/>
      <c r="PY863" s="9"/>
      <c r="PZ863" s="9"/>
      <c r="QA863" s="9"/>
      <c r="QB863" s="9"/>
      <c r="QC863" s="9"/>
      <c r="QD863" s="9"/>
      <c r="QE863" s="9"/>
      <c r="QF863" s="9"/>
      <c r="QG863" s="9"/>
      <c r="QH863" s="9"/>
      <c r="QI863" s="9"/>
      <c r="QJ863" s="9"/>
      <c r="QK863" s="9"/>
      <c r="QL863" s="9"/>
      <c r="QM863" s="9"/>
      <c r="QN863" s="9"/>
      <c r="QO863" s="9"/>
      <c r="QP863" s="9"/>
      <c r="QQ863" s="9"/>
      <c r="QR863" s="9"/>
      <c r="QS863" s="9"/>
      <c r="QT863" s="9"/>
      <c r="QU863" s="9"/>
      <c r="QV863" s="9"/>
      <c r="QW863" s="9"/>
      <c r="QX863" s="9"/>
      <c r="QY863" s="9"/>
      <c r="QZ863" s="9"/>
      <c r="RA863" s="9"/>
      <c r="RB863" s="9"/>
      <c r="RC863" s="9"/>
      <c r="RD863" s="9"/>
      <c r="RE863" s="9"/>
      <c r="RF863" s="9"/>
      <c r="RG863" s="9"/>
      <c r="RH863" s="9"/>
      <c r="RI863" s="9"/>
      <c r="RJ863" s="9"/>
      <c r="RK863" s="9"/>
      <c r="RL863" s="9"/>
      <c r="RM863" s="9"/>
      <c r="RN863" s="9"/>
      <c r="RO863" s="9"/>
      <c r="RP863" s="9"/>
      <c r="RQ863" s="9"/>
      <c r="RR863" s="9"/>
      <c r="RS863" s="9"/>
      <c r="RT863" s="9"/>
      <c r="RU863" s="9"/>
      <c r="RV863" s="9"/>
      <c r="RW863" s="9"/>
      <c r="RX863" s="9"/>
      <c r="RY863" s="9"/>
      <c r="RZ863" s="9"/>
      <c r="SA863" s="9"/>
      <c r="SB863" s="9"/>
      <c r="SC863" s="9"/>
      <c r="SD863" s="9"/>
      <c r="SE863" s="9"/>
      <c r="SF863" s="9"/>
      <c r="SG863" s="9"/>
      <c r="SH863" s="9"/>
      <c r="SI863" s="9"/>
      <c r="SJ863" s="9"/>
      <c r="SK863" s="9"/>
      <c r="SL863" s="9"/>
      <c r="SM863" s="9"/>
      <c r="SN863" s="9"/>
      <c r="SO863" s="9"/>
      <c r="SP863" s="9"/>
      <c r="SQ863" s="9"/>
      <c r="SR863" s="9"/>
      <c r="SS863" s="9"/>
      <c r="ST863" s="9"/>
      <c r="SU863" s="9"/>
      <c r="SV863" s="9"/>
      <c r="SW863" s="9"/>
      <c r="SX863" s="9"/>
      <c r="SY863" s="9"/>
      <c r="SZ863" s="9"/>
      <c r="TA863" s="9"/>
      <c r="TB863" s="9"/>
      <c r="TC863" s="9"/>
      <c r="TD863" s="9"/>
      <c r="TE863" s="9"/>
      <c r="TF863" s="9"/>
      <c r="TG863" s="9"/>
      <c r="TH863" s="9"/>
      <c r="TI863" s="9"/>
      <c r="TJ863" s="9"/>
      <c r="TK863" s="9"/>
      <c r="TL863" s="9"/>
      <c r="TM863" s="9"/>
      <c r="TN863" s="9"/>
      <c r="TO863" s="9"/>
      <c r="TP863" s="9"/>
      <c r="TQ863" s="9"/>
      <c r="TR863" s="9"/>
      <c r="TS863" s="9"/>
      <c r="TT863" s="9"/>
      <c r="TU863" s="9"/>
      <c r="TV863" s="9"/>
      <c r="TW863" s="9"/>
      <c r="TX863" s="9"/>
      <c r="TY863" s="9"/>
      <c r="TZ863" s="9"/>
      <c r="UA863" s="9"/>
      <c r="UB863" s="9"/>
      <c r="UC863" s="9"/>
      <c r="UD863" s="9"/>
      <c r="UE863" s="9"/>
      <c r="UF863" s="9"/>
      <c r="UG863" s="9"/>
      <c r="UH863" s="9"/>
      <c r="UI863" s="9"/>
      <c r="UJ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9"/>
      <c r="IA864" s="9"/>
      <c r="IB864" s="9"/>
      <c r="IC864" s="9"/>
      <c r="ID864" s="9"/>
      <c r="IE864" s="9"/>
      <c r="IF864" s="9"/>
      <c r="IG864" s="9"/>
      <c r="IH864" s="9"/>
      <c r="II864" s="9"/>
      <c r="IJ864" s="9"/>
      <c r="IK864" s="9"/>
      <c r="IL864" s="9"/>
      <c r="IM864" s="9"/>
      <c r="IN864" s="9"/>
      <c r="IO864" s="9"/>
      <c r="IP864" s="9"/>
      <c r="IQ864" s="9"/>
      <c r="IR864" s="9"/>
      <c r="IS864" s="9"/>
      <c r="IT864" s="9"/>
      <c r="IU864" s="9"/>
      <c r="IV864" s="9"/>
      <c r="IW864" s="9"/>
      <c r="IX864" s="9"/>
      <c r="IY864" s="9"/>
      <c r="IZ864" s="9"/>
      <c r="JA864" s="9"/>
      <c r="JB864" s="9"/>
      <c r="JC864" s="9"/>
      <c r="JD864" s="9"/>
      <c r="JE864" s="9"/>
      <c r="JF864" s="9"/>
      <c r="JG864" s="9"/>
      <c r="JH864" s="9"/>
      <c r="JI864" s="9"/>
      <c r="JJ864" s="9"/>
      <c r="JK864" s="9"/>
      <c r="JL864" s="9"/>
      <c r="JM864" s="9"/>
      <c r="JN864" s="9"/>
      <c r="JO864" s="9"/>
      <c r="JP864" s="9"/>
      <c r="JQ864" s="9"/>
      <c r="JR864" s="9"/>
      <c r="JS864" s="9"/>
      <c r="JT864" s="9"/>
      <c r="JU864" s="9"/>
      <c r="JV864" s="9"/>
      <c r="JW864" s="9"/>
      <c r="JX864" s="9"/>
      <c r="JY864" s="9"/>
      <c r="JZ864" s="9"/>
      <c r="KA864" s="9"/>
      <c r="KB864" s="9"/>
      <c r="KC864" s="9"/>
      <c r="KD864" s="9"/>
      <c r="KE864" s="9"/>
      <c r="KF864" s="9"/>
      <c r="KG864" s="9"/>
      <c r="KH864" s="9"/>
      <c r="KI864" s="9"/>
      <c r="KJ864" s="9"/>
      <c r="KK864" s="9"/>
      <c r="KL864" s="9"/>
      <c r="KM864" s="9"/>
      <c r="KN864" s="9"/>
      <c r="KO864" s="9"/>
      <c r="KP864" s="9"/>
      <c r="KQ864" s="9"/>
      <c r="KR864" s="9"/>
      <c r="KS864" s="9"/>
      <c r="KT864" s="9"/>
      <c r="KU864" s="9"/>
      <c r="KV864" s="9"/>
      <c r="KW864" s="9"/>
      <c r="KX864" s="9"/>
      <c r="KY864" s="9"/>
      <c r="KZ864" s="9"/>
      <c r="LA864" s="9"/>
      <c r="LB864" s="9"/>
      <c r="LC864" s="9"/>
      <c r="LD864" s="9"/>
      <c r="LE864" s="9"/>
      <c r="LF864" s="9"/>
      <c r="LG864" s="9"/>
      <c r="LH864" s="9"/>
      <c r="LI864" s="9"/>
      <c r="LJ864" s="9"/>
      <c r="LK864" s="9"/>
      <c r="LL864" s="9"/>
      <c r="LM864" s="9"/>
      <c r="LN864" s="9"/>
      <c r="LO864" s="9"/>
      <c r="LP864" s="9"/>
      <c r="LQ864" s="9"/>
      <c r="LR864" s="9"/>
      <c r="LS864" s="9"/>
      <c r="LT864" s="9"/>
      <c r="LU864" s="9"/>
      <c r="LV864" s="9"/>
      <c r="LW864" s="9"/>
      <c r="LX864" s="9"/>
      <c r="LY864" s="9"/>
      <c r="LZ864" s="9"/>
      <c r="MA864" s="9"/>
      <c r="MB864" s="9"/>
      <c r="MC864" s="9"/>
      <c r="MD864" s="9"/>
      <c r="ME864" s="9"/>
      <c r="MF864" s="9"/>
      <c r="MG864" s="9"/>
      <c r="MH864" s="9"/>
      <c r="MI864" s="9"/>
      <c r="MJ864" s="9"/>
      <c r="MK864" s="9"/>
      <c r="ML864" s="9"/>
      <c r="MM864" s="9"/>
      <c r="MN864" s="9"/>
      <c r="MO864" s="9"/>
      <c r="MP864" s="9"/>
      <c r="MQ864" s="9"/>
      <c r="MR864" s="9"/>
      <c r="MS864" s="9"/>
      <c r="MT864" s="9"/>
      <c r="MU864" s="9"/>
      <c r="MV864" s="9"/>
      <c r="MW864" s="9"/>
      <c r="MX864" s="9"/>
      <c r="MY864" s="9"/>
      <c r="MZ864" s="9"/>
      <c r="NA864" s="9"/>
      <c r="NB864" s="9"/>
      <c r="NC864" s="9"/>
      <c r="ND864" s="9"/>
      <c r="NE864" s="9"/>
      <c r="NF864" s="9"/>
      <c r="NG864" s="9"/>
      <c r="NH864" s="9"/>
      <c r="NI864" s="9"/>
      <c r="NJ864" s="9"/>
      <c r="NK864" s="9"/>
      <c r="NL864" s="9"/>
      <c r="NM864" s="9"/>
      <c r="NN864" s="9"/>
      <c r="NO864" s="9"/>
      <c r="NP864" s="9"/>
      <c r="NQ864" s="9"/>
      <c r="NR864" s="9"/>
      <c r="NS864" s="9"/>
      <c r="NT864" s="9"/>
      <c r="NU864" s="9"/>
      <c r="NV864" s="9"/>
      <c r="NW864" s="9"/>
      <c r="NX864" s="9"/>
      <c r="NY864" s="9"/>
      <c r="NZ864" s="9"/>
      <c r="OA864" s="9"/>
      <c r="OB864" s="9"/>
      <c r="OC864" s="9"/>
      <c r="OD864" s="9"/>
      <c r="OE864" s="9"/>
      <c r="OF864" s="9"/>
      <c r="OG864" s="9"/>
      <c r="OH864" s="9"/>
      <c r="OI864" s="9"/>
      <c r="OJ864" s="9"/>
      <c r="OK864" s="9"/>
      <c r="OL864" s="9"/>
      <c r="OM864" s="9"/>
      <c r="ON864" s="9"/>
      <c r="OO864" s="9"/>
      <c r="OP864" s="9"/>
      <c r="OQ864" s="9"/>
      <c r="OR864" s="9"/>
      <c r="OS864" s="9"/>
      <c r="OT864" s="9"/>
      <c r="OU864" s="9"/>
      <c r="OV864" s="9"/>
      <c r="OW864" s="9"/>
      <c r="OX864" s="9"/>
      <c r="OY864" s="9"/>
      <c r="OZ864" s="9"/>
      <c r="PA864" s="9"/>
      <c r="PB864" s="9"/>
      <c r="PC864" s="9"/>
      <c r="PD864" s="9"/>
      <c r="PE864" s="9"/>
      <c r="PF864" s="9"/>
      <c r="PG864" s="9"/>
      <c r="PH864" s="9"/>
      <c r="PI864" s="9"/>
      <c r="PJ864" s="9"/>
      <c r="PK864" s="9"/>
      <c r="PL864" s="9"/>
      <c r="PM864" s="9"/>
      <c r="PN864" s="9"/>
      <c r="PO864" s="9"/>
      <c r="PP864" s="9"/>
      <c r="PQ864" s="9"/>
      <c r="PR864" s="9"/>
      <c r="PS864" s="9"/>
      <c r="PT864" s="9"/>
      <c r="PU864" s="9"/>
      <c r="PV864" s="9"/>
      <c r="PW864" s="9"/>
      <c r="PX864" s="9"/>
      <c r="PY864" s="9"/>
      <c r="PZ864" s="9"/>
      <c r="QA864" s="9"/>
      <c r="QB864" s="9"/>
      <c r="QC864" s="9"/>
      <c r="QD864" s="9"/>
      <c r="QE864" s="9"/>
      <c r="QF864" s="9"/>
      <c r="QG864" s="9"/>
      <c r="QH864" s="9"/>
      <c r="QI864" s="9"/>
      <c r="QJ864" s="9"/>
      <c r="QK864" s="9"/>
      <c r="QL864" s="9"/>
      <c r="QM864" s="9"/>
      <c r="QN864" s="9"/>
      <c r="QO864" s="9"/>
      <c r="QP864" s="9"/>
      <c r="QQ864" s="9"/>
      <c r="QR864" s="9"/>
      <c r="QS864" s="9"/>
      <c r="QT864" s="9"/>
      <c r="QU864" s="9"/>
      <c r="QV864" s="9"/>
      <c r="QW864" s="9"/>
      <c r="QX864" s="9"/>
      <c r="QY864" s="9"/>
      <c r="QZ864" s="9"/>
      <c r="RA864" s="9"/>
      <c r="RB864" s="9"/>
      <c r="RC864" s="9"/>
      <c r="RD864" s="9"/>
      <c r="RE864" s="9"/>
      <c r="RF864" s="9"/>
      <c r="RG864" s="9"/>
      <c r="RH864" s="9"/>
      <c r="RI864" s="9"/>
      <c r="RJ864" s="9"/>
      <c r="RK864" s="9"/>
      <c r="RL864" s="9"/>
      <c r="RM864" s="9"/>
      <c r="RN864" s="9"/>
      <c r="RO864" s="9"/>
      <c r="RP864" s="9"/>
      <c r="RQ864" s="9"/>
      <c r="RR864" s="9"/>
      <c r="RS864" s="9"/>
      <c r="RT864" s="9"/>
      <c r="RU864" s="9"/>
      <c r="RV864" s="9"/>
      <c r="RW864" s="9"/>
      <c r="RX864" s="9"/>
      <c r="RY864" s="9"/>
      <c r="RZ864" s="9"/>
      <c r="SA864" s="9"/>
      <c r="SB864" s="9"/>
      <c r="SC864" s="9"/>
      <c r="SD864" s="9"/>
      <c r="SE864" s="9"/>
      <c r="SF864" s="9"/>
      <c r="SG864" s="9"/>
      <c r="SH864" s="9"/>
      <c r="SI864" s="9"/>
      <c r="SJ864" s="9"/>
      <c r="SK864" s="9"/>
      <c r="SL864" s="9"/>
      <c r="SM864" s="9"/>
      <c r="SN864" s="9"/>
      <c r="SO864" s="9"/>
      <c r="SP864" s="9"/>
      <c r="SQ864" s="9"/>
      <c r="SR864" s="9"/>
      <c r="SS864" s="9"/>
      <c r="ST864" s="9"/>
      <c r="SU864" s="9"/>
      <c r="SV864" s="9"/>
      <c r="SW864" s="9"/>
      <c r="SX864" s="9"/>
      <c r="SY864" s="9"/>
      <c r="SZ864" s="9"/>
      <c r="TA864" s="9"/>
      <c r="TB864" s="9"/>
      <c r="TC864" s="9"/>
      <c r="TD864" s="9"/>
      <c r="TE864" s="9"/>
      <c r="TF864" s="9"/>
      <c r="TG864" s="9"/>
      <c r="TH864" s="9"/>
      <c r="TI864" s="9"/>
      <c r="TJ864" s="9"/>
      <c r="TK864" s="9"/>
      <c r="TL864" s="9"/>
      <c r="TM864" s="9"/>
      <c r="TN864" s="9"/>
      <c r="TO864" s="9"/>
      <c r="TP864" s="9"/>
      <c r="TQ864" s="9"/>
      <c r="TR864" s="9"/>
      <c r="TS864" s="9"/>
      <c r="TT864" s="9"/>
      <c r="TU864" s="9"/>
      <c r="TV864" s="9"/>
      <c r="TW864" s="9"/>
      <c r="TX864" s="9"/>
      <c r="TY864" s="9"/>
      <c r="TZ864" s="9"/>
      <c r="UA864" s="9"/>
      <c r="UB864" s="9"/>
      <c r="UC864" s="9"/>
      <c r="UD864" s="9"/>
      <c r="UE864" s="9"/>
      <c r="UF864" s="9"/>
      <c r="UG864" s="9"/>
      <c r="UH864" s="9"/>
      <c r="UI864" s="9"/>
      <c r="UJ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  <c r="GA865" s="9"/>
      <c r="GB865" s="9"/>
      <c r="GC865" s="9"/>
      <c r="GD865" s="9"/>
      <c r="GE865" s="9"/>
      <c r="GF865" s="9"/>
      <c r="GG865" s="9"/>
      <c r="GH865" s="9"/>
      <c r="GI865" s="9"/>
      <c r="GJ865" s="9"/>
      <c r="GK865" s="9"/>
      <c r="GL865" s="9"/>
      <c r="GM865" s="9"/>
      <c r="GN865" s="9"/>
      <c r="GO865" s="9"/>
      <c r="GP865" s="9"/>
      <c r="GQ865" s="9"/>
      <c r="GR865" s="9"/>
      <c r="GS865" s="9"/>
      <c r="GT865" s="9"/>
      <c r="GU865" s="9"/>
      <c r="GV865" s="9"/>
      <c r="GW865" s="9"/>
      <c r="GX865" s="9"/>
      <c r="GY865" s="9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  <c r="HO865" s="9"/>
      <c r="HP865" s="9"/>
      <c r="HQ865" s="9"/>
      <c r="HR865" s="9"/>
      <c r="HS865" s="9"/>
      <c r="HT865" s="9"/>
      <c r="HU865" s="9"/>
      <c r="HV865" s="9"/>
      <c r="HW865" s="9"/>
      <c r="HX865" s="9"/>
      <c r="HY865" s="9"/>
      <c r="HZ865" s="9"/>
      <c r="IA865" s="9"/>
      <c r="IB865" s="9"/>
      <c r="IC865" s="9"/>
      <c r="ID865" s="9"/>
      <c r="IE865" s="9"/>
      <c r="IF865" s="9"/>
      <c r="IG865" s="9"/>
      <c r="IH865" s="9"/>
      <c r="II865" s="9"/>
      <c r="IJ865" s="9"/>
      <c r="IK865" s="9"/>
      <c r="IL865" s="9"/>
      <c r="IM865" s="9"/>
      <c r="IN865" s="9"/>
      <c r="IO865" s="9"/>
      <c r="IP865" s="9"/>
      <c r="IQ865" s="9"/>
      <c r="IR865" s="9"/>
      <c r="IS865" s="9"/>
      <c r="IT865" s="9"/>
      <c r="IU865" s="9"/>
      <c r="IV865" s="9"/>
      <c r="IW865" s="9"/>
      <c r="IX865" s="9"/>
      <c r="IY865" s="9"/>
      <c r="IZ865" s="9"/>
      <c r="JA865" s="9"/>
      <c r="JB865" s="9"/>
      <c r="JC865" s="9"/>
      <c r="JD865" s="9"/>
      <c r="JE865" s="9"/>
      <c r="JF865" s="9"/>
      <c r="JG865" s="9"/>
      <c r="JH865" s="9"/>
      <c r="JI865" s="9"/>
      <c r="JJ865" s="9"/>
      <c r="JK865" s="9"/>
      <c r="JL865" s="9"/>
      <c r="JM865" s="9"/>
      <c r="JN865" s="9"/>
      <c r="JO865" s="9"/>
      <c r="JP865" s="9"/>
      <c r="JQ865" s="9"/>
      <c r="JR865" s="9"/>
      <c r="JS865" s="9"/>
      <c r="JT865" s="9"/>
      <c r="JU865" s="9"/>
      <c r="JV865" s="9"/>
      <c r="JW865" s="9"/>
      <c r="JX865" s="9"/>
      <c r="JY865" s="9"/>
      <c r="JZ865" s="9"/>
      <c r="KA865" s="9"/>
      <c r="KB865" s="9"/>
      <c r="KC865" s="9"/>
      <c r="KD865" s="9"/>
      <c r="KE865" s="9"/>
      <c r="KF865" s="9"/>
      <c r="KG865" s="9"/>
      <c r="KH865" s="9"/>
      <c r="KI865" s="9"/>
      <c r="KJ865" s="9"/>
      <c r="KK865" s="9"/>
      <c r="KL865" s="9"/>
      <c r="KM865" s="9"/>
      <c r="KN865" s="9"/>
      <c r="KO865" s="9"/>
      <c r="KP865" s="9"/>
      <c r="KQ865" s="9"/>
      <c r="KR865" s="9"/>
      <c r="KS865" s="9"/>
      <c r="KT865" s="9"/>
      <c r="KU865" s="9"/>
      <c r="KV865" s="9"/>
      <c r="KW865" s="9"/>
      <c r="KX865" s="9"/>
      <c r="KY865" s="9"/>
      <c r="KZ865" s="9"/>
      <c r="LA865" s="9"/>
      <c r="LB865" s="9"/>
      <c r="LC865" s="9"/>
      <c r="LD865" s="9"/>
      <c r="LE865" s="9"/>
      <c r="LF865" s="9"/>
      <c r="LG865" s="9"/>
      <c r="LH865" s="9"/>
      <c r="LI865" s="9"/>
      <c r="LJ865" s="9"/>
      <c r="LK865" s="9"/>
      <c r="LL865" s="9"/>
      <c r="LM865" s="9"/>
      <c r="LN865" s="9"/>
      <c r="LO865" s="9"/>
      <c r="LP865" s="9"/>
      <c r="LQ865" s="9"/>
      <c r="LR865" s="9"/>
      <c r="LS865" s="9"/>
      <c r="LT865" s="9"/>
      <c r="LU865" s="9"/>
      <c r="LV865" s="9"/>
      <c r="LW865" s="9"/>
      <c r="LX865" s="9"/>
      <c r="LY865" s="9"/>
      <c r="LZ865" s="9"/>
      <c r="MA865" s="9"/>
      <c r="MB865" s="9"/>
      <c r="MC865" s="9"/>
      <c r="MD865" s="9"/>
      <c r="ME865" s="9"/>
      <c r="MF865" s="9"/>
      <c r="MG865" s="9"/>
      <c r="MH865" s="9"/>
      <c r="MI865" s="9"/>
      <c r="MJ865" s="9"/>
      <c r="MK865" s="9"/>
      <c r="ML865" s="9"/>
      <c r="MM865" s="9"/>
      <c r="MN865" s="9"/>
      <c r="MO865" s="9"/>
      <c r="MP865" s="9"/>
      <c r="MQ865" s="9"/>
      <c r="MR865" s="9"/>
      <c r="MS865" s="9"/>
      <c r="MT865" s="9"/>
      <c r="MU865" s="9"/>
      <c r="MV865" s="9"/>
      <c r="MW865" s="9"/>
      <c r="MX865" s="9"/>
      <c r="MY865" s="9"/>
      <c r="MZ865" s="9"/>
      <c r="NA865" s="9"/>
      <c r="NB865" s="9"/>
      <c r="NC865" s="9"/>
      <c r="ND865" s="9"/>
      <c r="NE865" s="9"/>
      <c r="NF865" s="9"/>
      <c r="NG865" s="9"/>
      <c r="NH865" s="9"/>
      <c r="NI865" s="9"/>
      <c r="NJ865" s="9"/>
      <c r="NK865" s="9"/>
      <c r="NL865" s="9"/>
      <c r="NM865" s="9"/>
      <c r="NN865" s="9"/>
      <c r="NO865" s="9"/>
      <c r="NP865" s="9"/>
      <c r="NQ865" s="9"/>
      <c r="NR865" s="9"/>
      <c r="NS865" s="9"/>
      <c r="NT865" s="9"/>
      <c r="NU865" s="9"/>
      <c r="NV865" s="9"/>
      <c r="NW865" s="9"/>
      <c r="NX865" s="9"/>
      <c r="NY865" s="9"/>
      <c r="NZ865" s="9"/>
      <c r="OA865" s="9"/>
      <c r="OB865" s="9"/>
      <c r="OC865" s="9"/>
      <c r="OD865" s="9"/>
      <c r="OE865" s="9"/>
      <c r="OF865" s="9"/>
      <c r="OG865" s="9"/>
      <c r="OH865" s="9"/>
      <c r="OI865" s="9"/>
      <c r="OJ865" s="9"/>
      <c r="OK865" s="9"/>
      <c r="OL865" s="9"/>
      <c r="OM865" s="9"/>
      <c r="ON865" s="9"/>
      <c r="OO865" s="9"/>
      <c r="OP865" s="9"/>
      <c r="OQ865" s="9"/>
      <c r="OR865" s="9"/>
      <c r="OS865" s="9"/>
      <c r="OT865" s="9"/>
      <c r="OU865" s="9"/>
      <c r="OV865" s="9"/>
      <c r="OW865" s="9"/>
      <c r="OX865" s="9"/>
      <c r="OY865" s="9"/>
      <c r="OZ865" s="9"/>
      <c r="PA865" s="9"/>
      <c r="PB865" s="9"/>
      <c r="PC865" s="9"/>
      <c r="PD865" s="9"/>
      <c r="PE865" s="9"/>
      <c r="PF865" s="9"/>
      <c r="PG865" s="9"/>
      <c r="PH865" s="9"/>
      <c r="PI865" s="9"/>
      <c r="PJ865" s="9"/>
      <c r="PK865" s="9"/>
      <c r="PL865" s="9"/>
      <c r="PM865" s="9"/>
      <c r="PN865" s="9"/>
      <c r="PO865" s="9"/>
      <c r="PP865" s="9"/>
      <c r="PQ865" s="9"/>
      <c r="PR865" s="9"/>
      <c r="PS865" s="9"/>
      <c r="PT865" s="9"/>
      <c r="PU865" s="9"/>
      <c r="PV865" s="9"/>
      <c r="PW865" s="9"/>
      <c r="PX865" s="9"/>
      <c r="PY865" s="9"/>
      <c r="PZ865" s="9"/>
      <c r="QA865" s="9"/>
      <c r="QB865" s="9"/>
      <c r="QC865" s="9"/>
      <c r="QD865" s="9"/>
      <c r="QE865" s="9"/>
      <c r="QF865" s="9"/>
      <c r="QG865" s="9"/>
      <c r="QH865" s="9"/>
      <c r="QI865" s="9"/>
      <c r="QJ865" s="9"/>
      <c r="QK865" s="9"/>
      <c r="QL865" s="9"/>
      <c r="QM865" s="9"/>
      <c r="QN865" s="9"/>
      <c r="QO865" s="9"/>
      <c r="QP865" s="9"/>
      <c r="QQ865" s="9"/>
      <c r="QR865" s="9"/>
      <c r="QS865" s="9"/>
      <c r="QT865" s="9"/>
      <c r="QU865" s="9"/>
      <c r="QV865" s="9"/>
      <c r="QW865" s="9"/>
      <c r="QX865" s="9"/>
      <c r="QY865" s="9"/>
      <c r="QZ865" s="9"/>
      <c r="RA865" s="9"/>
      <c r="RB865" s="9"/>
      <c r="RC865" s="9"/>
      <c r="RD865" s="9"/>
      <c r="RE865" s="9"/>
      <c r="RF865" s="9"/>
      <c r="RG865" s="9"/>
      <c r="RH865" s="9"/>
      <c r="RI865" s="9"/>
      <c r="RJ865" s="9"/>
      <c r="RK865" s="9"/>
      <c r="RL865" s="9"/>
      <c r="RM865" s="9"/>
      <c r="RN865" s="9"/>
      <c r="RO865" s="9"/>
      <c r="RP865" s="9"/>
      <c r="RQ865" s="9"/>
      <c r="RR865" s="9"/>
      <c r="RS865" s="9"/>
      <c r="RT865" s="9"/>
      <c r="RU865" s="9"/>
      <c r="RV865" s="9"/>
      <c r="RW865" s="9"/>
      <c r="RX865" s="9"/>
      <c r="RY865" s="9"/>
      <c r="RZ865" s="9"/>
      <c r="SA865" s="9"/>
      <c r="SB865" s="9"/>
      <c r="SC865" s="9"/>
      <c r="SD865" s="9"/>
      <c r="SE865" s="9"/>
      <c r="SF865" s="9"/>
      <c r="SG865" s="9"/>
      <c r="SH865" s="9"/>
      <c r="SI865" s="9"/>
      <c r="SJ865" s="9"/>
      <c r="SK865" s="9"/>
      <c r="SL865" s="9"/>
      <c r="SM865" s="9"/>
      <c r="SN865" s="9"/>
      <c r="SO865" s="9"/>
      <c r="SP865" s="9"/>
      <c r="SQ865" s="9"/>
      <c r="SR865" s="9"/>
      <c r="SS865" s="9"/>
      <c r="ST865" s="9"/>
      <c r="SU865" s="9"/>
      <c r="SV865" s="9"/>
      <c r="SW865" s="9"/>
      <c r="SX865" s="9"/>
      <c r="SY865" s="9"/>
      <c r="SZ865" s="9"/>
      <c r="TA865" s="9"/>
      <c r="TB865" s="9"/>
      <c r="TC865" s="9"/>
      <c r="TD865" s="9"/>
      <c r="TE865" s="9"/>
      <c r="TF865" s="9"/>
      <c r="TG865" s="9"/>
      <c r="TH865" s="9"/>
      <c r="TI865" s="9"/>
      <c r="TJ865" s="9"/>
      <c r="TK865" s="9"/>
      <c r="TL865" s="9"/>
      <c r="TM865" s="9"/>
      <c r="TN865" s="9"/>
      <c r="TO865" s="9"/>
      <c r="TP865" s="9"/>
      <c r="TQ865" s="9"/>
      <c r="TR865" s="9"/>
      <c r="TS865" s="9"/>
      <c r="TT865" s="9"/>
      <c r="TU865" s="9"/>
      <c r="TV865" s="9"/>
      <c r="TW865" s="9"/>
      <c r="TX865" s="9"/>
      <c r="TY865" s="9"/>
      <c r="TZ865" s="9"/>
      <c r="UA865" s="9"/>
      <c r="UB865" s="9"/>
      <c r="UC865" s="9"/>
      <c r="UD865" s="9"/>
      <c r="UE865" s="9"/>
      <c r="UF865" s="9"/>
      <c r="UG865" s="9"/>
      <c r="UH865" s="9"/>
      <c r="UI865" s="9"/>
      <c r="UJ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9"/>
      <c r="IA866" s="9"/>
      <c r="IB866" s="9"/>
      <c r="IC866" s="9"/>
      <c r="ID866" s="9"/>
      <c r="IE866" s="9"/>
      <c r="IF866" s="9"/>
      <c r="IG866" s="9"/>
      <c r="IH866" s="9"/>
      <c r="II866" s="9"/>
      <c r="IJ866" s="9"/>
      <c r="IK866" s="9"/>
      <c r="IL866" s="9"/>
      <c r="IM866" s="9"/>
      <c r="IN866" s="9"/>
      <c r="IO866" s="9"/>
      <c r="IP866" s="9"/>
      <c r="IQ866" s="9"/>
      <c r="IR866" s="9"/>
      <c r="IS866" s="9"/>
      <c r="IT866" s="9"/>
      <c r="IU866" s="9"/>
      <c r="IV866" s="9"/>
      <c r="IW866" s="9"/>
      <c r="IX866" s="9"/>
      <c r="IY866" s="9"/>
      <c r="IZ866" s="9"/>
      <c r="JA866" s="9"/>
      <c r="JB866" s="9"/>
      <c r="JC866" s="9"/>
      <c r="JD866" s="9"/>
      <c r="JE866" s="9"/>
      <c r="JF866" s="9"/>
      <c r="JG866" s="9"/>
      <c r="JH866" s="9"/>
      <c r="JI866" s="9"/>
      <c r="JJ866" s="9"/>
      <c r="JK866" s="9"/>
      <c r="JL866" s="9"/>
      <c r="JM866" s="9"/>
      <c r="JN866" s="9"/>
      <c r="JO866" s="9"/>
      <c r="JP866" s="9"/>
      <c r="JQ866" s="9"/>
      <c r="JR866" s="9"/>
      <c r="JS866" s="9"/>
      <c r="JT866" s="9"/>
      <c r="JU866" s="9"/>
      <c r="JV866" s="9"/>
      <c r="JW866" s="9"/>
      <c r="JX866" s="9"/>
      <c r="JY866" s="9"/>
      <c r="JZ866" s="9"/>
      <c r="KA866" s="9"/>
      <c r="KB866" s="9"/>
      <c r="KC866" s="9"/>
      <c r="KD866" s="9"/>
      <c r="KE866" s="9"/>
      <c r="KF866" s="9"/>
      <c r="KG866" s="9"/>
      <c r="KH866" s="9"/>
      <c r="KI866" s="9"/>
      <c r="KJ866" s="9"/>
      <c r="KK866" s="9"/>
      <c r="KL866" s="9"/>
      <c r="KM866" s="9"/>
      <c r="KN866" s="9"/>
      <c r="KO866" s="9"/>
      <c r="KP866" s="9"/>
      <c r="KQ866" s="9"/>
      <c r="KR866" s="9"/>
      <c r="KS866" s="9"/>
      <c r="KT866" s="9"/>
      <c r="KU866" s="9"/>
      <c r="KV866" s="9"/>
      <c r="KW866" s="9"/>
      <c r="KX866" s="9"/>
      <c r="KY866" s="9"/>
      <c r="KZ866" s="9"/>
      <c r="LA866" s="9"/>
      <c r="LB866" s="9"/>
      <c r="LC866" s="9"/>
      <c r="LD866" s="9"/>
      <c r="LE866" s="9"/>
      <c r="LF866" s="9"/>
      <c r="LG866" s="9"/>
      <c r="LH866" s="9"/>
      <c r="LI866" s="9"/>
      <c r="LJ866" s="9"/>
      <c r="LK866" s="9"/>
      <c r="LL866" s="9"/>
      <c r="LM866" s="9"/>
      <c r="LN866" s="9"/>
      <c r="LO866" s="9"/>
      <c r="LP866" s="9"/>
      <c r="LQ866" s="9"/>
      <c r="LR866" s="9"/>
      <c r="LS866" s="9"/>
      <c r="LT866" s="9"/>
      <c r="LU866" s="9"/>
      <c r="LV866" s="9"/>
      <c r="LW866" s="9"/>
      <c r="LX866" s="9"/>
      <c r="LY866" s="9"/>
      <c r="LZ866" s="9"/>
      <c r="MA866" s="9"/>
      <c r="MB866" s="9"/>
      <c r="MC866" s="9"/>
      <c r="MD866" s="9"/>
      <c r="ME866" s="9"/>
      <c r="MF866" s="9"/>
      <c r="MG866" s="9"/>
      <c r="MH866" s="9"/>
      <c r="MI866" s="9"/>
      <c r="MJ866" s="9"/>
      <c r="MK866" s="9"/>
      <c r="ML866" s="9"/>
      <c r="MM866" s="9"/>
      <c r="MN866" s="9"/>
      <c r="MO866" s="9"/>
      <c r="MP866" s="9"/>
      <c r="MQ866" s="9"/>
      <c r="MR866" s="9"/>
      <c r="MS866" s="9"/>
      <c r="MT866" s="9"/>
      <c r="MU866" s="9"/>
      <c r="MV866" s="9"/>
      <c r="MW866" s="9"/>
      <c r="MX866" s="9"/>
      <c r="MY866" s="9"/>
      <c r="MZ866" s="9"/>
      <c r="NA866" s="9"/>
      <c r="NB866" s="9"/>
      <c r="NC866" s="9"/>
      <c r="ND866" s="9"/>
      <c r="NE866" s="9"/>
      <c r="NF866" s="9"/>
      <c r="NG866" s="9"/>
      <c r="NH866" s="9"/>
      <c r="NI866" s="9"/>
      <c r="NJ866" s="9"/>
      <c r="NK866" s="9"/>
      <c r="NL866" s="9"/>
      <c r="NM866" s="9"/>
      <c r="NN866" s="9"/>
      <c r="NO866" s="9"/>
      <c r="NP866" s="9"/>
      <c r="NQ866" s="9"/>
      <c r="NR866" s="9"/>
      <c r="NS866" s="9"/>
      <c r="NT866" s="9"/>
      <c r="NU866" s="9"/>
      <c r="NV866" s="9"/>
      <c r="NW866" s="9"/>
      <c r="NX866" s="9"/>
      <c r="NY866" s="9"/>
      <c r="NZ866" s="9"/>
      <c r="OA866" s="9"/>
      <c r="OB866" s="9"/>
      <c r="OC866" s="9"/>
      <c r="OD866" s="9"/>
      <c r="OE866" s="9"/>
      <c r="OF866" s="9"/>
      <c r="OG866" s="9"/>
      <c r="OH866" s="9"/>
      <c r="OI866" s="9"/>
      <c r="OJ866" s="9"/>
      <c r="OK866" s="9"/>
      <c r="OL866" s="9"/>
      <c r="OM866" s="9"/>
      <c r="ON866" s="9"/>
      <c r="OO866" s="9"/>
      <c r="OP866" s="9"/>
      <c r="OQ866" s="9"/>
      <c r="OR866" s="9"/>
      <c r="OS866" s="9"/>
      <c r="OT866" s="9"/>
      <c r="OU866" s="9"/>
      <c r="OV866" s="9"/>
      <c r="OW866" s="9"/>
      <c r="OX866" s="9"/>
      <c r="OY866" s="9"/>
      <c r="OZ866" s="9"/>
      <c r="PA866" s="9"/>
      <c r="PB866" s="9"/>
      <c r="PC866" s="9"/>
      <c r="PD866" s="9"/>
      <c r="PE866" s="9"/>
      <c r="PF866" s="9"/>
      <c r="PG866" s="9"/>
      <c r="PH866" s="9"/>
      <c r="PI866" s="9"/>
      <c r="PJ866" s="9"/>
      <c r="PK866" s="9"/>
      <c r="PL866" s="9"/>
      <c r="PM866" s="9"/>
      <c r="PN866" s="9"/>
      <c r="PO866" s="9"/>
      <c r="PP866" s="9"/>
      <c r="PQ866" s="9"/>
      <c r="PR866" s="9"/>
      <c r="PS866" s="9"/>
      <c r="PT866" s="9"/>
      <c r="PU866" s="9"/>
      <c r="PV866" s="9"/>
      <c r="PW866" s="9"/>
      <c r="PX866" s="9"/>
      <c r="PY866" s="9"/>
      <c r="PZ866" s="9"/>
      <c r="QA866" s="9"/>
      <c r="QB866" s="9"/>
      <c r="QC866" s="9"/>
      <c r="QD866" s="9"/>
      <c r="QE866" s="9"/>
      <c r="QF866" s="9"/>
      <c r="QG866" s="9"/>
      <c r="QH866" s="9"/>
      <c r="QI866" s="9"/>
      <c r="QJ866" s="9"/>
      <c r="QK866" s="9"/>
      <c r="QL866" s="9"/>
      <c r="QM866" s="9"/>
      <c r="QN866" s="9"/>
      <c r="QO866" s="9"/>
      <c r="QP866" s="9"/>
      <c r="QQ866" s="9"/>
      <c r="QR866" s="9"/>
      <c r="QS866" s="9"/>
      <c r="QT866" s="9"/>
      <c r="QU866" s="9"/>
      <c r="QV866" s="9"/>
      <c r="QW866" s="9"/>
      <c r="QX866" s="9"/>
      <c r="QY866" s="9"/>
      <c r="QZ866" s="9"/>
      <c r="RA866" s="9"/>
      <c r="RB866" s="9"/>
      <c r="RC866" s="9"/>
      <c r="RD866" s="9"/>
      <c r="RE866" s="9"/>
      <c r="RF866" s="9"/>
      <c r="RG866" s="9"/>
      <c r="RH866" s="9"/>
      <c r="RI866" s="9"/>
      <c r="RJ866" s="9"/>
      <c r="RK866" s="9"/>
      <c r="RL866" s="9"/>
      <c r="RM866" s="9"/>
      <c r="RN866" s="9"/>
      <c r="RO866" s="9"/>
      <c r="RP866" s="9"/>
      <c r="RQ866" s="9"/>
      <c r="RR866" s="9"/>
      <c r="RS866" s="9"/>
      <c r="RT866" s="9"/>
      <c r="RU866" s="9"/>
      <c r="RV866" s="9"/>
      <c r="RW866" s="9"/>
      <c r="RX866" s="9"/>
      <c r="RY866" s="9"/>
      <c r="RZ866" s="9"/>
      <c r="SA866" s="9"/>
      <c r="SB866" s="9"/>
      <c r="SC866" s="9"/>
      <c r="SD866" s="9"/>
      <c r="SE866" s="9"/>
      <c r="SF866" s="9"/>
      <c r="SG866" s="9"/>
      <c r="SH866" s="9"/>
      <c r="SI866" s="9"/>
      <c r="SJ866" s="9"/>
      <c r="SK866" s="9"/>
      <c r="SL866" s="9"/>
      <c r="SM866" s="9"/>
      <c r="SN866" s="9"/>
      <c r="SO866" s="9"/>
      <c r="SP866" s="9"/>
      <c r="SQ866" s="9"/>
      <c r="SR866" s="9"/>
      <c r="SS866" s="9"/>
      <c r="ST866" s="9"/>
      <c r="SU866" s="9"/>
      <c r="SV866" s="9"/>
      <c r="SW866" s="9"/>
      <c r="SX866" s="9"/>
      <c r="SY866" s="9"/>
      <c r="SZ866" s="9"/>
      <c r="TA866" s="9"/>
      <c r="TB866" s="9"/>
      <c r="TC866" s="9"/>
      <c r="TD866" s="9"/>
      <c r="TE866" s="9"/>
      <c r="TF866" s="9"/>
      <c r="TG866" s="9"/>
      <c r="TH866" s="9"/>
      <c r="TI866" s="9"/>
      <c r="TJ866" s="9"/>
      <c r="TK866" s="9"/>
      <c r="TL866" s="9"/>
      <c r="TM866" s="9"/>
      <c r="TN866" s="9"/>
      <c r="TO866" s="9"/>
      <c r="TP866" s="9"/>
      <c r="TQ866" s="9"/>
      <c r="TR866" s="9"/>
      <c r="TS866" s="9"/>
      <c r="TT866" s="9"/>
      <c r="TU866" s="9"/>
      <c r="TV866" s="9"/>
      <c r="TW866" s="9"/>
      <c r="TX866" s="9"/>
      <c r="TY866" s="9"/>
      <c r="TZ866" s="9"/>
      <c r="UA866" s="9"/>
      <c r="UB866" s="9"/>
      <c r="UC866" s="9"/>
      <c r="UD866" s="9"/>
      <c r="UE866" s="9"/>
      <c r="UF866" s="9"/>
      <c r="UG866" s="9"/>
      <c r="UH866" s="9"/>
      <c r="UI866" s="9"/>
      <c r="UJ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9"/>
      <c r="FP867" s="9"/>
      <c r="FQ867" s="9"/>
      <c r="FR867" s="9"/>
      <c r="FS867" s="9"/>
      <c r="FT867" s="9"/>
      <c r="FU867" s="9"/>
      <c r="FV867" s="9"/>
      <c r="FW867" s="9"/>
      <c r="FX867" s="9"/>
      <c r="FY867" s="9"/>
      <c r="FZ867" s="9"/>
      <c r="GA867" s="9"/>
      <c r="GB867" s="9"/>
      <c r="GC867" s="9"/>
      <c r="GD867" s="9"/>
      <c r="GE867" s="9"/>
      <c r="GF867" s="9"/>
      <c r="GG867" s="9"/>
      <c r="GH867" s="9"/>
      <c r="GI867" s="9"/>
      <c r="GJ867" s="9"/>
      <c r="GK867" s="9"/>
      <c r="GL867" s="9"/>
      <c r="GM867" s="9"/>
      <c r="GN867" s="9"/>
      <c r="GO867" s="9"/>
      <c r="GP867" s="9"/>
      <c r="GQ867" s="9"/>
      <c r="GR867" s="9"/>
      <c r="GS867" s="9"/>
      <c r="GT867" s="9"/>
      <c r="GU867" s="9"/>
      <c r="GV867" s="9"/>
      <c r="GW867" s="9"/>
      <c r="GX867" s="9"/>
      <c r="GY867" s="9"/>
      <c r="GZ867" s="9"/>
      <c r="HA867" s="9"/>
      <c r="HB867" s="9"/>
      <c r="HC867" s="9"/>
      <c r="HD867" s="9"/>
      <c r="HE867" s="9"/>
      <c r="HF867" s="9"/>
      <c r="HG867" s="9"/>
      <c r="HH867" s="9"/>
      <c r="HI867" s="9"/>
      <c r="HJ867" s="9"/>
      <c r="HK867" s="9"/>
      <c r="HL867" s="9"/>
      <c r="HM867" s="9"/>
      <c r="HN867" s="9"/>
      <c r="HO867" s="9"/>
      <c r="HP867" s="9"/>
      <c r="HQ867" s="9"/>
      <c r="HR867" s="9"/>
      <c r="HS867" s="9"/>
      <c r="HT867" s="9"/>
      <c r="HU867" s="9"/>
      <c r="HV867" s="9"/>
      <c r="HW867" s="9"/>
      <c r="HX867" s="9"/>
      <c r="HY867" s="9"/>
      <c r="HZ867" s="9"/>
      <c r="IA867" s="9"/>
      <c r="IB867" s="9"/>
      <c r="IC867" s="9"/>
      <c r="ID867" s="9"/>
      <c r="IE867" s="9"/>
      <c r="IF867" s="9"/>
      <c r="IG867" s="9"/>
      <c r="IH867" s="9"/>
      <c r="II867" s="9"/>
      <c r="IJ867" s="9"/>
      <c r="IK867" s="9"/>
      <c r="IL867" s="9"/>
      <c r="IM867" s="9"/>
      <c r="IN867" s="9"/>
      <c r="IO867" s="9"/>
      <c r="IP867" s="9"/>
      <c r="IQ867" s="9"/>
      <c r="IR867" s="9"/>
      <c r="IS867" s="9"/>
      <c r="IT867" s="9"/>
      <c r="IU867" s="9"/>
      <c r="IV867" s="9"/>
      <c r="IW867" s="9"/>
      <c r="IX867" s="9"/>
      <c r="IY867" s="9"/>
      <c r="IZ867" s="9"/>
      <c r="JA867" s="9"/>
      <c r="JB867" s="9"/>
      <c r="JC867" s="9"/>
      <c r="JD867" s="9"/>
      <c r="JE867" s="9"/>
      <c r="JF867" s="9"/>
      <c r="JG867" s="9"/>
      <c r="JH867" s="9"/>
      <c r="JI867" s="9"/>
      <c r="JJ867" s="9"/>
      <c r="JK867" s="9"/>
      <c r="JL867" s="9"/>
      <c r="JM867" s="9"/>
      <c r="JN867" s="9"/>
      <c r="JO867" s="9"/>
      <c r="JP867" s="9"/>
      <c r="JQ867" s="9"/>
      <c r="JR867" s="9"/>
      <c r="JS867" s="9"/>
      <c r="JT867" s="9"/>
      <c r="JU867" s="9"/>
      <c r="JV867" s="9"/>
      <c r="JW867" s="9"/>
      <c r="JX867" s="9"/>
      <c r="JY867" s="9"/>
      <c r="JZ867" s="9"/>
      <c r="KA867" s="9"/>
      <c r="KB867" s="9"/>
      <c r="KC867" s="9"/>
      <c r="KD867" s="9"/>
      <c r="KE867" s="9"/>
      <c r="KF867" s="9"/>
      <c r="KG867" s="9"/>
      <c r="KH867" s="9"/>
      <c r="KI867" s="9"/>
      <c r="KJ867" s="9"/>
      <c r="KK867" s="9"/>
      <c r="KL867" s="9"/>
      <c r="KM867" s="9"/>
      <c r="KN867" s="9"/>
      <c r="KO867" s="9"/>
      <c r="KP867" s="9"/>
      <c r="KQ867" s="9"/>
      <c r="KR867" s="9"/>
      <c r="KS867" s="9"/>
      <c r="KT867" s="9"/>
      <c r="KU867" s="9"/>
      <c r="KV867" s="9"/>
      <c r="KW867" s="9"/>
      <c r="KX867" s="9"/>
      <c r="KY867" s="9"/>
      <c r="KZ867" s="9"/>
      <c r="LA867" s="9"/>
      <c r="LB867" s="9"/>
      <c r="LC867" s="9"/>
      <c r="LD867" s="9"/>
      <c r="LE867" s="9"/>
      <c r="LF867" s="9"/>
      <c r="LG867" s="9"/>
      <c r="LH867" s="9"/>
      <c r="LI867" s="9"/>
      <c r="LJ867" s="9"/>
      <c r="LK867" s="9"/>
      <c r="LL867" s="9"/>
      <c r="LM867" s="9"/>
      <c r="LN867" s="9"/>
      <c r="LO867" s="9"/>
      <c r="LP867" s="9"/>
      <c r="LQ867" s="9"/>
      <c r="LR867" s="9"/>
      <c r="LS867" s="9"/>
      <c r="LT867" s="9"/>
      <c r="LU867" s="9"/>
      <c r="LV867" s="9"/>
      <c r="LW867" s="9"/>
      <c r="LX867" s="9"/>
      <c r="LY867" s="9"/>
      <c r="LZ867" s="9"/>
      <c r="MA867" s="9"/>
      <c r="MB867" s="9"/>
      <c r="MC867" s="9"/>
      <c r="MD867" s="9"/>
      <c r="ME867" s="9"/>
      <c r="MF867" s="9"/>
      <c r="MG867" s="9"/>
      <c r="MH867" s="9"/>
      <c r="MI867" s="9"/>
      <c r="MJ867" s="9"/>
      <c r="MK867" s="9"/>
      <c r="ML867" s="9"/>
      <c r="MM867" s="9"/>
      <c r="MN867" s="9"/>
      <c r="MO867" s="9"/>
      <c r="MP867" s="9"/>
      <c r="MQ867" s="9"/>
      <c r="MR867" s="9"/>
      <c r="MS867" s="9"/>
      <c r="MT867" s="9"/>
      <c r="MU867" s="9"/>
      <c r="MV867" s="9"/>
      <c r="MW867" s="9"/>
      <c r="MX867" s="9"/>
      <c r="MY867" s="9"/>
      <c r="MZ867" s="9"/>
      <c r="NA867" s="9"/>
      <c r="NB867" s="9"/>
      <c r="NC867" s="9"/>
      <c r="ND867" s="9"/>
      <c r="NE867" s="9"/>
      <c r="NF867" s="9"/>
      <c r="NG867" s="9"/>
      <c r="NH867" s="9"/>
      <c r="NI867" s="9"/>
      <c r="NJ867" s="9"/>
      <c r="NK867" s="9"/>
      <c r="NL867" s="9"/>
      <c r="NM867" s="9"/>
      <c r="NN867" s="9"/>
      <c r="NO867" s="9"/>
      <c r="NP867" s="9"/>
      <c r="NQ867" s="9"/>
      <c r="NR867" s="9"/>
      <c r="NS867" s="9"/>
      <c r="NT867" s="9"/>
      <c r="NU867" s="9"/>
      <c r="NV867" s="9"/>
      <c r="NW867" s="9"/>
      <c r="NX867" s="9"/>
      <c r="NY867" s="9"/>
      <c r="NZ867" s="9"/>
      <c r="OA867" s="9"/>
      <c r="OB867" s="9"/>
      <c r="OC867" s="9"/>
      <c r="OD867" s="9"/>
      <c r="OE867" s="9"/>
      <c r="OF867" s="9"/>
      <c r="OG867" s="9"/>
      <c r="OH867" s="9"/>
      <c r="OI867" s="9"/>
      <c r="OJ867" s="9"/>
      <c r="OK867" s="9"/>
      <c r="OL867" s="9"/>
      <c r="OM867" s="9"/>
      <c r="ON867" s="9"/>
      <c r="OO867" s="9"/>
      <c r="OP867" s="9"/>
      <c r="OQ867" s="9"/>
      <c r="OR867" s="9"/>
      <c r="OS867" s="9"/>
      <c r="OT867" s="9"/>
      <c r="OU867" s="9"/>
      <c r="OV867" s="9"/>
      <c r="OW867" s="9"/>
      <c r="OX867" s="9"/>
      <c r="OY867" s="9"/>
      <c r="OZ867" s="9"/>
      <c r="PA867" s="9"/>
      <c r="PB867" s="9"/>
      <c r="PC867" s="9"/>
      <c r="PD867" s="9"/>
      <c r="PE867" s="9"/>
      <c r="PF867" s="9"/>
      <c r="PG867" s="9"/>
      <c r="PH867" s="9"/>
      <c r="PI867" s="9"/>
      <c r="PJ867" s="9"/>
      <c r="PK867" s="9"/>
      <c r="PL867" s="9"/>
      <c r="PM867" s="9"/>
      <c r="PN867" s="9"/>
      <c r="PO867" s="9"/>
      <c r="PP867" s="9"/>
      <c r="PQ867" s="9"/>
      <c r="PR867" s="9"/>
      <c r="PS867" s="9"/>
      <c r="PT867" s="9"/>
      <c r="PU867" s="9"/>
      <c r="PV867" s="9"/>
      <c r="PW867" s="9"/>
      <c r="PX867" s="9"/>
      <c r="PY867" s="9"/>
      <c r="PZ867" s="9"/>
      <c r="QA867" s="9"/>
      <c r="QB867" s="9"/>
      <c r="QC867" s="9"/>
      <c r="QD867" s="9"/>
      <c r="QE867" s="9"/>
      <c r="QF867" s="9"/>
      <c r="QG867" s="9"/>
      <c r="QH867" s="9"/>
      <c r="QI867" s="9"/>
      <c r="QJ867" s="9"/>
      <c r="QK867" s="9"/>
      <c r="QL867" s="9"/>
      <c r="QM867" s="9"/>
      <c r="QN867" s="9"/>
      <c r="QO867" s="9"/>
      <c r="QP867" s="9"/>
      <c r="QQ867" s="9"/>
      <c r="QR867" s="9"/>
      <c r="QS867" s="9"/>
      <c r="QT867" s="9"/>
      <c r="QU867" s="9"/>
      <c r="QV867" s="9"/>
      <c r="QW867" s="9"/>
      <c r="QX867" s="9"/>
      <c r="QY867" s="9"/>
      <c r="QZ867" s="9"/>
      <c r="RA867" s="9"/>
      <c r="RB867" s="9"/>
      <c r="RC867" s="9"/>
      <c r="RD867" s="9"/>
      <c r="RE867" s="9"/>
      <c r="RF867" s="9"/>
      <c r="RG867" s="9"/>
      <c r="RH867" s="9"/>
      <c r="RI867" s="9"/>
      <c r="RJ867" s="9"/>
      <c r="RK867" s="9"/>
      <c r="RL867" s="9"/>
      <c r="RM867" s="9"/>
      <c r="RN867" s="9"/>
      <c r="RO867" s="9"/>
      <c r="RP867" s="9"/>
      <c r="RQ867" s="9"/>
      <c r="RR867" s="9"/>
      <c r="RS867" s="9"/>
      <c r="RT867" s="9"/>
      <c r="RU867" s="9"/>
      <c r="RV867" s="9"/>
      <c r="RW867" s="9"/>
      <c r="RX867" s="9"/>
      <c r="RY867" s="9"/>
      <c r="RZ867" s="9"/>
      <c r="SA867" s="9"/>
      <c r="SB867" s="9"/>
      <c r="SC867" s="9"/>
      <c r="SD867" s="9"/>
      <c r="SE867" s="9"/>
      <c r="SF867" s="9"/>
      <c r="SG867" s="9"/>
      <c r="SH867" s="9"/>
      <c r="SI867" s="9"/>
      <c r="SJ867" s="9"/>
      <c r="SK867" s="9"/>
      <c r="SL867" s="9"/>
      <c r="SM867" s="9"/>
      <c r="SN867" s="9"/>
      <c r="SO867" s="9"/>
      <c r="SP867" s="9"/>
      <c r="SQ867" s="9"/>
      <c r="SR867" s="9"/>
      <c r="SS867" s="9"/>
      <c r="ST867" s="9"/>
      <c r="SU867" s="9"/>
      <c r="SV867" s="9"/>
      <c r="SW867" s="9"/>
      <c r="SX867" s="9"/>
      <c r="SY867" s="9"/>
      <c r="SZ867" s="9"/>
      <c r="TA867" s="9"/>
      <c r="TB867" s="9"/>
      <c r="TC867" s="9"/>
      <c r="TD867" s="9"/>
      <c r="TE867" s="9"/>
      <c r="TF867" s="9"/>
      <c r="TG867" s="9"/>
      <c r="TH867" s="9"/>
      <c r="TI867" s="9"/>
      <c r="TJ867" s="9"/>
      <c r="TK867" s="9"/>
      <c r="TL867" s="9"/>
      <c r="TM867" s="9"/>
      <c r="TN867" s="9"/>
      <c r="TO867" s="9"/>
      <c r="TP867" s="9"/>
      <c r="TQ867" s="9"/>
      <c r="TR867" s="9"/>
      <c r="TS867" s="9"/>
      <c r="TT867" s="9"/>
      <c r="TU867" s="9"/>
      <c r="TV867" s="9"/>
      <c r="TW867" s="9"/>
      <c r="TX867" s="9"/>
      <c r="TY867" s="9"/>
      <c r="TZ867" s="9"/>
      <c r="UA867" s="9"/>
      <c r="UB867" s="9"/>
      <c r="UC867" s="9"/>
      <c r="UD867" s="9"/>
      <c r="UE867" s="9"/>
      <c r="UF867" s="9"/>
      <c r="UG867" s="9"/>
      <c r="UH867" s="9"/>
      <c r="UI867" s="9"/>
      <c r="UJ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  <c r="GA868" s="9"/>
      <c r="GB868" s="9"/>
      <c r="GC868" s="9"/>
      <c r="GD868" s="9"/>
      <c r="GE868" s="9"/>
      <c r="GF868" s="9"/>
      <c r="GG868" s="9"/>
      <c r="GH868" s="9"/>
      <c r="GI868" s="9"/>
      <c r="GJ868" s="9"/>
      <c r="GK868" s="9"/>
      <c r="GL868" s="9"/>
      <c r="GM868" s="9"/>
      <c r="GN868" s="9"/>
      <c r="GO868" s="9"/>
      <c r="GP868" s="9"/>
      <c r="GQ868" s="9"/>
      <c r="GR868" s="9"/>
      <c r="GS868" s="9"/>
      <c r="GT868" s="9"/>
      <c r="GU868" s="9"/>
      <c r="GV868" s="9"/>
      <c r="GW868" s="9"/>
      <c r="GX868" s="9"/>
      <c r="GY868" s="9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  <c r="HO868" s="9"/>
      <c r="HP868" s="9"/>
      <c r="HQ868" s="9"/>
      <c r="HR868" s="9"/>
      <c r="HS868" s="9"/>
      <c r="HT868" s="9"/>
      <c r="HU868" s="9"/>
      <c r="HV868" s="9"/>
      <c r="HW868" s="9"/>
      <c r="HX868" s="9"/>
      <c r="HY868" s="9"/>
      <c r="HZ868" s="9"/>
      <c r="IA868" s="9"/>
      <c r="IB868" s="9"/>
      <c r="IC868" s="9"/>
      <c r="ID868" s="9"/>
      <c r="IE868" s="9"/>
      <c r="IF868" s="9"/>
      <c r="IG868" s="9"/>
      <c r="IH868" s="9"/>
      <c r="II868" s="9"/>
      <c r="IJ868" s="9"/>
      <c r="IK868" s="9"/>
      <c r="IL868" s="9"/>
      <c r="IM868" s="9"/>
      <c r="IN868" s="9"/>
      <c r="IO868" s="9"/>
      <c r="IP868" s="9"/>
      <c r="IQ868" s="9"/>
      <c r="IR868" s="9"/>
      <c r="IS868" s="9"/>
      <c r="IT868" s="9"/>
      <c r="IU868" s="9"/>
      <c r="IV868" s="9"/>
      <c r="IW868" s="9"/>
      <c r="IX868" s="9"/>
      <c r="IY868" s="9"/>
      <c r="IZ868" s="9"/>
      <c r="JA868" s="9"/>
      <c r="JB868" s="9"/>
      <c r="JC868" s="9"/>
      <c r="JD868" s="9"/>
      <c r="JE868" s="9"/>
      <c r="JF868" s="9"/>
      <c r="JG868" s="9"/>
      <c r="JH868" s="9"/>
      <c r="JI868" s="9"/>
      <c r="JJ868" s="9"/>
      <c r="JK868" s="9"/>
      <c r="JL868" s="9"/>
      <c r="JM868" s="9"/>
      <c r="JN868" s="9"/>
      <c r="JO868" s="9"/>
      <c r="JP868" s="9"/>
      <c r="JQ868" s="9"/>
      <c r="JR868" s="9"/>
      <c r="JS868" s="9"/>
      <c r="JT868" s="9"/>
      <c r="JU868" s="9"/>
      <c r="JV868" s="9"/>
      <c r="JW868" s="9"/>
      <c r="JX868" s="9"/>
      <c r="JY868" s="9"/>
      <c r="JZ868" s="9"/>
      <c r="KA868" s="9"/>
      <c r="KB868" s="9"/>
      <c r="KC868" s="9"/>
      <c r="KD868" s="9"/>
      <c r="KE868" s="9"/>
      <c r="KF868" s="9"/>
      <c r="KG868" s="9"/>
      <c r="KH868" s="9"/>
      <c r="KI868" s="9"/>
      <c r="KJ868" s="9"/>
      <c r="KK868" s="9"/>
      <c r="KL868" s="9"/>
      <c r="KM868" s="9"/>
      <c r="KN868" s="9"/>
      <c r="KO868" s="9"/>
      <c r="KP868" s="9"/>
      <c r="KQ868" s="9"/>
      <c r="KR868" s="9"/>
      <c r="KS868" s="9"/>
      <c r="KT868" s="9"/>
      <c r="KU868" s="9"/>
      <c r="KV868" s="9"/>
      <c r="KW868" s="9"/>
      <c r="KX868" s="9"/>
      <c r="KY868" s="9"/>
      <c r="KZ868" s="9"/>
      <c r="LA868" s="9"/>
      <c r="LB868" s="9"/>
      <c r="LC868" s="9"/>
      <c r="LD868" s="9"/>
      <c r="LE868" s="9"/>
      <c r="LF868" s="9"/>
      <c r="LG868" s="9"/>
      <c r="LH868" s="9"/>
      <c r="LI868" s="9"/>
      <c r="LJ868" s="9"/>
      <c r="LK868" s="9"/>
      <c r="LL868" s="9"/>
      <c r="LM868" s="9"/>
      <c r="LN868" s="9"/>
      <c r="LO868" s="9"/>
      <c r="LP868" s="9"/>
      <c r="LQ868" s="9"/>
      <c r="LR868" s="9"/>
      <c r="LS868" s="9"/>
      <c r="LT868" s="9"/>
      <c r="LU868" s="9"/>
      <c r="LV868" s="9"/>
      <c r="LW868" s="9"/>
      <c r="LX868" s="9"/>
      <c r="LY868" s="9"/>
      <c r="LZ868" s="9"/>
      <c r="MA868" s="9"/>
      <c r="MB868" s="9"/>
      <c r="MC868" s="9"/>
      <c r="MD868" s="9"/>
      <c r="ME868" s="9"/>
      <c r="MF868" s="9"/>
      <c r="MG868" s="9"/>
      <c r="MH868" s="9"/>
      <c r="MI868" s="9"/>
      <c r="MJ868" s="9"/>
      <c r="MK868" s="9"/>
      <c r="ML868" s="9"/>
      <c r="MM868" s="9"/>
      <c r="MN868" s="9"/>
      <c r="MO868" s="9"/>
      <c r="MP868" s="9"/>
      <c r="MQ868" s="9"/>
      <c r="MR868" s="9"/>
      <c r="MS868" s="9"/>
      <c r="MT868" s="9"/>
      <c r="MU868" s="9"/>
      <c r="MV868" s="9"/>
      <c r="MW868" s="9"/>
      <c r="MX868" s="9"/>
      <c r="MY868" s="9"/>
      <c r="MZ868" s="9"/>
      <c r="NA868" s="9"/>
      <c r="NB868" s="9"/>
      <c r="NC868" s="9"/>
      <c r="ND868" s="9"/>
      <c r="NE868" s="9"/>
      <c r="NF868" s="9"/>
      <c r="NG868" s="9"/>
      <c r="NH868" s="9"/>
      <c r="NI868" s="9"/>
      <c r="NJ868" s="9"/>
      <c r="NK868" s="9"/>
      <c r="NL868" s="9"/>
      <c r="NM868" s="9"/>
      <c r="NN868" s="9"/>
      <c r="NO868" s="9"/>
      <c r="NP868" s="9"/>
      <c r="NQ868" s="9"/>
      <c r="NR868" s="9"/>
      <c r="NS868" s="9"/>
      <c r="NT868" s="9"/>
      <c r="NU868" s="9"/>
      <c r="NV868" s="9"/>
      <c r="NW868" s="9"/>
      <c r="NX868" s="9"/>
      <c r="NY868" s="9"/>
      <c r="NZ868" s="9"/>
      <c r="OA868" s="9"/>
      <c r="OB868" s="9"/>
      <c r="OC868" s="9"/>
      <c r="OD868" s="9"/>
      <c r="OE868" s="9"/>
      <c r="OF868" s="9"/>
      <c r="OG868" s="9"/>
      <c r="OH868" s="9"/>
      <c r="OI868" s="9"/>
      <c r="OJ868" s="9"/>
      <c r="OK868" s="9"/>
      <c r="OL868" s="9"/>
      <c r="OM868" s="9"/>
      <c r="ON868" s="9"/>
      <c r="OO868" s="9"/>
      <c r="OP868" s="9"/>
      <c r="OQ868" s="9"/>
      <c r="OR868" s="9"/>
      <c r="OS868" s="9"/>
      <c r="OT868" s="9"/>
      <c r="OU868" s="9"/>
      <c r="OV868" s="9"/>
      <c r="OW868" s="9"/>
      <c r="OX868" s="9"/>
      <c r="OY868" s="9"/>
      <c r="OZ868" s="9"/>
      <c r="PA868" s="9"/>
      <c r="PB868" s="9"/>
      <c r="PC868" s="9"/>
      <c r="PD868" s="9"/>
      <c r="PE868" s="9"/>
      <c r="PF868" s="9"/>
      <c r="PG868" s="9"/>
      <c r="PH868" s="9"/>
      <c r="PI868" s="9"/>
      <c r="PJ868" s="9"/>
      <c r="PK868" s="9"/>
      <c r="PL868" s="9"/>
      <c r="PM868" s="9"/>
      <c r="PN868" s="9"/>
      <c r="PO868" s="9"/>
      <c r="PP868" s="9"/>
      <c r="PQ868" s="9"/>
      <c r="PR868" s="9"/>
      <c r="PS868" s="9"/>
      <c r="PT868" s="9"/>
      <c r="PU868" s="9"/>
      <c r="PV868" s="9"/>
      <c r="PW868" s="9"/>
      <c r="PX868" s="9"/>
      <c r="PY868" s="9"/>
      <c r="PZ868" s="9"/>
      <c r="QA868" s="9"/>
      <c r="QB868" s="9"/>
      <c r="QC868" s="9"/>
      <c r="QD868" s="9"/>
      <c r="QE868" s="9"/>
      <c r="QF868" s="9"/>
      <c r="QG868" s="9"/>
      <c r="QH868" s="9"/>
      <c r="QI868" s="9"/>
      <c r="QJ868" s="9"/>
      <c r="QK868" s="9"/>
      <c r="QL868" s="9"/>
      <c r="QM868" s="9"/>
      <c r="QN868" s="9"/>
      <c r="QO868" s="9"/>
      <c r="QP868" s="9"/>
      <c r="QQ868" s="9"/>
      <c r="QR868" s="9"/>
      <c r="QS868" s="9"/>
      <c r="QT868" s="9"/>
      <c r="QU868" s="9"/>
      <c r="QV868" s="9"/>
      <c r="QW868" s="9"/>
      <c r="QX868" s="9"/>
      <c r="QY868" s="9"/>
      <c r="QZ868" s="9"/>
      <c r="RA868" s="9"/>
      <c r="RB868" s="9"/>
      <c r="RC868" s="9"/>
      <c r="RD868" s="9"/>
      <c r="RE868" s="9"/>
      <c r="RF868" s="9"/>
      <c r="RG868" s="9"/>
      <c r="RH868" s="9"/>
      <c r="RI868" s="9"/>
      <c r="RJ868" s="9"/>
      <c r="RK868" s="9"/>
      <c r="RL868" s="9"/>
      <c r="RM868" s="9"/>
      <c r="RN868" s="9"/>
      <c r="RO868" s="9"/>
      <c r="RP868" s="9"/>
      <c r="RQ868" s="9"/>
      <c r="RR868" s="9"/>
      <c r="RS868" s="9"/>
      <c r="RT868" s="9"/>
      <c r="RU868" s="9"/>
      <c r="RV868" s="9"/>
      <c r="RW868" s="9"/>
      <c r="RX868" s="9"/>
      <c r="RY868" s="9"/>
      <c r="RZ868" s="9"/>
      <c r="SA868" s="9"/>
      <c r="SB868" s="9"/>
      <c r="SC868" s="9"/>
      <c r="SD868" s="9"/>
      <c r="SE868" s="9"/>
      <c r="SF868" s="9"/>
      <c r="SG868" s="9"/>
      <c r="SH868" s="9"/>
      <c r="SI868" s="9"/>
      <c r="SJ868" s="9"/>
      <c r="SK868" s="9"/>
      <c r="SL868" s="9"/>
      <c r="SM868" s="9"/>
      <c r="SN868" s="9"/>
      <c r="SO868" s="9"/>
      <c r="SP868" s="9"/>
      <c r="SQ868" s="9"/>
      <c r="SR868" s="9"/>
      <c r="SS868" s="9"/>
      <c r="ST868" s="9"/>
      <c r="SU868" s="9"/>
      <c r="SV868" s="9"/>
      <c r="SW868" s="9"/>
      <c r="SX868" s="9"/>
      <c r="SY868" s="9"/>
      <c r="SZ868" s="9"/>
      <c r="TA868" s="9"/>
      <c r="TB868" s="9"/>
      <c r="TC868" s="9"/>
      <c r="TD868" s="9"/>
      <c r="TE868" s="9"/>
      <c r="TF868" s="9"/>
      <c r="TG868" s="9"/>
      <c r="TH868" s="9"/>
      <c r="TI868" s="9"/>
      <c r="TJ868" s="9"/>
      <c r="TK868" s="9"/>
      <c r="TL868" s="9"/>
      <c r="TM868" s="9"/>
      <c r="TN868" s="9"/>
      <c r="TO868" s="9"/>
      <c r="TP868" s="9"/>
      <c r="TQ868" s="9"/>
      <c r="TR868" s="9"/>
      <c r="TS868" s="9"/>
      <c r="TT868" s="9"/>
      <c r="TU868" s="9"/>
      <c r="TV868" s="9"/>
      <c r="TW868" s="9"/>
      <c r="TX868" s="9"/>
      <c r="TY868" s="9"/>
      <c r="TZ868" s="9"/>
      <c r="UA868" s="9"/>
      <c r="UB868" s="9"/>
      <c r="UC868" s="9"/>
      <c r="UD868" s="9"/>
      <c r="UE868" s="9"/>
      <c r="UF868" s="9"/>
      <c r="UG868" s="9"/>
      <c r="UH868" s="9"/>
      <c r="UI868" s="9"/>
      <c r="UJ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  <c r="GA869" s="9"/>
      <c r="GB869" s="9"/>
      <c r="GC869" s="9"/>
      <c r="GD869" s="9"/>
      <c r="GE869" s="9"/>
      <c r="GF869" s="9"/>
      <c r="GG869" s="9"/>
      <c r="GH869" s="9"/>
      <c r="GI869" s="9"/>
      <c r="GJ869" s="9"/>
      <c r="GK869" s="9"/>
      <c r="GL869" s="9"/>
      <c r="GM869" s="9"/>
      <c r="GN869" s="9"/>
      <c r="GO869" s="9"/>
      <c r="GP869" s="9"/>
      <c r="GQ869" s="9"/>
      <c r="GR869" s="9"/>
      <c r="GS869" s="9"/>
      <c r="GT869" s="9"/>
      <c r="GU869" s="9"/>
      <c r="GV869" s="9"/>
      <c r="GW869" s="9"/>
      <c r="GX869" s="9"/>
      <c r="GY869" s="9"/>
      <c r="GZ869" s="9"/>
      <c r="HA869" s="9"/>
      <c r="HB869" s="9"/>
      <c r="HC869" s="9"/>
      <c r="HD869" s="9"/>
      <c r="HE869" s="9"/>
      <c r="HF869" s="9"/>
      <c r="HG869" s="9"/>
      <c r="HH869" s="9"/>
      <c r="HI869" s="9"/>
      <c r="HJ869" s="9"/>
      <c r="HK869" s="9"/>
      <c r="HL869" s="9"/>
      <c r="HM869" s="9"/>
      <c r="HN869" s="9"/>
      <c r="HO869" s="9"/>
      <c r="HP869" s="9"/>
      <c r="HQ869" s="9"/>
      <c r="HR869" s="9"/>
      <c r="HS869" s="9"/>
      <c r="HT869" s="9"/>
      <c r="HU869" s="9"/>
      <c r="HV869" s="9"/>
      <c r="HW869" s="9"/>
      <c r="HX869" s="9"/>
      <c r="HY869" s="9"/>
      <c r="HZ869" s="9"/>
      <c r="IA869" s="9"/>
      <c r="IB869" s="9"/>
      <c r="IC869" s="9"/>
      <c r="ID869" s="9"/>
      <c r="IE869" s="9"/>
      <c r="IF869" s="9"/>
      <c r="IG869" s="9"/>
      <c r="IH869" s="9"/>
      <c r="II869" s="9"/>
      <c r="IJ869" s="9"/>
      <c r="IK869" s="9"/>
      <c r="IL869" s="9"/>
      <c r="IM869" s="9"/>
      <c r="IN869" s="9"/>
      <c r="IO869" s="9"/>
      <c r="IP869" s="9"/>
      <c r="IQ869" s="9"/>
      <c r="IR869" s="9"/>
      <c r="IS869" s="9"/>
      <c r="IT869" s="9"/>
      <c r="IU869" s="9"/>
      <c r="IV869" s="9"/>
      <c r="IW869" s="9"/>
      <c r="IX869" s="9"/>
      <c r="IY869" s="9"/>
      <c r="IZ869" s="9"/>
      <c r="JA869" s="9"/>
      <c r="JB869" s="9"/>
      <c r="JC869" s="9"/>
      <c r="JD869" s="9"/>
      <c r="JE869" s="9"/>
      <c r="JF869" s="9"/>
      <c r="JG869" s="9"/>
      <c r="JH869" s="9"/>
      <c r="JI869" s="9"/>
      <c r="JJ869" s="9"/>
      <c r="JK869" s="9"/>
      <c r="JL869" s="9"/>
      <c r="JM869" s="9"/>
      <c r="JN869" s="9"/>
      <c r="JO869" s="9"/>
      <c r="JP869" s="9"/>
      <c r="JQ869" s="9"/>
      <c r="JR869" s="9"/>
      <c r="JS869" s="9"/>
      <c r="JT869" s="9"/>
      <c r="JU869" s="9"/>
      <c r="JV869" s="9"/>
      <c r="JW869" s="9"/>
      <c r="JX869" s="9"/>
      <c r="JY869" s="9"/>
      <c r="JZ869" s="9"/>
      <c r="KA869" s="9"/>
      <c r="KB869" s="9"/>
      <c r="KC869" s="9"/>
      <c r="KD869" s="9"/>
      <c r="KE869" s="9"/>
      <c r="KF869" s="9"/>
      <c r="KG869" s="9"/>
      <c r="KH869" s="9"/>
      <c r="KI869" s="9"/>
      <c r="KJ869" s="9"/>
      <c r="KK869" s="9"/>
      <c r="KL869" s="9"/>
      <c r="KM869" s="9"/>
      <c r="KN869" s="9"/>
      <c r="KO869" s="9"/>
      <c r="KP869" s="9"/>
      <c r="KQ869" s="9"/>
      <c r="KR869" s="9"/>
      <c r="KS869" s="9"/>
      <c r="KT869" s="9"/>
      <c r="KU869" s="9"/>
      <c r="KV869" s="9"/>
      <c r="KW869" s="9"/>
      <c r="KX869" s="9"/>
      <c r="KY869" s="9"/>
      <c r="KZ869" s="9"/>
      <c r="LA869" s="9"/>
      <c r="LB869" s="9"/>
      <c r="LC869" s="9"/>
      <c r="LD869" s="9"/>
      <c r="LE869" s="9"/>
      <c r="LF869" s="9"/>
      <c r="LG869" s="9"/>
      <c r="LH869" s="9"/>
      <c r="LI869" s="9"/>
      <c r="LJ869" s="9"/>
      <c r="LK869" s="9"/>
      <c r="LL869" s="9"/>
      <c r="LM869" s="9"/>
      <c r="LN869" s="9"/>
      <c r="LO869" s="9"/>
      <c r="LP869" s="9"/>
      <c r="LQ869" s="9"/>
      <c r="LR869" s="9"/>
      <c r="LS869" s="9"/>
      <c r="LT869" s="9"/>
      <c r="LU869" s="9"/>
      <c r="LV869" s="9"/>
      <c r="LW869" s="9"/>
      <c r="LX869" s="9"/>
      <c r="LY869" s="9"/>
      <c r="LZ869" s="9"/>
      <c r="MA869" s="9"/>
      <c r="MB869" s="9"/>
      <c r="MC869" s="9"/>
      <c r="MD869" s="9"/>
      <c r="ME869" s="9"/>
      <c r="MF869" s="9"/>
      <c r="MG869" s="9"/>
      <c r="MH869" s="9"/>
      <c r="MI869" s="9"/>
      <c r="MJ869" s="9"/>
      <c r="MK869" s="9"/>
      <c r="ML869" s="9"/>
      <c r="MM869" s="9"/>
      <c r="MN869" s="9"/>
      <c r="MO869" s="9"/>
      <c r="MP869" s="9"/>
      <c r="MQ869" s="9"/>
      <c r="MR869" s="9"/>
      <c r="MS869" s="9"/>
      <c r="MT869" s="9"/>
      <c r="MU869" s="9"/>
      <c r="MV869" s="9"/>
      <c r="MW869" s="9"/>
      <c r="MX869" s="9"/>
      <c r="MY869" s="9"/>
      <c r="MZ869" s="9"/>
      <c r="NA869" s="9"/>
      <c r="NB869" s="9"/>
      <c r="NC869" s="9"/>
      <c r="ND869" s="9"/>
      <c r="NE869" s="9"/>
      <c r="NF869" s="9"/>
      <c r="NG869" s="9"/>
      <c r="NH869" s="9"/>
      <c r="NI869" s="9"/>
      <c r="NJ869" s="9"/>
      <c r="NK869" s="9"/>
      <c r="NL869" s="9"/>
      <c r="NM869" s="9"/>
      <c r="NN869" s="9"/>
      <c r="NO869" s="9"/>
      <c r="NP869" s="9"/>
      <c r="NQ869" s="9"/>
      <c r="NR869" s="9"/>
      <c r="NS869" s="9"/>
      <c r="NT869" s="9"/>
      <c r="NU869" s="9"/>
      <c r="NV869" s="9"/>
      <c r="NW869" s="9"/>
      <c r="NX869" s="9"/>
      <c r="NY869" s="9"/>
      <c r="NZ869" s="9"/>
      <c r="OA869" s="9"/>
      <c r="OB869" s="9"/>
      <c r="OC869" s="9"/>
      <c r="OD869" s="9"/>
      <c r="OE869" s="9"/>
      <c r="OF869" s="9"/>
      <c r="OG869" s="9"/>
      <c r="OH869" s="9"/>
      <c r="OI869" s="9"/>
      <c r="OJ869" s="9"/>
      <c r="OK869" s="9"/>
      <c r="OL869" s="9"/>
      <c r="OM869" s="9"/>
      <c r="ON869" s="9"/>
      <c r="OO869" s="9"/>
      <c r="OP869" s="9"/>
      <c r="OQ869" s="9"/>
      <c r="OR869" s="9"/>
      <c r="OS869" s="9"/>
      <c r="OT869" s="9"/>
      <c r="OU869" s="9"/>
      <c r="OV869" s="9"/>
      <c r="OW869" s="9"/>
      <c r="OX869" s="9"/>
      <c r="OY869" s="9"/>
      <c r="OZ869" s="9"/>
      <c r="PA869" s="9"/>
      <c r="PB869" s="9"/>
      <c r="PC869" s="9"/>
      <c r="PD869" s="9"/>
      <c r="PE869" s="9"/>
      <c r="PF869" s="9"/>
      <c r="PG869" s="9"/>
      <c r="PH869" s="9"/>
      <c r="PI869" s="9"/>
      <c r="PJ869" s="9"/>
      <c r="PK869" s="9"/>
      <c r="PL869" s="9"/>
      <c r="PM869" s="9"/>
      <c r="PN869" s="9"/>
      <c r="PO869" s="9"/>
      <c r="PP869" s="9"/>
      <c r="PQ869" s="9"/>
      <c r="PR869" s="9"/>
      <c r="PS869" s="9"/>
      <c r="PT869" s="9"/>
      <c r="PU869" s="9"/>
      <c r="PV869" s="9"/>
      <c r="PW869" s="9"/>
      <c r="PX869" s="9"/>
      <c r="PY869" s="9"/>
      <c r="PZ869" s="9"/>
      <c r="QA869" s="9"/>
      <c r="QB869" s="9"/>
      <c r="QC869" s="9"/>
      <c r="QD869" s="9"/>
      <c r="QE869" s="9"/>
      <c r="QF869" s="9"/>
      <c r="QG869" s="9"/>
      <c r="QH869" s="9"/>
      <c r="QI869" s="9"/>
      <c r="QJ869" s="9"/>
      <c r="QK869" s="9"/>
      <c r="QL869" s="9"/>
      <c r="QM869" s="9"/>
      <c r="QN869" s="9"/>
      <c r="QO869" s="9"/>
      <c r="QP869" s="9"/>
      <c r="QQ869" s="9"/>
      <c r="QR869" s="9"/>
      <c r="QS869" s="9"/>
      <c r="QT869" s="9"/>
      <c r="QU869" s="9"/>
      <c r="QV869" s="9"/>
      <c r="QW869" s="9"/>
      <c r="QX869" s="9"/>
      <c r="QY869" s="9"/>
      <c r="QZ869" s="9"/>
      <c r="RA869" s="9"/>
      <c r="RB869" s="9"/>
      <c r="RC869" s="9"/>
      <c r="RD869" s="9"/>
      <c r="RE869" s="9"/>
      <c r="RF869" s="9"/>
      <c r="RG869" s="9"/>
      <c r="RH869" s="9"/>
      <c r="RI869" s="9"/>
      <c r="RJ869" s="9"/>
      <c r="RK869" s="9"/>
      <c r="RL869" s="9"/>
      <c r="RM869" s="9"/>
      <c r="RN869" s="9"/>
      <c r="RO869" s="9"/>
      <c r="RP869" s="9"/>
      <c r="RQ869" s="9"/>
      <c r="RR869" s="9"/>
      <c r="RS869" s="9"/>
      <c r="RT869" s="9"/>
      <c r="RU869" s="9"/>
      <c r="RV869" s="9"/>
      <c r="RW869" s="9"/>
      <c r="RX869" s="9"/>
      <c r="RY869" s="9"/>
      <c r="RZ869" s="9"/>
      <c r="SA869" s="9"/>
      <c r="SB869" s="9"/>
      <c r="SC869" s="9"/>
      <c r="SD869" s="9"/>
      <c r="SE869" s="9"/>
      <c r="SF869" s="9"/>
      <c r="SG869" s="9"/>
      <c r="SH869" s="9"/>
      <c r="SI869" s="9"/>
      <c r="SJ869" s="9"/>
      <c r="SK869" s="9"/>
      <c r="SL869" s="9"/>
      <c r="SM869" s="9"/>
      <c r="SN869" s="9"/>
      <c r="SO869" s="9"/>
      <c r="SP869" s="9"/>
      <c r="SQ869" s="9"/>
      <c r="SR869" s="9"/>
      <c r="SS869" s="9"/>
      <c r="ST869" s="9"/>
      <c r="SU869" s="9"/>
      <c r="SV869" s="9"/>
      <c r="SW869" s="9"/>
      <c r="SX869" s="9"/>
      <c r="SY869" s="9"/>
      <c r="SZ869" s="9"/>
      <c r="TA869" s="9"/>
      <c r="TB869" s="9"/>
      <c r="TC869" s="9"/>
      <c r="TD869" s="9"/>
      <c r="TE869" s="9"/>
      <c r="TF869" s="9"/>
      <c r="TG869" s="9"/>
      <c r="TH869" s="9"/>
      <c r="TI869" s="9"/>
      <c r="TJ869" s="9"/>
      <c r="TK869" s="9"/>
      <c r="TL869" s="9"/>
      <c r="TM869" s="9"/>
      <c r="TN869" s="9"/>
      <c r="TO869" s="9"/>
      <c r="TP869" s="9"/>
      <c r="TQ869" s="9"/>
      <c r="TR869" s="9"/>
      <c r="TS869" s="9"/>
      <c r="TT869" s="9"/>
      <c r="TU869" s="9"/>
      <c r="TV869" s="9"/>
      <c r="TW869" s="9"/>
      <c r="TX869" s="9"/>
      <c r="TY869" s="9"/>
      <c r="TZ869" s="9"/>
      <c r="UA869" s="9"/>
      <c r="UB869" s="9"/>
      <c r="UC869" s="9"/>
      <c r="UD869" s="9"/>
      <c r="UE869" s="9"/>
      <c r="UF869" s="9"/>
      <c r="UG869" s="9"/>
      <c r="UH869" s="9"/>
      <c r="UI869" s="9"/>
      <c r="UJ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  <c r="GA870" s="9"/>
      <c r="GB870" s="9"/>
      <c r="GC870" s="9"/>
      <c r="GD870" s="9"/>
      <c r="GE870" s="9"/>
      <c r="GF870" s="9"/>
      <c r="GG870" s="9"/>
      <c r="GH870" s="9"/>
      <c r="GI870" s="9"/>
      <c r="GJ870" s="9"/>
      <c r="GK870" s="9"/>
      <c r="GL870" s="9"/>
      <c r="GM870" s="9"/>
      <c r="GN870" s="9"/>
      <c r="GO870" s="9"/>
      <c r="GP870" s="9"/>
      <c r="GQ870" s="9"/>
      <c r="GR870" s="9"/>
      <c r="GS870" s="9"/>
      <c r="GT870" s="9"/>
      <c r="GU870" s="9"/>
      <c r="GV870" s="9"/>
      <c r="GW870" s="9"/>
      <c r="GX870" s="9"/>
      <c r="GY870" s="9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  <c r="HO870" s="9"/>
      <c r="HP870" s="9"/>
      <c r="HQ870" s="9"/>
      <c r="HR870" s="9"/>
      <c r="HS870" s="9"/>
      <c r="HT870" s="9"/>
      <c r="HU870" s="9"/>
      <c r="HV870" s="9"/>
      <c r="HW870" s="9"/>
      <c r="HX870" s="9"/>
      <c r="HY870" s="9"/>
      <c r="HZ870" s="9"/>
      <c r="IA870" s="9"/>
      <c r="IB870" s="9"/>
      <c r="IC870" s="9"/>
      <c r="ID870" s="9"/>
      <c r="IE870" s="9"/>
      <c r="IF870" s="9"/>
      <c r="IG870" s="9"/>
      <c r="IH870" s="9"/>
      <c r="II870" s="9"/>
      <c r="IJ870" s="9"/>
      <c r="IK870" s="9"/>
      <c r="IL870" s="9"/>
      <c r="IM870" s="9"/>
      <c r="IN870" s="9"/>
      <c r="IO870" s="9"/>
      <c r="IP870" s="9"/>
      <c r="IQ870" s="9"/>
      <c r="IR870" s="9"/>
      <c r="IS870" s="9"/>
      <c r="IT870" s="9"/>
      <c r="IU870" s="9"/>
      <c r="IV870" s="9"/>
      <c r="IW870" s="9"/>
      <c r="IX870" s="9"/>
      <c r="IY870" s="9"/>
      <c r="IZ870" s="9"/>
      <c r="JA870" s="9"/>
      <c r="JB870" s="9"/>
      <c r="JC870" s="9"/>
      <c r="JD870" s="9"/>
      <c r="JE870" s="9"/>
      <c r="JF870" s="9"/>
      <c r="JG870" s="9"/>
      <c r="JH870" s="9"/>
      <c r="JI870" s="9"/>
      <c r="JJ870" s="9"/>
      <c r="JK870" s="9"/>
      <c r="JL870" s="9"/>
      <c r="JM870" s="9"/>
      <c r="JN870" s="9"/>
      <c r="JO870" s="9"/>
      <c r="JP870" s="9"/>
      <c r="JQ870" s="9"/>
      <c r="JR870" s="9"/>
      <c r="JS870" s="9"/>
      <c r="JT870" s="9"/>
      <c r="JU870" s="9"/>
      <c r="JV870" s="9"/>
      <c r="JW870" s="9"/>
      <c r="JX870" s="9"/>
      <c r="JY870" s="9"/>
      <c r="JZ870" s="9"/>
      <c r="KA870" s="9"/>
      <c r="KB870" s="9"/>
      <c r="KC870" s="9"/>
      <c r="KD870" s="9"/>
      <c r="KE870" s="9"/>
      <c r="KF870" s="9"/>
      <c r="KG870" s="9"/>
      <c r="KH870" s="9"/>
      <c r="KI870" s="9"/>
      <c r="KJ870" s="9"/>
      <c r="KK870" s="9"/>
      <c r="KL870" s="9"/>
      <c r="KM870" s="9"/>
      <c r="KN870" s="9"/>
      <c r="KO870" s="9"/>
      <c r="KP870" s="9"/>
      <c r="KQ870" s="9"/>
      <c r="KR870" s="9"/>
      <c r="KS870" s="9"/>
      <c r="KT870" s="9"/>
      <c r="KU870" s="9"/>
      <c r="KV870" s="9"/>
      <c r="KW870" s="9"/>
      <c r="KX870" s="9"/>
      <c r="KY870" s="9"/>
      <c r="KZ870" s="9"/>
      <c r="LA870" s="9"/>
      <c r="LB870" s="9"/>
      <c r="LC870" s="9"/>
      <c r="LD870" s="9"/>
      <c r="LE870" s="9"/>
      <c r="LF870" s="9"/>
      <c r="LG870" s="9"/>
      <c r="LH870" s="9"/>
      <c r="LI870" s="9"/>
      <c r="LJ870" s="9"/>
      <c r="LK870" s="9"/>
      <c r="LL870" s="9"/>
      <c r="LM870" s="9"/>
      <c r="LN870" s="9"/>
      <c r="LO870" s="9"/>
      <c r="LP870" s="9"/>
      <c r="LQ870" s="9"/>
      <c r="LR870" s="9"/>
      <c r="LS870" s="9"/>
      <c r="LT870" s="9"/>
      <c r="LU870" s="9"/>
      <c r="LV870" s="9"/>
      <c r="LW870" s="9"/>
      <c r="LX870" s="9"/>
      <c r="LY870" s="9"/>
      <c r="LZ870" s="9"/>
      <c r="MA870" s="9"/>
      <c r="MB870" s="9"/>
      <c r="MC870" s="9"/>
      <c r="MD870" s="9"/>
      <c r="ME870" s="9"/>
      <c r="MF870" s="9"/>
      <c r="MG870" s="9"/>
      <c r="MH870" s="9"/>
      <c r="MI870" s="9"/>
      <c r="MJ870" s="9"/>
      <c r="MK870" s="9"/>
      <c r="ML870" s="9"/>
      <c r="MM870" s="9"/>
      <c r="MN870" s="9"/>
      <c r="MO870" s="9"/>
      <c r="MP870" s="9"/>
      <c r="MQ870" s="9"/>
      <c r="MR870" s="9"/>
      <c r="MS870" s="9"/>
      <c r="MT870" s="9"/>
      <c r="MU870" s="9"/>
      <c r="MV870" s="9"/>
      <c r="MW870" s="9"/>
      <c r="MX870" s="9"/>
      <c r="MY870" s="9"/>
      <c r="MZ870" s="9"/>
      <c r="NA870" s="9"/>
      <c r="NB870" s="9"/>
      <c r="NC870" s="9"/>
      <c r="ND870" s="9"/>
      <c r="NE870" s="9"/>
      <c r="NF870" s="9"/>
      <c r="NG870" s="9"/>
      <c r="NH870" s="9"/>
      <c r="NI870" s="9"/>
      <c r="NJ870" s="9"/>
      <c r="NK870" s="9"/>
      <c r="NL870" s="9"/>
      <c r="NM870" s="9"/>
      <c r="NN870" s="9"/>
      <c r="NO870" s="9"/>
      <c r="NP870" s="9"/>
      <c r="NQ870" s="9"/>
      <c r="NR870" s="9"/>
      <c r="NS870" s="9"/>
      <c r="NT870" s="9"/>
      <c r="NU870" s="9"/>
      <c r="NV870" s="9"/>
      <c r="NW870" s="9"/>
      <c r="NX870" s="9"/>
      <c r="NY870" s="9"/>
      <c r="NZ870" s="9"/>
      <c r="OA870" s="9"/>
      <c r="OB870" s="9"/>
      <c r="OC870" s="9"/>
      <c r="OD870" s="9"/>
      <c r="OE870" s="9"/>
      <c r="OF870" s="9"/>
      <c r="OG870" s="9"/>
      <c r="OH870" s="9"/>
      <c r="OI870" s="9"/>
      <c r="OJ870" s="9"/>
      <c r="OK870" s="9"/>
      <c r="OL870" s="9"/>
      <c r="OM870" s="9"/>
      <c r="ON870" s="9"/>
      <c r="OO870" s="9"/>
      <c r="OP870" s="9"/>
      <c r="OQ870" s="9"/>
      <c r="OR870" s="9"/>
      <c r="OS870" s="9"/>
      <c r="OT870" s="9"/>
      <c r="OU870" s="9"/>
      <c r="OV870" s="9"/>
      <c r="OW870" s="9"/>
      <c r="OX870" s="9"/>
      <c r="OY870" s="9"/>
      <c r="OZ870" s="9"/>
      <c r="PA870" s="9"/>
      <c r="PB870" s="9"/>
      <c r="PC870" s="9"/>
      <c r="PD870" s="9"/>
      <c r="PE870" s="9"/>
      <c r="PF870" s="9"/>
      <c r="PG870" s="9"/>
      <c r="PH870" s="9"/>
      <c r="PI870" s="9"/>
      <c r="PJ870" s="9"/>
      <c r="PK870" s="9"/>
      <c r="PL870" s="9"/>
      <c r="PM870" s="9"/>
      <c r="PN870" s="9"/>
      <c r="PO870" s="9"/>
      <c r="PP870" s="9"/>
      <c r="PQ870" s="9"/>
      <c r="PR870" s="9"/>
      <c r="PS870" s="9"/>
      <c r="PT870" s="9"/>
      <c r="PU870" s="9"/>
      <c r="PV870" s="9"/>
      <c r="PW870" s="9"/>
      <c r="PX870" s="9"/>
      <c r="PY870" s="9"/>
      <c r="PZ870" s="9"/>
      <c r="QA870" s="9"/>
      <c r="QB870" s="9"/>
      <c r="QC870" s="9"/>
      <c r="QD870" s="9"/>
      <c r="QE870" s="9"/>
      <c r="QF870" s="9"/>
      <c r="QG870" s="9"/>
      <c r="QH870" s="9"/>
      <c r="QI870" s="9"/>
      <c r="QJ870" s="9"/>
      <c r="QK870" s="9"/>
      <c r="QL870" s="9"/>
      <c r="QM870" s="9"/>
      <c r="QN870" s="9"/>
      <c r="QO870" s="9"/>
      <c r="QP870" s="9"/>
      <c r="QQ870" s="9"/>
      <c r="QR870" s="9"/>
      <c r="QS870" s="9"/>
      <c r="QT870" s="9"/>
      <c r="QU870" s="9"/>
      <c r="QV870" s="9"/>
      <c r="QW870" s="9"/>
      <c r="QX870" s="9"/>
      <c r="QY870" s="9"/>
      <c r="QZ870" s="9"/>
      <c r="RA870" s="9"/>
      <c r="RB870" s="9"/>
      <c r="RC870" s="9"/>
      <c r="RD870" s="9"/>
      <c r="RE870" s="9"/>
      <c r="RF870" s="9"/>
      <c r="RG870" s="9"/>
      <c r="RH870" s="9"/>
      <c r="RI870" s="9"/>
      <c r="RJ870" s="9"/>
      <c r="RK870" s="9"/>
      <c r="RL870" s="9"/>
      <c r="RM870" s="9"/>
      <c r="RN870" s="9"/>
      <c r="RO870" s="9"/>
      <c r="RP870" s="9"/>
      <c r="RQ870" s="9"/>
      <c r="RR870" s="9"/>
      <c r="RS870" s="9"/>
      <c r="RT870" s="9"/>
      <c r="RU870" s="9"/>
      <c r="RV870" s="9"/>
      <c r="RW870" s="9"/>
      <c r="RX870" s="9"/>
      <c r="RY870" s="9"/>
      <c r="RZ870" s="9"/>
      <c r="SA870" s="9"/>
      <c r="SB870" s="9"/>
      <c r="SC870" s="9"/>
      <c r="SD870" s="9"/>
      <c r="SE870" s="9"/>
      <c r="SF870" s="9"/>
      <c r="SG870" s="9"/>
      <c r="SH870" s="9"/>
      <c r="SI870" s="9"/>
      <c r="SJ870" s="9"/>
      <c r="SK870" s="9"/>
      <c r="SL870" s="9"/>
      <c r="SM870" s="9"/>
      <c r="SN870" s="9"/>
      <c r="SO870" s="9"/>
      <c r="SP870" s="9"/>
      <c r="SQ870" s="9"/>
      <c r="SR870" s="9"/>
      <c r="SS870" s="9"/>
      <c r="ST870" s="9"/>
      <c r="SU870" s="9"/>
      <c r="SV870" s="9"/>
      <c r="SW870" s="9"/>
      <c r="SX870" s="9"/>
      <c r="SY870" s="9"/>
      <c r="SZ870" s="9"/>
      <c r="TA870" s="9"/>
      <c r="TB870" s="9"/>
      <c r="TC870" s="9"/>
      <c r="TD870" s="9"/>
      <c r="TE870" s="9"/>
      <c r="TF870" s="9"/>
      <c r="TG870" s="9"/>
      <c r="TH870" s="9"/>
      <c r="TI870" s="9"/>
      <c r="TJ870" s="9"/>
      <c r="TK870" s="9"/>
      <c r="TL870" s="9"/>
      <c r="TM870" s="9"/>
      <c r="TN870" s="9"/>
      <c r="TO870" s="9"/>
      <c r="TP870" s="9"/>
      <c r="TQ870" s="9"/>
      <c r="TR870" s="9"/>
      <c r="TS870" s="9"/>
      <c r="TT870" s="9"/>
      <c r="TU870" s="9"/>
      <c r="TV870" s="9"/>
      <c r="TW870" s="9"/>
      <c r="TX870" s="9"/>
      <c r="TY870" s="9"/>
      <c r="TZ870" s="9"/>
      <c r="UA870" s="9"/>
      <c r="UB870" s="9"/>
      <c r="UC870" s="9"/>
      <c r="UD870" s="9"/>
      <c r="UE870" s="9"/>
      <c r="UF870" s="9"/>
      <c r="UG870" s="9"/>
      <c r="UH870" s="9"/>
      <c r="UI870" s="9"/>
      <c r="UJ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9"/>
      <c r="FP871" s="9"/>
      <c r="FQ871" s="9"/>
      <c r="FR871" s="9"/>
      <c r="FS871" s="9"/>
      <c r="FT871" s="9"/>
      <c r="FU871" s="9"/>
      <c r="FV871" s="9"/>
      <c r="FW871" s="9"/>
      <c r="FX871" s="9"/>
      <c r="FY871" s="9"/>
      <c r="FZ871" s="9"/>
      <c r="GA871" s="9"/>
      <c r="GB871" s="9"/>
      <c r="GC871" s="9"/>
      <c r="GD871" s="9"/>
      <c r="GE871" s="9"/>
      <c r="GF871" s="9"/>
      <c r="GG871" s="9"/>
      <c r="GH871" s="9"/>
      <c r="GI871" s="9"/>
      <c r="GJ871" s="9"/>
      <c r="GK871" s="9"/>
      <c r="GL871" s="9"/>
      <c r="GM871" s="9"/>
      <c r="GN871" s="9"/>
      <c r="GO871" s="9"/>
      <c r="GP871" s="9"/>
      <c r="GQ871" s="9"/>
      <c r="GR871" s="9"/>
      <c r="GS871" s="9"/>
      <c r="GT871" s="9"/>
      <c r="GU871" s="9"/>
      <c r="GV871" s="9"/>
      <c r="GW871" s="9"/>
      <c r="GX871" s="9"/>
      <c r="GY871" s="9"/>
      <c r="GZ871" s="9"/>
      <c r="HA871" s="9"/>
      <c r="HB871" s="9"/>
      <c r="HC871" s="9"/>
      <c r="HD871" s="9"/>
      <c r="HE871" s="9"/>
      <c r="HF871" s="9"/>
      <c r="HG871" s="9"/>
      <c r="HH871" s="9"/>
      <c r="HI871" s="9"/>
      <c r="HJ871" s="9"/>
      <c r="HK871" s="9"/>
      <c r="HL871" s="9"/>
      <c r="HM871" s="9"/>
      <c r="HN871" s="9"/>
      <c r="HO871" s="9"/>
      <c r="HP871" s="9"/>
      <c r="HQ871" s="9"/>
      <c r="HR871" s="9"/>
      <c r="HS871" s="9"/>
      <c r="HT871" s="9"/>
      <c r="HU871" s="9"/>
      <c r="HV871" s="9"/>
      <c r="HW871" s="9"/>
      <c r="HX871" s="9"/>
      <c r="HY871" s="9"/>
      <c r="HZ871" s="9"/>
      <c r="IA871" s="9"/>
      <c r="IB871" s="9"/>
      <c r="IC871" s="9"/>
      <c r="ID871" s="9"/>
      <c r="IE871" s="9"/>
      <c r="IF871" s="9"/>
      <c r="IG871" s="9"/>
      <c r="IH871" s="9"/>
      <c r="II871" s="9"/>
      <c r="IJ871" s="9"/>
      <c r="IK871" s="9"/>
      <c r="IL871" s="9"/>
      <c r="IM871" s="9"/>
      <c r="IN871" s="9"/>
      <c r="IO871" s="9"/>
      <c r="IP871" s="9"/>
      <c r="IQ871" s="9"/>
      <c r="IR871" s="9"/>
      <c r="IS871" s="9"/>
      <c r="IT871" s="9"/>
      <c r="IU871" s="9"/>
      <c r="IV871" s="9"/>
      <c r="IW871" s="9"/>
      <c r="IX871" s="9"/>
      <c r="IY871" s="9"/>
      <c r="IZ871" s="9"/>
      <c r="JA871" s="9"/>
      <c r="JB871" s="9"/>
      <c r="JC871" s="9"/>
      <c r="JD871" s="9"/>
      <c r="JE871" s="9"/>
      <c r="JF871" s="9"/>
      <c r="JG871" s="9"/>
      <c r="JH871" s="9"/>
      <c r="JI871" s="9"/>
      <c r="JJ871" s="9"/>
      <c r="JK871" s="9"/>
      <c r="JL871" s="9"/>
      <c r="JM871" s="9"/>
      <c r="JN871" s="9"/>
      <c r="JO871" s="9"/>
      <c r="JP871" s="9"/>
      <c r="JQ871" s="9"/>
      <c r="JR871" s="9"/>
      <c r="JS871" s="9"/>
      <c r="JT871" s="9"/>
      <c r="JU871" s="9"/>
      <c r="JV871" s="9"/>
      <c r="JW871" s="9"/>
      <c r="JX871" s="9"/>
      <c r="JY871" s="9"/>
      <c r="JZ871" s="9"/>
      <c r="KA871" s="9"/>
      <c r="KB871" s="9"/>
      <c r="KC871" s="9"/>
      <c r="KD871" s="9"/>
      <c r="KE871" s="9"/>
      <c r="KF871" s="9"/>
      <c r="KG871" s="9"/>
      <c r="KH871" s="9"/>
      <c r="KI871" s="9"/>
      <c r="KJ871" s="9"/>
      <c r="KK871" s="9"/>
      <c r="KL871" s="9"/>
      <c r="KM871" s="9"/>
      <c r="KN871" s="9"/>
      <c r="KO871" s="9"/>
      <c r="KP871" s="9"/>
      <c r="KQ871" s="9"/>
      <c r="KR871" s="9"/>
      <c r="KS871" s="9"/>
      <c r="KT871" s="9"/>
      <c r="KU871" s="9"/>
      <c r="KV871" s="9"/>
      <c r="KW871" s="9"/>
      <c r="KX871" s="9"/>
      <c r="KY871" s="9"/>
      <c r="KZ871" s="9"/>
      <c r="LA871" s="9"/>
      <c r="LB871" s="9"/>
      <c r="LC871" s="9"/>
      <c r="LD871" s="9"/>
      <c r="LE871" s="9"/>
      <c r="LF871" s="9"/>
      <c r="LG871" s="9"/>
      <c r="LH871" s="9"/>
      <c r="LI871" s="9"/>
      <c r="LJ871" s="9"/>
      <c r="LK871" s="9"/>
      <c r="LL871" s="9"/>
      <c r="LM871" s="9"/>
      <c r="LN871" s="9"/>
      <c r="LO871" s="9"/>
      <c r="LP871" s="9"/>
      <c r="LQ871" s="9"/>
      <c r="LR871" s="9"/>
      <c r="LS871" s="9"/>
      <c r="LT871" s="9"/>
      <c r="LU871" s="9"/>
      <c r="LV871" s="9"/>
      <c r="LW871" s="9"/>
      <c r="LX871" s="9"/>
      <c r="LY871" s="9"/>
      <c r="LZ871" s="9"/>
      <c r="MA871" s="9"/>
      <c r="MB871" s="9"/>
      <c r="MC871" s="9"/>
      <c r="MD871" s="9"/>
      <c r="ME871" s="9"/>
      <c r="MF871" s="9"/>
      <c r="MG871" s="9"/>
      <c r="MH871" s="9"/>
      <c r="MI871" s="9"/>
      <c r="MJ871" s="9"/>
      <c r="MK871" s="9"/>
      <c r="ML871" s="9"/>
      <c r="MM871" s="9"/>
      <c r="MN871" s="9"/>
      <c r="MO871" s="9"/>
      <c r="MP871" s="9"/>
      <c r="MQ871" s="9"/>
      <c r="MR871" s="9"/>
      <c r="MS871" s="9"/>
      <c r="MT871" s="9"/>
      <c r="MU871" s="9"/>
      <c r="MV871" s="9"/>
      <c r="MW871" s="9"/>
      <c r="MX871" s="9"/>
      <c r="MY871" s="9"/>
      <c r="MZ871" s="9"/>
      <c r="NA871" s="9"/>
      <c r="NB871" s="9"/>
      <c r="NC871" s="9"/>
      <c r="ND871" s="9"/>
      <c r="NE871" s="9"/>
      <c r="NF871" s="9"/>
      <c r="NG871" s="9"/>
      <c r="NH871" s="9"/>
      <c r="NI871" s="9"/>
      <c r="NJ871" s="9"/>
      <c r="NK871" s="9"/>
      <c r="NL871" s="9"/>
      <c r="NM871" s="9"/>
      <c r="NN871" s="9"/>
      <c r="NO871" s="9"/>
      <c r="NP871" s="9"/>
      <c r="NQ871" s="9"/>
      <c r="NR871" s="9"/>
      <c r="NS871" s="9"/>
      <c r="NT871" s="9"/>
      <c r="NU871" s="9"/>
      <c r="NV871" s="9"/>
      <c r="NW871" s="9"/>
      <c r="NX871" s="9"/>
      <c r="NY871" s="9"/>
      <c r="NZ871" s="9"/>
      <c r="OA871" s="9"/>
      <c r="OB871" s="9"/>
      <c r="OC871" s="9"/>
      <c r="OD871" s="9"/>
      <c r="OE871" s="9"/>
      <c r="OF871" s="9"/>
      <c r="OG871" s="9"/>
      <c r="OH871" s="9"/>
      <c r="OI871" s="9"/>
      <c r="OJ871" s="9"/>
      <c r="OK871" s="9"/>
      <c r="OL871" s="9"/>
      <c r="OM871" s="9"/>
      <c r="ON871" s="9"/>
      <c r="OO871" s="9"/>
      <c r="OP871" s="9"/>
      <c r="OQ871" s="9"/>
      <c r="OR871" s="9"/>
      <c r="OS871" s="9"/>
      <c r="OT871" s="9"/>
      <c r="OU871" s="9"/>
      <c r="OV871" s="9"/>
      <c r="OW871" s="9"/>
      <c r="OX871" s="9"/>
      <c r="OY871" s="9"/>
      <c r="OZ871" s="9"/>
      <c r="PA871" s="9"/>
      <c r="PB871" s="9"/>
      <c r="PC871" s="9"/>
      <c r="PD871" s="9"/>
      <c r="PE871" s="9"/>
      <c r="PF871" s="9"/>
      <c r="PG871" s="9"/>
      <c r="PH871" s="9"/>
      <c r="PI871" s="9"/>
      <c r="PJ871" s="9"/>
      <c r="PK871" s="9"/>
      <c r="PL871" s="9"/>
      <c r="PM871" s="9"/>
      <c r="PN871" s="9"/>
      <c r="PO871" s="9"/>
      <c r="PP871" s="9"/>
      <c r="PQ871" s="9"/>
      <c r="PR871" s="9"/>
      <c r="PS871" s="9"/>
      <c r="PT871" s="9"/>
      <c r="PU871" s="9"/>
      <c r="PV871" s="9"/>
      <c r="PW871" s="9"/>
      <c r="PX871" s="9"/>
      <c r="PY871" s="9"/>
      <c r="PZ871" s="9"/>
      <c r="QA871" s="9"/>
      <c r="QB871" s="9"/>
      <c r="QC871" s="9"/>
      <c r="QD871" s="9"/>
      <c r="QE871" s="9"/>
      <c r="QF871" s="9"/>
      <c r="QG871" s="9"/>
      <c r="QH871" s="9"/>
      <c r="QI871" s="9"/>
      <c r="QJ871" s="9"/>
      <c r="QK871" s="9"/>
      <c r="QL871" s="9"/>
      <c r="QM871" s="9"/>
      <c r="QN871" s="9"/>
      <c r="QO871" s="9"/>
      <c r="QP871" s="9"/>
      <c r="QQ871" s="9"/>
      <c r="QR871" s="9"/>
      <c r="QS871" s="9"/>
      <c r="QT871" s="9"/>
      <c r="QU871" s="9"/>
      <c r="QV871" s="9"/>
      <c r="QW871" s="9"/>
      <c r="QX871" s="9"/>
      <c r="QY871" s="9"/>
      <c r="QZ871" s="9"/>
      <c r="RA871" s="9"/>
      <c r="RB871" s="9"/>
      <c r="RC871" s="9"/>
      <c r="RD871" s="9"/>
      <c r="RE871" s="9"/>
      <c r="RF871" s="9"/>
      <c r="RG871" s="9"/>
      <c r="RH871" s="9"/>
      <c r="RI871" s="9"/>
      <c r="RJ871" s="9"/>
      <c r="RK871" s="9"/>
      <c r="RL871" s="9"/>
      <c r="RM871" s="9"/>
      <c r="RN871" s="9"/>
      <c r="RO871" s="9"/>
      <c r="RP871" s="9"/>
      <c r="RQ871" s="9"/>
      <c r="RR871" s="9"/>
      <c r="RS871" s="9"/>
      <c r="RT871" s="9"/>
      <c r="RU871" s="9"/>
      <c r="RV871" s="9"/>
      <c r="RW871" s="9"/>
      <c r="RX871" s="9"/>
      <c r="RY871" s="9"/>
      <c r="RZ871" s="9"/>
      <c r="SA871" s="9"/>
      <c r="SB871" s="9"/>
      <c r="SC871" s="9"/>
      <c r="SD871" s="9"/>
      <c r="SE871" s="9"/>
      <c r="SF871" s="9"/>
      <c r="SG871" s="9"/>
      <c r="SH871" s="9"/>
      <c r="SI871" s="9"/>
      <c r="SJ871" s="9"/>
      <c r="SK871" s="9"/>
      <c r="SL871" s="9"/>
      <c r="SM871" s="9"/>
      <c r="SN871" s="9"/>
      <c r="SO871" s="9"/>
      <c r="SP871" s="9"/>
      <c r="SQ871" s="9"/>
      <c r="SR871" s="9"/>
      <c r="SS871" s="9"/>
      <c r="ST871" s="9"/>
      <c r="SU871" s="9"/>
      <c r="SV871" s="9"/>
      <c r="SW871" s="9"/>
      <c r="SX871" s="9"/>
      <c r="SY871" s="9"/>
      <c r="SZ871" s="9"/>
      <c r="TA871" s="9"/>
      <c r="TB871" s="9"/>
      <c r="TC871" s="9"/>
      <c r="TD871" s="9"/>
      <c r="TE871" s="9"/>
      <c r="TF871" s="9"/>
      <c r="TG871" s="9"/>
      <c r="TH871" s="9"/>
      <c r="TI871" s="9"/>
      <c r="TJ871" s="9"/>
      <c r="TK871" s="9"/>
      <c r="TL871" s="9"/>
      <c r="TM871" s="9"/>
      <c r="TN871" s="9"/>
      <c r="TO871" s="9"/>
      <c r="TP871" s="9"/>
      <c r="TQ871" s="9"/>
      <c r="TR871" s="9"/>
      <c r="TS871" s="9"/>
      <c r="TT871" s="9"/>
      <c r="TU871" s="9"/>
      <c r="TV871" s="9"/>
      <c r="TW871" s="9"/>
      <c r="TX871" s="9"/>
      <c r="TY871" s="9"/>
      <c r="TZ871" s="9"/>
      <c r="UA871" s="9"/>
      <c r="UB871" s="9"/>
      <c r="UC871" s="9"/>
      <c r="UD871" s="9"/>
      <c r="UE871" s="9"/>
      <c r="UF871" s="9"/>
      <c r="UG871" s="9"/>
      <c r="UH871" s="9"/>
      <c r="UI871" s="9"/>
      <c r="UJ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9"/>
      <c r="GV872" s="9"/>
      <c r="GW872" s="9"/>
      <c r="GX872" s="9"/>
      <c r="GY872" s="9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  <c r="HO872" s="9"/>
      <c r="HP872" s="9"/>
      <c r="HQ872" s="9"/>
      <c r="HR872" s="9"/>
      <c r="HS872" s="9"/>
      <c r="HT872" s="9"/>
      <c r="HU872" s="9"/>
      <c r="HV872" s="9"/>
      <c r="HW872" s="9"/>
      <c r="HX872" s="9"/>
      <c r="HY872" s="9"/>
      <c r="HZ872" s="9"/>
      <c r="IA872" s="9"/>
      <c r="IB872" s="9"/>
      <c r="IC872" s="9"/>
      <c r="ID872" s="9"/>
      <c r="IE872" s="9"/>
      <c r="IF872" s="9"/>
      <c r="IG872" s="9"/>
      <c r="IH872" s="9"/>
      <c r="II872" s="9"/>
      <c r="IJ872" s="9"/>
      <c r="IK872" s="9"/>
      <c r="IL872" s="9"/>
      <c r="IM872" s="9"/>
      <c r="IN872" s="9"/>
      <c r="IO872" s="9"/>
      <c r="IP872" s="9"/>
      <c r="IQ872" s="9"/>
      <c r="IR872" s="9"/>
      <c r="IS872" s="9"/>
      <c r="IT872" s="9"/>
      <c r="IU872" s="9"/>
      <c r="IV872" s="9"/>
      <c r="IW872" s="9"/>
      <c r="IX872" s="9"/>
      <c r="IY872" s="9"/>
      <c r="IZ872" s="9"/>
      <c r="JA872" s="9"/>
      <c r="JB872" s="9"/>
      <c r="JC872" s="9"/>
      <c r="JD872" s="9"/>
      <c r="JE872" s="9"/>
      <c r="JF872" s="9"/>
      <c r="JG872" s="9"/>
      <c r="JH872" s="9"/>
      <c r="JI872" s="9"/>
      <c r="JJ872" s="9"/>
      <c r="JK872" s="9"/>
      <c r="JL872" s="9"/>
      <c r="JM872" s="9"/>
      <c r="JN872" s="9"/>
      <c r="JO872" s="9"/>
      <c r="JP872" s="9"/>
      <c r="JQ872" s="9"/>
      <c r="JR872" s="9"/>
      <c r="JS872" s="9"/>
      <c r="JT872" s="9"/>
      <c r="JU872" s="9"/>
      <c r="JV872" s="9"/>
      <c r="JW872" s="9"/>
      <c r="JX872" s="9"/>
      <c r="JY872" s="9"/>
      <c r="JZ872" s="9"/>
      <c r="KA872" s="9"/>
      <c r="KB872" s="9"/>
      <c r="KC872" s="9"/>
      <c r="KD872" s="9"/>
      <c r="KE872" s="9"/>
      <c r="KF872" s="9"/>
      <c r="KG872" s="9"/>
      <c r="KH872" s="9"/>
      <c r="KI872" s="9"/>
      <c r="KJ872" s="9"/>
      <c r="KK872" s="9"/>
      <c r="KL872" s="9"/>
      <c r="KM872" s="9"/>
      <c r="KN872" s="9"/>
      <c r="KO872" s="9"/>
      <c r="KP872" s="9"/>
      <c r="KQ872" s="9"/>
      <c r="KR872" s="9"/>
      <c r="KS872" s="9"/>
      <c r="KT872" s="9"/>
      <c r="KU872" s="9"/>
      <c r="KV872" s="9"/>
      <c r="KW872" s="9"/>
      <c r="KX872" s="9"/>
      <c r="KY872" s="9"/>
      <c r="KZ872" s="9"/>
      <c r="LA872" s="9"/>
      <c r="LB872" s="9"/>
      <c r="LC872" s="9"/>
      <c r="LD872" s="9"/>
      <c r="LE872" s="9"/>
      <c r="LF872" s="9"/>
      <c r="LG872" s="9"/>
      <c r="LH872" s="9"/>
      <c r="LI872" s="9"/>
      <c r="LJ872" s="9"/>
      <c r="LK872" s="9"/>
      <c r="LL872" s="9"/>
      <c r="LM872" s="9"/>
      <c r="LN872" s="9"/>
      <c r="LO872" s="9"/>
      <c r="LP872" s="9"/>
      <c r="LQ872" s="9"/>
      <c r="LR872" s="9"/>
      <c r="LS872" s="9"/>
      <c r="LT872" s="9"/>
      <c r="LU872" s="9"/>
      <c r="LV872" s="9"/>
      <c r="LW872" s="9"/>
      <c r="LX872" s="9"/>
      <c r="LY872" s="9"/>
      <c r="LZ872" s="9"/>
      <c r="MA872" s="9"/>
      <c r="MB872" s="9"/>
      <c r="MC872" s="9"/>
      <c r="MD872" s="9"/>
      <c r="ME872" s="9"/>
      <c r="MF872" s="9"/>
      <c r="MG872" s="9"/>
      <c r="MH872" s="9"/>
      <c r="MI872" s="9"/>
      <c r="MJ872" s="9"/>
      <c r="MK872" s="9"/>
      <c r="ML872" s="9"/>
      <c r="MM872" s="9"/>
      <c r="MN872" s="9"/>
      <c r="MO872" s="9"/>
      <c r="MP872" s="9"/>
      <c r="MQ872" s="9"/>
      <c r="MR872" s="9"/>
      <c r="MS872" s="9"/>
      <c r="MT872" s="9"/>
      <c r="MU872" s="9"/>
      <c r="MV872" s="9"/>
      <c r="MW872" s="9"/>
      <c r="MX872" s="9"/>
      <c r="MY872" s="9"/>
      <c r="MZ872" s="9"/>
      <c r="NA872" s="9"/>
      <c r="NB872" s="9"/>
      <c r="NC872" s="9"/>
      <c r="ND872" s="9"/>
      <c r="NE872" s="9"/>
      <c r="NF872" s="9"/>
      <c r="NG872" s="9"/>
      <c r="NH872" s="9"/>
      <c r="NI872" s="9"/>
      <c r="NJ872" s="9"/>
      <c r="NK872" s="9"/>
      <c r="NL872" s="9"/>
      <c r="NM872" s="9"/>
      <c r="NN872" s="9"/>
      <c r="NO872" s="9"/>
      <c r="NP872" s="9"/>
      <c r="NQ872" s="9"/>
      <c r="NR872" s="9"/>
      <c r="NS872" s="9"/>
      <c r="NT872" s="9"/>
      <c r="NU872" s="9"/>
      <c r="NV872" s="9"/>
      <c r="NW872" s="9"/>
      <c r="NX872" s="9"/>
      <c r="NY872" s="9"/>
      <c r="NZ872" s="9"/>
      <c r="OA872" s="9"/>
      <c r="OB872" s="9"/>
      <c r="OC872" s="9"/>
      <c r="OD872" s="9"/>
      <c r="OE872" s="9"/>
      <c r="OF872" s="9"/>
      <c r="OG872" s="9"/>
      <c r="OH872" s="9"/>
      <c r="OI872" s="9"/>
      <c r="OJ872" s="9"/>
      <c r="OK872" s="9"/>
      <c r="OL872" s="9"/>
      <c r="OM872" s="9"/>
      <c r="ON872" s="9"/>
      <c r="OO872" s="9"/>
      <c r="OP872" s="9"/>
      <c r="OQ872" s="9"/>
      <c r="OR872" s="9"/>
      <c r="OS872" s="9"/>
      <c r="OT872" s="9"/>
      <c r="OU872" s="9"/>
      <c r="OV872" s="9"/>
      <c r="OW872" s="9"/>
      <c r="OX872" s="9"/>
      <c r="OY872" s="9"/>
      <c r="OZ872" s="9"/>
      <c r="PA872" s="9"/>
      <c r="PB872" s="9"/>
      <c r="PC872" s="9"/>
      <c r="PD872" s="9"/>
      <c r="PE872" s="9"/>
      <c r="PF872" s="9"/>
      <c r="PG872" s="9"/>
      <c r="PH872" s="9"/>
      <c r="PI872" s="9"/>
      <c r="PJ872" s="9"/>
      <c r="PK872" s="9"/>
      <c r="PL872" s="9"/>
      <c r="PM872" s="9"/>
      <c r="PN872" s="9"/>
      <c r="PO872" s="9"/>
      <c r="PP872" s="9"/>
      <c r="PQ872" s="9"/>
      <c r="PR872" s="9"/>
      <c r="PS872" s="9"/>
      <c r="PT872" s="9"/>
      <c r="PU872" s="9"/>
      <c r="PV872" s="9"/>
      <c r="PW872" s="9"/>
      <c r="PX872" s="9"/>
      <c r="PY872" s="9"/>
      <c r="PZ872" s="9"/>
      <c r="QA872" s="9"/>
      <c r="QB872" s="9"/>
      <c r="QC872" s="9"/>
      <c r="QD872" s="9"/>
      <c r="QE872" s="9"/>
      <c r="QF872" s="9"/>
      <c r="QG872" s="9"/>
      <c r="QH872" s="9"/>
      <c r="QI872" s="9"/>
      <c r="QJ872" s="9"/>
      <c r="QK872" s="9"/>
      <c r="QL872" s="9"/>
      <c r="QM872" s="9"/>
      <c r="QN872" s="9"/>
      <c r="QO872" s="9"/>
      <c r="QP872" s="9"/>
      <c r="QQ872" s="9"/>
      <c r="QR872" s="9"/>
      <c r="QS872" s="9"/>
      <c r="QT872" s="9"/>
      <c r="QU872" s="9"/>
      <c r="QV872" s="9"/>
      <c r="QW872" s="9"/>
      <c r="QX872" s="9"/>
      <c r="QY872" s="9"/>
      <c r="QZ872" s="9"/>
      <c r="RA872" s="9"/>
      <c r="RB872" s="9"/>
      <c r="RC872" s="9"/>
      <c r="RD872" s="9"/>
      <c r="RE872" s="9"/>
      <c r="RF872" s="9"/>
      <c r="RG872" s="9"/>
      <c r="RH872" s="9"/>
      <c r="RI872" s="9"/>
      <c r="RJ872" s="9"/>
      <c r="RK872" s="9"/>
      <c r="RL872" s="9"/>
      <c r="RM872" s="9"/>
      <c r="RN872" s="9"/>
      <c r="RO872" s="9"/>
      <c r="RP872" s="9"/>
      <c r="RQ872" s="9"/>
      <c r="RR872" s="9"/>
      <c r="RS872" s="9"/>
      <c r="RT872" s="9"/>
      <c r="RU872" s="9"/>
      <c r="RV872" s="9"/>
      <c r="RW872" s="9"/>
      <c r="RX872" s="9"/>
      <c r="RY872" s="9"/>
      <c r="RZ872" s="9"/>
      <c r="SA872" s="9"/>
      <c r="SB872" s="9"/>
      <c r="SC872" s="9"/>
      <c r="SD872" s="9"/>
      <c r="SE872" s="9"/>
      <c r="SF872" s="9"/>
      <c r="SG872" s="9"/>
      <c r="SH872" s="9"/>
      <c r="SI872" s="9"/>
      <c r="SJ872" s="9"/>
      <c r="SK872" s="9"/>
      <c r="SL872" s="9"/>
      <c r="SM872" s="9"/>
      <c r="SN872" s="9"/>
      <c r="SO872" s="9"/>
      <c r="SP872" s="9"/>
      <c r="SQ872" s="9"/>
      <c r="SR872" s="9"/>
      <c r="SS872" s="9"/>
      <c r="ST872" s="9"/>
      <c r="SU872" s="9"/>
      <c r="SV872" s="9"/>
      <c r="SW872" s="9"/>
      <c r="SX872" s="9"/>
      <c r="SY872" s="9"/>
      <c r="SZ872" s="9"/>
      <c r="TA872" s="9"/>
      <c r="TB872" s="9"/>
      <c r="TC872" s="9"/>
      <c r="TD872" s="9"/>
      <c r="TE872" s="9"/>
      <c r="TF872" s="9"/>
      <c r="TG872" s="9"/>
      <c r="TH872" s="9"/>
      <c r="TI872" s="9"/>
      <c r="TJ872" s="9"/>
      <c r="TK872" s="9"/>
      <c r="TL872" s="9"/>
      <c r="TM872" s="9"/>
      <c r="TN872" s="9"/>
      <c r="TO872" s="9"/>
      <c r="TP872" s="9"/>
      <c r="TQ872" s="9"/>
      <c r="TR872" s="9"/>
      <c r="TS872" s="9"/>
      <c r="TT872" s="9"/>
      <c r="TU872" s="9"/>
      <c r="TV872" s="9"/>
      <c r="TW872" s="9"/>
      <c r="TX872" s="9"/>
      <c r="TY872" s="9"/>
      <c r="TZ872" s="9"/>
      <c r="UA872" s="9"/>
      <c r="UB872" s="9"/>
      <c r="UC872" s="9"/>
      <c r="UD872" s="9"/>
      <c r="UE872" s="9"/>
      <c r="UF872" s="9"/>
      <c r="UG872" s="9"/>
      <c r="UH872" s="9"/>
      <c r="UI872" s="9"/>
      <c r="UJ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/>
      <c r="FJ873" s="9"/>
      <c r="FK873" s="9"/>
      <c r="FL873" s="9"/>
      <c r="FM873" s="9"/>
      <c r="FN873" s="9"/>
      <c r="FO873" s="9"/>
      <c r="FP873" s="9"/>
      <c r="FQ873" s="9"/>
      <c r="FR873" s="9"/>
      <c r="FS873" s="9"/>
      <c r="FT873" s="9"/>
      <c r="FU873" s="9"/>
      <c r="FV873" s="9"/>
      <c r="FW873" s="9"/>
      <c r="FX873" s="9"/>
      <c r="FY873" s="9"/>
      <c r="FZ873" s="9"/>
      <c r="GA873" s="9"/>
      <c r="GB873" s="9"/>
      <c r="GC873" s="9"/>
      <c r="GD873" s="9"/>
      <c r="GE873" s="9"/>
      <c r="GF873" s="9"/>
      <c r="GG873" s="9"/>
      <c r="GH873" s="9"/>
      <c r="GI873" s="9"/>
      <c r="GJ873" s="9"/>
      <c r="GK873" s="9"/>
      <c r="GL873" s="9"/>
      <c r="GM873" s="9"/>
      <c r="GN873" s="9"/>
      <c r="GO873" s="9"/>
      <c r="GP873" s="9"/>
      <c r="GQ873" s="9"/>
      <c r="GR873" s="9"/>
      <c r="GS873" s="9"/>
      <c r="GT873" s="9"/>
      <c r="GU873" s="9"/>
      <c r="GV873" s="9"/>
      <c r="GW873" s="9"/>
      <c r="GX873" s="9"/>
      <c r="GY873" s="9"/>
      <c r="GZ873" s="9"/>
      <c r="HA873" s="9"/>
      <c r="HB873" s="9"/>
      <c r="HC873" s="9"/>
      <c r="HD873" s="9"/>
      <c r="HE873" s="9"/>
      <c r="HF873" s="9"/>
      <c r="HG873" s="9"/>
      <c r="HH873" s="9"/>
      <c r="HI873" s="9"/>
      <c r="HJ873" s="9"/>
      <c r="HK873" s="9"/>
      <c r="HL873" s="9"/>
      <c r="HM873" s="9"/>
      <c r="HN873" s="9"/>
      <c r="HO873" s="9"/>
      <c r="HP873" s="9"/>
      <c r="HQ873" s="9"/>
      <c r="HR873" s="9"/>
      <c r="HS873" s="9"/>
      <c r="HT873" s="9"/>
      <c r="HU873" s="9"/>
      <c r="HV873" s="9"/>
      <c r="HW873" s="9"/>
      <c r="HX873" s="9"/>
      <c r="HY873" s="9"/>
      <c r="HZ873" s="9"/>
      <c r="IA873" s="9"/>
      <c r="IB873" s="9"/>
      <c r="IC873" s="9"/>
      <c r="ID873" s="9"/>
      <c r="IE873" s="9"/>
      <c r="IF873" s="9"/>
      <c r="IG873" s="9"/>
      <c r="IH873" s="9"/>
      <c r="II873" s="9"/>
      <c r="IJ873" s="9"/>
      <c r="IK873" s="9"/>
      <c r="IL873" s="9"/>
      <c r="IM873" s="9"/>
      <c r="IN873" s="9"/>
      <c r="IO873" s="9"/>
      <c r="IP873" s="9"/>
      <c r="IQ873" s="9"/>
      <c r="IR873" s="9"/>
      <c r="IS873" s="9"/>
      <c r="IT873" s="9"/>
      <c r="IU873" s="9"/>
      <c r="IV873" s="9"/>
      <c r="IW873" s="9"/>
      <c r="IX873" s="9"/>
      <c r="IY873" s="9"/>
      <c r="IZ873" s="9"/>
      <c r="JA873" s="9"/>
      <c r="JB873" s="9"/>
      <c r="JC873" s="9"/>
      <c r="JD873" s="9"/>
      <c r="JE873" s="9"/>
      <c r="JF873" s="9"/>
      <c r="JG873" s="9"/>
      <c r="JH873" s="9"/>
      <c r="JI873" s="9"/>
      <c r="JJ873" s="9"/>
      <c r="JK873" s="9"/>
      <c r="JL873" s="9"/>
      <c r="JM873" s="9"/>
      <c r="JN873" s="9"/>
      <c r="JO873" s="9"/>
      <c r="JP873" s="9"/>
      <c r="JQ873" s="9"/>
      <c r="JR873" s="9"/>
      <c r="JS873" s="9"/>
      <c r="JT873" s="9"/>
      <c r="JU873" s="9"/>
      <c r="JV873" s="9"/>
      <c r="JW873" s="9"/>
      <c r="JX873" s="9"/>
      <c r="JY873" s="9"/>
      <c r="JZ873" s="9"/>
      <c r="KA873" s="9"/>
      <c r="KB873" s="9"/>
      <c r="KC873" s="9"/>
      <c r="KD873" s="9"/>
      <c r="KE873" s="9"/>
      <c r="KF873" s="9"/>
      <c r="KG873" s="9"/>
      <c r="KH873" s="9"/>
      <c r="KI873" s="9"/>
      <c r="KJ873" s="9"/>
      <c r="KK873" s="9"/>
      <c r="KL873" s="9"/>
      <c r="KM873" s="9"/>
      <c r="KN873" s="9"/>
      <c r="KO873" s="9"/>
      <c r="KP873" s="9"/>
      <c r="KQ873" s="9"/>
      <c r="KR873" s="9"/>
      <c r="KS873" s="9"/>
      <c r="KT873" s="9"/>
      <c r="KU873" s="9"/>
      <c r="KV873" s="9"/>
      <c r="KW873" s="9"/>
      <c r="KX873" s="9"/>
      <c r="KY873" s="9"/>
      <c r="KZ873" s="9"/>
      <c r="LA873" s="9"/>
      <c r="LB873" s="9"/>
      <c r="LC873" s="9"/>
      <c r="LD873" s="9"/>
      <c r="LE873" s="9"/>
      <c r="LF873" s="9"/>
      <c r="LG873" s="9"/>
      <c r="LH873" s="9"/>
      <c r="LI873" s="9"/>
      <c r="LJ873" s="9"/>
      <c r="LK873" s="9"/>
      <c r="LL873" s="9"/>
      <c r="LM873" s="9"/>
      <c r="LN873" s="9"/>
      <c r="LO873" s="9"/>
      <c r="LP873" s="9"/>
      <c r="LQ873" s="9"/>
      <c r="LR873" s="9"/>
      <c r="LS873" s="9"/>
      <c r="LT873" s="9"/>
      <c r="LU873" s="9"/>
      <c r="LV873" s="9"/>
      <c r="LW873" s="9"/>
      <c r="LX873" s="9"/>
      <c r="LY873" s="9"/>
      <c r="LZ873" s="9"/>
      <c r="MA873" s="9"/>
      <c r="MB873" s="9"/>
      <c r="MC873" s="9"/>
      <c r="MD873" s="9"/>
      <c r="ME873" s="9"/>
      <c r="MF873" s="9"/>
      <c r="MG873" s="9"/>
      <c r="MH873" s="9"/>
      <c r="MI873" s="9"/>
      <c r="MJ873" s="9"/>
      <c r="MK873" s="9"/>
      <c r="ML873" s="9"/>
      <c r="MM873" s="9"/>
      <c r="MN873" s="9"/>
      <c r="MO873" s="9"/>
      <c r="MP873" s="9"/>
      <c r="MQ873" s="9"/>
      <c r="MR873" s="9"/>
      <c r="MS873" s="9"/>
      <c r="MT873" s="9"/>
      <c r="MU873" s="9"/>
      <c r="MV873" s="9"/>
      <c r="MW873" s="9"/>
      <c r="MX873" s="9"/>
      <c r="MY873" s="9"/>
      <c r="MZ873" s="9"/>
      <c r="NA873" s="9"/>
      <c r="NB873" s="9"/>
      <c r="NC873" s="9"/>
      <c r="ND873" s="9"/>
      <c r="NE873" s="9"/>
      <c r="NF873" s="9"/>
      <c r="NG873" s="9"/>
      <c r="NH873" s="9"/>
      <c r="NI873" s="9"/>
      <c r="NJ873" s="9"/>
      <c r="NK873" s="9"/>
      <c r="NL873" s="9"/>
      <c r="NM873" s="9"/>
      <c r="NN873" s="9"/>
      <c r="NO873" s="9"/>
      <c r="NP873" s="9"/>
      <c r="NQ873" s="9"/>
      <c r="NR873" s="9"/>
      <c r="NS873" s="9"/>
      <c r="NT873" s="9"/>
      <c r="NU873" s="9"/>
      <c r="NV873" s="9"/>
      <c r="NW873" s="9"/>
      <c r="NX873" s="9"/>
      <c r="NY873" s="9"/>
      <c r="NZ873" s="9"/>
      <c r="OA873" s="9"/>
      <c r="OB873" s="9"/>
      <c r="OC873" s="9"/>
      <c r="OD873" s="9"/>
      <c r="OE873" s="9"/>
      <c r="OF873" s="9"/>
      <c r="OG873" s="9"/>
      <c r="OH873" s="9"/>
      <c r="OI873" s="9"/>
      <c r="OJ873" s="9"/>
      <c r="OK873" s="9"/>
      <c r="OL873" s="9"/>
      <c r="OM873" s="9"/>
      <c r="ON873" s="9"/>
      <c r="OO873" s="9"/>
      <c r="OP873" s="9"/>
      <c r="OQ873" s="9"/>
      <c r="OR873" s="9"/>
      <c r="OS873" s="9"/>
      <c r="OT873" s="9"/>
      <c r="OU873" s="9"/>
      <c r="OV873" s="9"/>
      <c r="OW873" s="9"/>
      <c r="OX873" s="9"/>
      <c r="OY873" s="9"/>
      <c r="OZ873" s="9"/>
      <c r="PA873" s="9"/>
      <c r="PB873" s="9"/>
      <c r="PC873" s="9"/>
      <c r="PD873" s="9"/>
      <c r="PE873" s="9"/>
      <c r="PF873" s="9"/>
      <c r="PG873" s="9"/>
      <c r="PH873" s="9"/>
      <c r="PI873" s="9"/>
      <c r="PJ873" s="9"/>
      <c r="PK873" s="9"/>
      <c r="PL873" s="9"/>
      <c r="PM873" s="9"/>
      <c r="PN873" s="9"/>
      <c r="PO873" s="9"/>
      <c r="PP873" s="9"/>
      <c r="PQ873" s="9"/>
      <c r="PR873" s="9"/>
      <c r="PS873" s="9"/>
      <c r="PT873" s="9"/>
      <c r="PU873" s="9"/>
      <c r="PV873" s="9"/>
      <c r="PW873" s="9"/>
      <c r="PX873" s="9"/>
      <c r="PY873" s="9"/>
      <c r="PZ873" s="9"/>
      <c r="QA873" s="9"/>
      <c r="QB873" s="9"/>
      <c r="QC873" s="9"/>
      <c r="QD873" s="9"/>
      <c r="QE873" s="9"/>
      <c r="QF873" s="9"/>
      <c r="QG873" s="9"/>
      <c r="QH873" s="9"/>
      <c r="QI873" s="9"/>
      <c r="QJ873" s="9"/>
      <c r="QK873" s="9"/>
      <c r="QL873" s="9"/>
      <c r="QM873" s="9"/>
      <c r="QN873" s="9"/>
      <c r="QO873" s="9"/>
      <c r="QP873" s="9"/>
      <c r="QQ873" s="9"/>
      <c r="QR873" s="9"/>
      <c r="QS873" s="9"/>
      <c r="QT873" s="9"/>
      <c r="QU873" s="9"/>
      <c r="QV873" s="9"/>
      <c r="QW873" s="9"/>
      <c r="QX873" s="9"/>
      <c r="QY873" s="9"/>
      <c r="QZ873" s="9"/>
      <c r="RA873" s="9"/>
      <c r="RB873" s="9"/>
      <c r="RC873" s="9"/>
      <c r="RD873" s="9"/>
      <c r="RE873" s="9"/>
      <c r="RF873" s="9"/>
      <c r="RG873" s="9"/>
      <c r="RH873" s="9"/>
      <c r="RI873" s="9"/>
      <c r="RJ873" s="9"/>
      <c r="RK873" s="9"/>
      <c r="RL873" s="9"/>
      <c r="RM873" s="9"/>
      <c r="RN873" s="9"/>
      <c r="RO873" s="9"/>
      <c r="RP873" s="9"/>
      <c r="RQ873" s="9"/>
      <c r="RR873" s="9"/>
      <c r="RS873" s="9"/>
      <c r="RT873" s="9"/>
      <c r="RU873" s="9"/>
      <c r="RV873" s="9"/>
      <c r="RW873" s="9"/>
      <c r="RX873" s="9"/>
      <c r="RY873" s="9"/>
      <c r="RZ873" s="9"/>
      <c r="SA873" s="9"/>
      <c r="SB873" s="9"/>
      <c r="SC873" s="9"/>
      <c r="SD873" s="9"/>
      <c r="SE873" s="9"/>
      <c r="SF873" s="9"/>
      <c r="SG873" s="9"/>
      <c r="SH873" s="9"/>
      <c r="SI873" s="9"/>
      <c r="SJ873" s="9"/>
      <c r="SK873" s="9"/>
      <c r="SL873" s="9"/>
      <c r="SM873" s="9"/>
      <c r="SN873" s="9"/>
      <c r="SO873" s="9"/>
      <c r="SP873" s="9"/>
      <c r="SQ873" s="9"/>
      <c r="SR873" s="9"/>
      <c r="SS873" s="9"/>
      <c r="ST873" s="9"/>
      <c r="SU873" s="9"/>
      <c r="SV873" s="9"/>
      <c r="SW873" s="9"/>
      <c r="SX873" s="9"/>
      <c r="SY873" s="9"/>
      <c r="SZ873" s="9"/>
      <c r="TA873" s="9"/>
      <c r="TB873" s="9"/>
      <c r="TC873" s="9"/>
      <c r="TD873" s="9"/>
      <c r="TE873" s="9"/>
      <c r="TF873" s="9"/>
      <c r="TG873" s="9"/>
      <c r="TH873" s="9"/>
      <c r="TI873" s="9"/>
      <c r="TJ873" s="9"/>
      <c r="TK873" s="9"/>
      <c r="TL873" s="9"/>
      <c r="TM873" s="9"/>
      <c r="TN873" s="9"/>
      <c r="TO873" s="9"/>
      <c r="TP873" s="9"/>
      <c r="TQ873" s="9"/>
      <c r="TR873" s="9"/>
      <c r="TS873" s="9"/>
      <c r="TT873" s="9"/>
      <c r="TU873" s="9"/>
      <c r="TV873" s="9"/>
      <c r="TW873" s="9"/>
      <c r="TX873" s="9"/>
      <c r="TY873" s="9"/>
      <c r="TZ873" s="9"/>
      <c r="UA873" s="9"/>
      <c r="UB873" s="9"/>
      <c r="UC873" s="9"/>
      <c r="UD873" s="9"/>
      <c r="UE873" s="9"/>
      <c r="UF873" s="9"/>
      <c r="UG873" s="9"/>
      <c r="UH873" s="9"/>
      <c r="UI873" s="9"/>
      <c r="UJ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9"/>
      <c r="IA874" s="9"/>
      <c r="IB874" s="9"/>
      <c r="IC874" s="9"/>
      <c r="ID874" s="9"/>
      <c r="IE874" s="9"/>
      <c r="IF874" s="9"/>
      <c r="IG874" s="9"/>
      <c r="IH874" s="9"/>
      <c r="II874" s="9"/>
      <c r="IJ874" s="9"/>
      <c r="IK874" s="9"/>
      <c r="IL874" s="9"/>
      <c r="IM874" s="9"/>
      <c r="IN874" s="9"/>
      <c r="IO874" s="9"/>
      <c r="IP874" s="9"/>
      <c r="IQ874" s="9"/>
      <c r="IR874" s="9"/>
      <c r="IS874" s="9"/>
      <c r="IT874" s="9"/>
      <c r="IU874" s="9"/>
      <c r="IV874" s="9"/>
      <c r="IW874" s="9"/>
      <c r="IX874" s="9"/>
      <c r="IY874" s="9"/>
      <c r="IZ874" s="9"/>
      <c r="JA874" s="9"/>
      <c r="JB874" s="9"/>
      <c r="JC874" s="9"/>
      <c r="JD874" s="9"/>
      <c r="JE874" s="9"/>
      <c r="JF874" s="9"/>
      <c r="JG874" s="9"/>
      <c r="JH874" s="9"/>
      <c r="JI874" s="9"/>
      <c r="JJ874" s="9"/>
      <c r="JK874" s="9"/>
      <c r="JL874" s="9"/>
      <c r="JM874" s="9"/>
      <c r="JN874" s="9"/>
      <c r="JO874" s="9"/>
      <c r="JP874" s="9"/>
      <c r="JQ874" s="9"/>
      <c r="JR874" s="9"/>
      <c r="JS874" s="9"/>
      <c r="JT874" s="9"/>
      <c r="JU874" s="9"/>
      <c r="JV874" s="9"/>
      <c r="JW874" s="9"/>
      <c r="JX874" s="9"/>
      <c r="JY874" s="9"/>
      <c r="JZ874" s="9"/>
      <c r="KA874" s="9"/>
      <c r="KB874" s="9"/>
      <c r="KC874" s="9"/>
      <c r="KD874" s="9"/>
      <c r="KE874" s="9"/>
      <c r="KF874" s="9"/>
      <c r="KG874" s="9"/>
      <c r="KH874" s="9"/>
      <c r="KI874" s="9"/>
      <c r="KJ874" s="9"/>
      <c r="KK874" s="9"/>
      <c r="KL874" s="9"/>
      <c r="KM874" s="9"/>
      <c r="KN874" s="9"/>
      <c r="KO874" s="9"/>
      <c r="KP874" s="9"/>
      <c r="KQ874" s="9"/>
      <c r="KR874" s="9"/>
      <c r="KS874" s="9"/>
      <c r="KT874" s="9"/>
      <c r="KU874" s="9"/>
      <c r="KV874" s="9"/>
      <c r="KW874" s="9"/>
      <c r="KX874" s="9"/>
      <c r="KY874" s="9"/>
      <c r="KZ874" s="9"/>
      <c r="LA874" s="9"/>
      <c r="LB874" s="9"/>
      <c r="LC874" s="9"/>
      <c r="LD874" s="9"/>
      <c r="LE874" s="9"/>
      <c r="LF874" s="9"/>
      <c r="LG874" s="9"/>
      <c r="LH874" s="9"/>
      <c r="LI874" s="9"/>
      <c r="LJ874" s="9"/>
      <c r="LK874" s="9"/>
      <c r="LL874" s="9"/>
      <c r="LM874" s="9"/>
      <c r="LN874" s="9"/>
      <c r="LO874" s="9"/>
      <c r="LP874" s="9"/>
      <c r="LQ874" s="9"/>
      <c r="LR874" s="9"/>
      <c r="LS874" s="9"/>
      <c r="LT874" s="9"/>
      <c r="LU874" s="9"/>
      <c r="LV874" s="9"/>
      <c r="LW874" s="9"/>
      <c r="LX874" s="9"/>
      <c r="LY874" s="9"/>
      <c r="LZ874" s="9"/>
      <c r="MA874" s="9"/>
      <c r="MB874" s="9"/>
      <c r="MC874" s="9"/>
      <c r="MD874" s="9"/>
      <c r="ME874" s="9"/>
      <c r="MF874" s="9"/>
      <c r="MG874" s="9"/>
      <c r="MH874" s="9"/>
      <c r="MI874" s="9"/>
      <c r="MJ874" s="9"/>
      <c r="MK874" s="9"/>
      <c r="ML874" s="9"/>
      <c r="MM874" s="9"/>
      <c r="MN874" s="9"/>
      <c r="MO874" s="9"/>
      <c r="MP874" s="9"/>
      <c r="MQ874" s="9"/>
      <c r="MR874" s="9"/>
      <c r="MS874" s="9"/>
      <c r="MT874" s="9"/>
      <c r="MU874" s="9"/>
      <c r="MV874" s="9"/>
      <c r="MW874" s="9"/>
      <c r="MX874" s="9"/>
      <c r="MY874" s="9"/>
      <c r="MZ874" s="9"/>
      <c r="NA874" s="9"/>
      <c r="NB874" s="9"/>
      <c r="NC874" s="9"/>
      <c r="ND874" s="9"/>
      <c r="NE874" s="9"/>
      <c r="NF874" s="9"/>
      <c r="NG874" s="9"/>
      <c r="NH874" s="9"/>
      <c r="NI874" s="9"/>
      <c r="NJ874" s="9"/>
      <c r="NK874" s="9"/>
      <c r="NL874" s="9"/>
      <c r="NM874" s="9"/>
      <c r="NN874" s="9"/>
      <c r="NO874" s="9"/>
      <c r="NP874" s="9"/>
      <c r="NQ874" s="9"/>
      <c r="NR874" s="9"/>
      <c r="NS874" s="9"/>
      <c r="NT874" s="9"/>
      <c r="NU874" s="9"/>
      <c r="NV874" s="9"/>
      <c r="NW874" s="9"/>
      <c r="NX874" s="9"/>
      <c r="NY874" s="9"/>
      <c r="NZ874" s="9"/>
      <c r="OA874" s="9"/>
      <c r="OB874" s="9"/>
      <c r="OC874" s="9"/>
      <c r="OD874" s="9"/>
      <c r="OE874" s="9"/>
      <c r="OF874" s="9"/>
      <c r="OG874" s="9"/>
      <c r="OH874" s="9"/>
      <c r="OI874" s="9"/>
      <c r="OJ874" s="9"/>
      <c r="OK874" s="9"/>
      <c r="OL874" s="9"/>
      <c r="OM874" s="9"/>
      <c r="ON874" s="9"/>
      <c r="OO874" s="9"/>
      <c r="OP874" s="9"/>
      <c r="OQ874" s="9"/>
      <c r="OR874" s="9"/>
      <c r="OS874" s="9"/>
      <c r="OT874" s="9"/>
      <c r="OU874" s="9"/>
      <c r="OV874" s="9"/>
      <c r="OW874" s="9"/>
      <c r="OX874" s="9"/>
      <c r="OY874" s="9"/>
      <c r="OZ874" s="9"/>
      <c r="PA874" s="9"/>
      <c r="PB874" s="9"/>
      <c r="PC874" s="9"/>
      <c r="PD874" s="9"/>
      <c r="PE874" s="9"/>
      <c r="PF874" s="9"/>
      <c r="PG874" s="9"/>
      <c r="PH874" s="9"/>
      <c r="PI874" s="9"/>
      <c r="PJ874" s="9"/>
      <c r="PK874" s="9"/>
      <c r="PL874" s="9"/>
      <c r="PM874" s="9"/>
      <c r="PN874" s="9"/>
      <c r="PO874" s="9"/>
      <c r="PP874" s="9"/>
      <c r="PQ874" s="9"/>
      <c r="PR874" s="9"/>
      <c r="PS874" s="9"/>
      <c r="PT874" s="9"/>
      <c r="PU874" s="9"/>
      <c r="PV874" s="9"/>
      <c r="PW874" s="9"/>
      <c r="PX874" s="9"/>
      <c r="PY874" s="9"/>
      <c r="PZ874" s="9"/>
      <c r="QA874" s="9"/>
      <c r="QB874" s="9"/>
      <c r="QC874" s="9"/>
      <c r="QD874" s="9"/>
      <c r="QE874" s="9"/>
      <c r="QF874" s="9"/>
      <c r="QG874" s="9"/>
      <c r="QH874" s="9"/>
      <c r="QI874" s="9"/>
      <c r="QJ874" s="9"/>
      <c r="QK874" s="9"/>
      <c r="QL874" s="9"/>
      <c r="QM874" s="9"/>
      <c r="QN874" s="9"/>
      <c r="QO874" s="9"/>
      <c r="QP874" s="9"/>
      <c r="QQ874" s="9"/>
      <c r="QR874" s="9"/>
      <c r="QS874" s="9"/>
      <c r="QT874" s="9"/>
      <c r="QU874" s="9"/>
      <c r="QV874" s="9"/>
      <c r="QW874" s="9"/>
      <c r="QX874" s="9"/>
      <c r="QY874" s="9"/>
      <c r="QZ874" s="9"/>
      <c r="RA874" s="9"/>
      <c r="RB874" s="9"/>
      <c r="RC874" s="9"/>
      <c r="RD874" s="9"/>
      <c r="RE874" s="9"/>
      <c r="RF874" s="9"/>
      <c r="RG874" s="9"/>
      <c r="RH874" s="9"/>
      <c r="RI874" s="9"/>
      <c r="RJ874" s="9"/>
      <c r="RK874" s="9"/>
      <c r="RL874" s="9"/>
      <c r="RM874" s="9"/>
      <c r="RN874" s="9"/>
      <c r="RO874" s="9"/>
      <c r="RP874" s="9"/>
      <c r="RQ874" s="9"/>
      <c r="RR874" s="9"/>
      <c r="RS874" s="9"/>
      <c r="RT874" s="9"/>
      <c r="RU874" s="9"/>
      <c r="RV874" s="9"/>
      <c r="RW874" s="9"/>
      <c r="RX874" s="9"/>
      <c r="RY874" s="9"/>
      <c r="RZ874" s="9"/>
      <c r="SA874" s="9"/>
      <c r="SB874" s="9"/>
      <c r="SC874" s="9"/>
      <c r="SD874" s="9"/>
      <c r="SE874" s="9"/>
      <c r="SF874" s="9"/>
      <c r="SG874" s="9"/>
      <c r="SH874" s="9"/>
      <c r="SI874" s="9"/>
      <c r="SJ874" s="9"/>
      <c r="SK874" s="9"/>
      <c r="SL874" s="9"/>
      <c r="SM874" s="9"/>
      <c r="SN874" s="9"/>
      <c r="SO874" s="9"/>
      <c r="SP874" s="9"/>
      <c r="SQ874" s="9"/>
      <c r="SR874" s="9"/>
      <c r="SS874" s="9"/>
      <c r="ST874" s="9"/>
      <c r="SU874" s="9"/>
      <c r="SV874" s="9"/>
      <c r="SW874" s="9"/>
      <c r="SX874" s="9"/>
      <c r="SY874" s="9"/>
      <c r="SZ874" s="9"/>
      <c r="TA874" s="9"/>
      <c r="TB874" s="9"/>
      <c r="TC874" s="9"/>
      <c r="TD874" s="9"/>
      <c r="TE874" s="9"/>
      <c r="TF874" s="9"/>
      <c r="TG874" s="9"/>
      <c r="TH874" s="9"/>
      <c r="TI874" s="9"/>
      <c r="TJ874" s="9"/>
      <c r="TK874" s="9"/>
      <c r="TL874" s="9"/>
      <c r="TM874" s="9"/>
      <c r="TN874" s="9"/>
      <c r="TO874" s="9"/>
      <c r="TP874" s="9"/>
      <c r="TQ874" s="9"/>
      <c r="TR874" s="9"/>
      <c r="TS874" s="9"/>
      <c r="TT874" s="9"/>
      <c r="TU874" s="9"/>
      <c r="TV874" s="9"/>
      <c r="TW874" s="9"/>
      <c r="TX874" s="9"/>
      <c r="TY874" s="9"/>
      <c r="TZ874" s="9"/>
      <c r="UA874" s="9"/>
      <c r="UB874" s="9"/>
      <c r="UC874" s="9"/>
      <c r="UD874" s="9"/>
      <c r="UE874" s="9"/>
      <c r="UF874" s="9"/>
      <c r="UG874" s="9"/>
      <c r="UH874" s="9"/>
      <c r="UI874" s="9"/>
      <c r="UJ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/>
      <c r="FQ875" s="9"/>
      <c r="FR875" s="9"/>
      <c r="FS875" s="9"/>
      <c r="FT875" s="9"/>
      <c r="FU875" s="9"/>
      <c r="FV875" s="9"/>
      <c r="FW875" s="9"/>
      <c r="FX875" s="9"/>
      <c r="FY875" s="9"/>
      <c r="FZ875" s="9"/>
      <c r="GA875" s="9"/>
      <c r="GB875" s="9"/>
      <c r="GC875" s="9"/>
      <c r="GD875" s="9"/>
      <c r="GE875" s="9"/>
      <c r="GF875" s="9"/>
      <c r="GG875" s="9"/>
      <c r="GH875" s="9"/>
      <c r="GI875" s="9"/>
      <c r="GJ875" s="9"/>
      <c r="GK875" s="9"/>
      <c r="GL875" s="9"/>
      <c r="GM875" s="9"/>
      <c r="GN875" s="9"/>
      <c r="GO875" s="9"/>
      <c r="GP875" s="9"/>
      <c r="GQ875" s="9"/>
      <c r="GR875" s="9"/>
      <c r="GS875" s="9"/>
      <c r="GT875" s="9"/>
      <c r="GU875" s="9"/>
      <c r="GV875" s="9"/>
      <c r="GW875" s="9"/>
      <c r="GX875" s="9"/>
      <c r="GY875" s="9"/>
      <c r="GZ875" s="9"/>
      <c r="HA875" s="9"/>
      <c r="HB875" s="9"/>
      <c r="HC875" s="9"/>
      <c r="HD875" s="9"/>
      <c r="HE875" s="9"/>
      <c r="HF875" s="9"/>
      <c r="HG875" s="9"/>
      <c r="HH875" s="9"/>
      <c r="HI875" s="9"/>
      <c r="HJ875" s="9"/>
      <c r="HK875" s="9"/>
      <c r="HL875" s="9"/>
      <c r="HM875" s="9"/>
      <c r="HN875" s="9"/>
      <c r="HO875" s="9"/>
      <c r="HP875" s="9"/>
      <c r="HQ875" s="9"/>
      <c r="HR875" s="9"/>
      <c r="HS875" s="9"/>
      <c r="HT875" s="9"/>
      <c r="HU875" s="9"/>
      <c r="HV875" s="9"/>
      <c r="HW875" s="9"/>
      <c r="HX875" s="9"/>
      <c r="HY875" s="9"/>
      <c r="HZ875" s="9"/>
      <c r="IA875" s="9"/>
      <c r="IB875" s="9"/>
      <c r="IC875" s="9"/>
      <c r="ID875" s="9"/>
      <c r="IE875" s="9"/>
      <c r="IF875" s="9"/>
      <c r="IG875" s="9"/>
      <c r="IH875" s="9"/>
      <c r="II875" s="9"/>
      <c r="IJ875" s="9"/>
      <c r="IK875" s="9"/>
      <c r="IL875" s="9"/>
      <c r="IM875" s="9"/>
      <c r="IN875" s="9"/>
      <c r="IO875" s="9"/>
      <c r="IP875" s="9"/>
      <c r="IQ875" s="9"/>
      <c r="IR875" s="9"/>
      <c r="IS875" s="9"/>
      <c r="IT875" s="9"/>
      <c r="IU875" s="9"/>
      <c r="IV875" s="9"/>
      <c r="IW875" s="9"/>
      <c r="IX875" s="9"/>
      <c r="IY875" s="9"/>
      <c r="IZ875" s="9"/>
      <c r="JA875" s="9"/>
      <c r="JB875" s="9"/>
      <c r="JC875" s="9"/>
      <c r="JD875" s="9"/>
      <c r="JE875" s="9"/>
      <c r="JF875" s="9"/>
      <c r="JG875" s="9"/>
      <c r="JH875" s="9"/>
      <c r="JI875" s="9"/>
      <c r="JJ875" s="9"/>
      <c r="JK875" s="9"/>
      <c r="JL875" s="9"/>
      <c r="JM875" s="9"/>
      <c r="JN875" s="9"/>
      <c r="JO875" s="9"/>
      <c r="JP875" s="9"/>
      <c r="JQ875" s="9"/>
      <c r="JR875" s="9"/>
      <c r="JS875" s="9"/>
      <c r="JT875" s="9"/>
      <c r="JU875" s="9"/>
      <c r="JV875" s="9"/>
      <c r="JW875" s="9"/>
      <c r="JX875" s="9"/>
      <c r="JY875" s="9"/>
      <c r="JZ875" s="9"/>
      <c r="KA875" s="9"/>
      <c r="KB875" s="9"/>
      <c r="KC875" s="9"/>
      <c r="KD875" s="9"/>
      <c r="KE875" s="9"/>
      <c r="KF875" s="9"/>
      <c r="KG875" s="9"/>
      <c r="KH875" s="9"/>
      <c r="KI875" s="9"/>
      <c r="KJ875" s="9"/>
      <c r="KK875" s="9"/>
      <c r="KL875" s="9"/>
      <c r="KM875" s="9"/>
      <c r="KN875" s="9"/>
      <c r="KO875" s="9"/>
      <c r="KP875" s="9"/>
      <c r="KQ875" s="9"/>
      <c r="KR875" s="9"/>
      <c r="KS875" s="9"/>
      <c r="KT875" s="9"/>
      <c r="KU875" s="9"/>
      <c r="KV875" s="9"/>
      <c r="KW875" s="9"/>
      <c r="KX875" s="9"/>
      <c r="KY875" s="9"/>
      <c r="KZ875" s="9"/>
      <c r="LA875" s="9"/>
      <c r="LB875" s="9"/>
      <c r="LC875" s="9"/>
      <c r="LD875" s="9"/>
      <c r="LE875" s="9"/>
      <c r="LF875" s="9"/>
      <c r="LG875" s="9"/>
      <c r="LH875" s="9"/>
      <c r="LI875" s="9"/>
      <c r="LJ875" s="9"/>
      <c r="LK875" s="9"/>
      <c r="LL875" s="9"/>
      <c r="LM875" s="9"/>
      <c r="LN875" s="9"/>
      <c r="LO875" s="9"/>
      <c r="LP875" s="9"/>
      <c r="LQ875" s="9"/>
      <c r="LR875" s="9"/>
      <c r="LS875" s="9"/>
      <c r="LT875" s="9"/>
      <c r="LU875" s="9"/>
      <c r="LV875" s="9"/>
      <c r="LW875" s="9"/>
      <c r="LX875" s="9"/>
      <c r="LY875" s="9"/>
      <c r="LZ875" s="9"/>
      <c r="MA875" s="9"/>
      <c r="MB875" s="9"/>
      <c r="MC875" s="9"/>
      <c r="MD875" s="9"/>
      <c r="ME875" s="9"/>
      <c r="MF875" s="9"/>
      <c r="MG875" s="9"/>
      <c r="MH875" s="9"/>
      <c r="MI875" s="9"/>
      <c r="MJ875" s="9"/>
      <c r="MK875" s="9"/>
      <c r="ML875" s="9"/>
      <c r="MM875" s="9"/>
      <c r="MN875" s="9"/>
      <c r="MO875" s="9"/>
      <c r="MP875" s="9"/>
      <c r="MQ875" s="9"/>
      <c r="MR875" s="9"/>
      <c r="MS875" s="9"/>
      <c r="MT875" s="9"/>
      <c r="MU875" s="9"/>
      <c r="MV875" s="9"/>
      <c r="MW875" s="9"/>
      <c r="MX875" s="9"/>
      <c r="MY875" s="9"/>
      <c r="MZ875" s="9"/>
      <c r="NA875" s="9"/>
      <c r="NB875" s="9"/>
      <c r="NC875" s="9"/>
      <c r="ND875" s="9"/>
      <c r="NE875" s="9"/>
      <c r="NF875" s="9"/>
      <c r="NG875" s="9"/>
      <c r="NH875" s="9"/>
      <c r="NI875" s="9"/>
      <c r="NJ875" s="9"/>
      <c r="NK875" s="9"/>
      <c r="NL875" s="9"/>
      <c r="NM875" s="9"/>
      <c r="NN875" s="9"/>
      <c r="NO875" s="9"/>
      <c r="NP875" s="9"/>
      <c r="NQ875" s="9"/>
      <c r="NR875" s="9"/>
      <c r="NS875" s="9"/>
      <c r="NT875" s="9"/>
      <c r="NU875" s="9"/>
      <c r="NV875" s="9"/>
      <c r="NW875" s="9"/>
      <c r="NX875" s="9"/>
      <c r="NY875" s="9"/>
      <c r="NZ875" s="9"/>
      <c r="OA875" s="9"/>
      <c r="OB875" s="9"/>
      <c r="OC875" s="9"/>
      <c r="OD875" s="9"/>
      <c r="OE875" s="9"/>
      <c r="OF875" s="9"/>
      <c r="OG875" s="9"/>
      <c r="OH875" s="9"/>
      <c r="OI875" s="9"/>
      <c r="OJ875" s="9"/>
      <c r="OK875" s="9"/>
      <c r="OL875" s="9"/>
      <c r="OM875" s="9"/>
      <c r="ON875" s="9"/>
      <c r="OO875" s="9"/>
      <c r="OP875" s="9"/>
      <c r="OQ875" s="9"/>
      <c r="OR875" s="9"/>
      <c r="OS875" s="9"/>
      <c r="OT875" s="9"/>
      <c r="OU875" s="9"/>
      <c r="OV875" s="9"/>
      <c r="OW875" s="9"/>
      <c r="OX875" s="9"/>
      <c r="OY875" s="9"/>
      <c r="OZ875" s="9"/>
      <c r="PA875" s="9"/>
      <c r="PB875" s="9"/>
      <c r="PC875" s="9"/>
      <c r="PD875" s="9"/>
      <c r="PE875" s="9"/>
      <c r="PF875" s="9"/>
      <c r="PG875" s="9"/>
      <c r="PH875" s="9"/>
      <c r="PI875" s="9"/>
      <c r="PJ875" s="9"/>
      <c r="PK875" s="9"/>
      <c r="PL875" s="9"/>
      <c r="PM875" s="9"/>
      <c r="PN875" s="9"/>
      <c r="PO875" s="9"/>
      <c r="PP875" s="9"/>
      <c r="PQ875" s="9"/>
      <c r="PR875" s="9"/>
      <c r="PS875" s="9"/>
      <c r="PT875" s="9"/>
      <c r="PU875" s="9"/>
      <c r="PV875" s="9"/>
      <c r="PW875" s="9"/>
      <c r="PX875" s="9"/>
      <c r="PY875" s="9"/>
      <c r="PZ875" s="9"/>
      <c r="QA875" s="9"/>
      <c r="QB875" s="9"/>
      <c r="QC875" s="9"/>
      <c r="QD875" s="9"/>
      <c r="QE875" s="9"/>
      <c r="QF875" s="9"/>
      <c r="QG875" s="9"/>
      <c r="QH875" s="9"/>
      <c r="QI875" s="9"/>
      <c r="QJ875" s="9"/>
      <c r="QK875" s="9"/>
      <c r="QL875" s="9"/>
      <c r="QM875" s="9"/>
      <c r="QN875" s="9"/>
      <c r="QO875" s="9"/>
      <c r="QP875" s="9"/>
      <c r="QQ875" s="9"/>
      <c r="QR875" s="9"/>
      <c r="QS875" s="9"/>
      <c r="QT875" s="9"/>
      <c r="QU875" s="9"/>
      <c r="QV875" s="9"/>
      <c r="QW875" s="9"/>
      <c r="QX875" s="9"/>
      <c r="QY875" s="9"/>
      <c r="QZ875" s="9"/>
      <c r="RA875" s="9"/>
      <c r="RB875" s="9"/>
      <c r="RC875" s="9"/>
      <c r="RD875" s="9"/>
      <c r="RE875" s="9"/>
      <c r="RF875" s="9"/>
      <c r="RG875" s="9"/>
      <c r="RH875" s="9"/>
      <c r="RI875" s="9"/>
      <c r="RJ875" s="9"/>
      <c r="RK875" s="9"/>
      <c r="RL875" s="9"/>
      <c r="RM875" s="9"/>
      <c r="RN875" s="9"/>
      <c r="RO875" s="9"/>
      <c r="RP875" s="9"/>
      <c r="RQ875" s="9"/>
      <c r="RR875" s="9"/>
      <c r="RS875" s="9"/>
      <c r="RT875" s="9"/>
      <c r="RU875" s="9"/>
      <c r="RV875" s="9"/>
      <c r="RW875" s="9"/>
      <c r="RX875" s="9"/>
      <c r="RY875" s="9"/>
      <c r="RZ875" s="9"/>
      <c r="SA875" s="9"/>
      <c r="SB875" s="9"/>
      <c r="SC875" s="9"/>
      <c r="SD875" s="9"/>
      <c r="SE875" s="9"/>
      <c r="SF875" s="9"/>
      <c r="SG875" s="9"/>
      <c r="SH875" s="9"/>
      <c r="SI875" s="9"/>
      <c r="SJ875" s="9"/>
      <c r="SK875" s="9"/>
      <c r="SL875" s="9"/>
      <c r="SM875" s="9"/>
      <c r="SN875" s="9"/>
      <c r="SO875" s="9"/>
      <c r="SP875" s="9"/>
      <c r="SQ875" s="9"/>
      <c r="SR875" s="9"/>
      <c r="SS875" s="9"/>
      <c r="ST875" s="9"/>
      <c r="SU875" s="9"/>
      <c r="SV875" s="9"/>
      <c r="SW875" s="9"/>
      <c r="SX875" s="9"/>
      <c r="SY875" s="9"/>
      <c r="SZ875" s="9"/>
      <c r="TA875" s="9"/>
      <c r="TB875" s="9"/>
      <c r="TC875" s="9"/>
      <c r="TD875" s="9"/>
      <c r="TE875" s="9"/>
      <c r="TF875" s="9"/>
      <c r="TG875" s="9"/>
      <c r="TH875" s="9"/>
      <c r="TI875" s="9"/>
      <c r="TJ875" s="9"/>
      <c r="TK875" s="9"/>
      <c r="TL875" s="9"/>
      <c r="TM875" s="9"/>
      <c r="TN875" s="9"/>
      <c r="TO875" s="9"/>
      <c r="TP875" s="9"/>
      <c r="TQ875" s="9"/>
      <c r="TR875" s="9"/>
      <c r="TS875" s="9"/>
      <c r="TT875" s="9"/>
      <c r="TU875" s="9"/>
      <c r="TV875" s="9"/>
      <c r="TW875" s="9"/>
      <c r="TX875" s="9"/>
      <c r="TY875" s="9"/>
      <c r="TZ875" s="9"/>
      <c r="UA875" s="9"/>
      <c r="UB875" s="9"/>
      <c r="UC875" s="9"/>
      <c r="UD875" s="9"/>
      <c r="UE875" s="9"/>
      <c r="UF875" s="9"/>
      <c r="UG875" s="9"/>
      <c r="UH875" s="9"/>
      <c r="UI875" s="9"/>
      <c r="UJ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9"/>
      <c r="GV876" s="9"/>
      <c r="GW876" s="9"/>
      <c r="GX876" s="9"/>
      <c r="GY876" s="9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  <c r="HO876" s="9"/>
      <c r="HP876" s="9"/>
      <c r="HQ876" s="9"/>
      <c r="HR876" s="9"/>
      <c r="HS876" s="9"/>
      <c r="HT876" s="9"/>
      <c r="HU876" s="9"/>
      <c r="HV876" s="9"/>
      <c r="HW876" s="9"/>
      <c r="HX876" s="9"/>
      <c r="HY876" s="9"/>
      <c r="HZ876" s="9"/>
      <c r="IA876" s="9"/>
      <c r="IB876" s="9"/>
      <c r="IC876" s="9"/>
      <c r="ID876" s="9"/>
      <c r="IE876" s="9"/>
      <c r="IF876" s="9"/>
      <c r="IG876" s="9"/>
      <c r="IH876" s="9"/>
      <c r="II876" s="9"/>
      <c r="IJ876" s="9"/>
      <c r="IK876" s="9"/>
      <c r="IL876" s="9"/>
      <c r="IM876" s="9"/>
      <c r="IN876" s="9"/>
      <c r="IO876" s="9"/>
      <c r="IP876" s="9"/>
      <c r="IQ876" s="9"/>
      <c r="IR876" s="9"/>
      <c r="IS876" s="9"/>
      <c r="IT876" s="9"/>
      <c r="IU876" s="9"/>
      <c r="IV876" s="9"/>
      <c r="IW876" s="9"/>
      <c r="IX876" s="9"/>
      <c r="IY876" s="9"/>
      <c r="IZ876" s="9"/>
      <c r="JA876" s="9"/>
      <c r="JB876" s="9"/>
      <c r="JC876" s="9"/>
      <c r="JD876" s="9"/>
      <c r="JE876" s="9"/>
      <c r="JF876" s="9"/>
      <c r="JG876" s="9"/>
      <c r="JH876" s="9"/>
      <c r="JI876" s="9"/>
      <c r="JJ876" s="9"/>
      <c r="JK876" s="9"/>
      <c r="JL876" s="9"/>
      <c r="JM876" s="9"/>
      <c r="JN876" s="9"/>
      <c r="JO876" s="9"/>
      <c r="JP876" s="9"/>
      <c r="JQ876" s="9"/>
      <c r="JR876" s="9"/>
      <c r="JS876" s="9"/>
      <c r="JT876" s="9"/>
      <c r="JU876" s="9"/>
      <c r="JV876" s="9"/>
      <c r="JW876" s="9"/>
      <c r="JX876" s="9"/>
      <c r="JY876" s="9"/>
      <c r="JZ876" s="9"/>
      <c r="KA876" s="9"/>
      <c r="KB876" s="9"/>
      <c r="KC876" s="9"/>
      <c r="KD876" s="9"/>
      <c r="KE876" s="9"/>
      <c r="KF876" s="9"/>
      <c r="KG876" s="9"/>
      <c r="KH876" s="9"/>
      <c r="KI876" s="9"/>
      <c r="KJ876" s="9"/>
      <c r="KK876" s="9"/>
      <c r="KL876" s="9"/>
      <c r="KM876" s="9"/>
      <c r="KN876" s="9"/>
      <c r="KO876" s="9"/>
      <c r="KP876" s="9"/>
      <c r="KQ876" s="9"/>
      <c r="KR876" s="9"/>
      <c r="KS876" s="9"/>
      <c r="KT876" s="9"/>
      <c r="KU876" s="9"/>
      <c r="KV876" s="9"/>
      <c r="KW876" s="9"/>
      <c r="KX876" s="9"/>
      <c r="KY876" s="9"/>
      <c r="KZ876" s="9"/>
      <c r="LA876" s="9"/>
      <c r="LB876" s="9"/>
      <c r="LC876" s="9"/>
      <c r="LD876" s="9"/>
      <c r="LE876" s="9"/>
      <c r="LF876" s="9"/>
      <c r="LG876" s="9"/>
      <c r="LH876" s="9"/>
      <c r="LI876" s="9"/>
      <c r="LJ876" s="9"/>
      <c r="LK876" s="9"/>
      <c r="LL876" s="9"/>
      <c r="LM876" s="9"/>
      <c r="LN876" s="9"/>
      <c r="LO876" s="9"/>
      <c r="LP876" s="9"/>
      <c r="LQ876" s="9"/>
      <c r="LR876" s="9"/>
      <c r="LS876" s="9"/>
      <c r="LT876" s="9"/>
      <c r="LU876" s="9"/>
      <c r="LV876" s="9"/>
      <c r="LW876" s="9"/>
      <c r="LX876" s="9"/>
      <c r="LY876" s="9"/>
      <c r="LZ876" s="9"/>
      <c r="MA876" s="9"/>
      <c r="MB876" s="9"/>
      <c r="MC876" s="9"/>
      <c r="MD876" s="9"/>
      <c r="ME876" s="9"/>
      <c r="MF876" s="9"/>
      <c r="MG876" s="9"/>
      <c r="MH876" s="9"/>
      <c r="MI876" s="9"/>
      <c r="MJ876" s="9"/>
      <c r="MK876" s="9"/>
      <c r="ML876" s="9"/>
      <c r="MM876" s="9"/>
      <c r="MN876" s="9"/>
      <c r="MO876" s="9"/>
      <c r="MP876" s="9"/>
      <c r="MQ876" s="9"/>
      <c r="MR876" s="9"/>
      <c r="MS876" s="9"/>
      <c r="MT876" s="9"/>
      <c r="MU876" s="9"/>
      <c r="MV876" s="9"/>
      <c r="MW876" s="9"/>
      <c r="MX876" s="9"/>
      <c r="MY876" s="9"/>
      <c r="MZ876" s="9"/>
      <c r="NA876" s="9"/>
      <c r="NB876" s="9"/>
      <c r="NC876" s="9"/>
      <c r="ND876" s="9"/>
      <c r="NE876" s="9"/>
      <c r="NF876" s="9"/>
      <c r="NG876" s="9"/>
      <c r="NH876" s="9"/>
      <c r="NI876" s="9"/>
      <c r="NJ876" s="9"/>
      <c r="NK876" s="9"/>
      <c r="NL876" s="9"/>
      <c r="NM876" s="9"/>
      <c r="NN876" s="9"/>
      <c r="NO876" s="9"/>
      <c r="NP876" s="9"/>
      <c r="NQ876" s="9"/>
      <c r="NR876" s="9"/>
      <c r="NS876" s="9"/>
      <c r="NT876" s="9"/>
      <c r="NU876" s="9"/>
      <c r="NV876" s="9"/>
      <c r="NW876" s="9"/>
      <c r="NX876" s="9"/>
      <c r="NY876" s="9"/>
      <c r="NZ876" s="9"/>
      <c r="OA876" s="9"/>
      <c r="OB876" s="9"/>
      <c r="OC876" s="9"/>
      <c r="OD876" s="9"/>
      <c r="OE876" s="9"/>
      <c r="OF876" s="9"/>
      <c r="OG876" s="9"/>
      <c r="OH876" s="9"/>
      <c r="OI876" s="9"/>
      <c r="OJ876" s="9"/>
      <c r="OK876" s="9"/>
      <c r="OL876" s="9"/>
      <c r="OM876" s="9"/>
      <c r="ON876" s="9"/>
      <c r="OO876" s="9"/>
      <c r="OP876" s="9"/>
      <c r="OQ876" s="9"/>
      <c r="OR876" s="9"/>
      <c r="OS876" s="9"/>
      <c r="OT876" s="9"/>
      <c r="OU876" s="9"/>
      <c r="OV876" s="9"/>
      <c r="OW876" s="9"/>
      <c r="OX876" s="9"/>
      <c r="OY876" s="9"/>
      <c r="OZ876" s="9"/>
      <c r="PA876" s="9"/>
      <c r="PB876" s="9"/>
      <c r="PC876" s="9"/>
      <c r="PD876" s="9"/>
      <c r="PE876" s="9"/>
      <c r="PF876" s="9"/>
      <c r="PG876" s="9"/>
      <c r="PH876" s="9"/>
      <c r="PI876" s="9"/>
      <c r="PJ876" s="9"/>
      <c r="PK876" s="9"/>
      <c r="PL876" s="9"/>
      <c r="PM876" s="9"/>
      <c r="PN876" s="9"/>
      <c r="PO876" s="9"/>
      <c r="PP876" s="9"/>
      <c r="PQ876" s="9"/>
      <c r="PR876" s="9"/>
      <c r="PS876" s="9"/>
      <c r="PT876" s="9"/>
      <c r="PU876" s="9"/>
      <c r="PV876" s="9"/>
      <c r="PW876" s="9"/>
      <c r="PX876" s="9"/>
      <c r="PY876" s="9"/>
      <c r="PZ876" s="9"/>
      <c r="QA876" s="9"/>
      <c r="QB876" s="9"/>
      <c r="QC876" s="9"/>
      <c r="QD876" s="9"/>
      <c r="QE876" s="9"/>
      <c r="QF876" s="9"/>
      <c r="QG876" s="9"/>
      <c r="QH876" s="9"/>
      <c r="QI876" s="9"/>
      <c r="QJ876" s="9"/>
      <c r="QK876" s="9"/>
      <c r="QL876" s="9"/>
      <c r="QM876" s="9"/>
      <c r="QN876" s="9"/>
      <c r="QO876" s="9"/>
      <c r="QP876" s="9"/>
      <c r="QQ876" s="9"/>
      <c r="QR876" s="9"/>
      <c r="QS876" s="9"/>
      <c r="QT876" s="9"/>
      <c r="QU876" s="9"/>
      <c r="QV876" s="9"/>
      <c r="QW876" s="9"/>
      <c r="QX876" s="9"/>
      <c r="QY876" s="9"/>
      <c r="QZ876" s="9"/>
      <c r="RA876" s="9"/>
      <c r="RB876" s="9"/>
      <c r="RC876" s="9"/>
      <c r="RD876" s="9"/>
      <c r="RE876" s="9"/>
      <c r="RF876" s="9"/>
      <c r="RG876" s="9"/>
      <c r="RH876" s="9"/>
      <c r="RI876" s="9"/>
      <c r="RJ876" s="9"/>
      <c r="RK876" s="9"/>
      <c r="RL876" s="9"/>
      <c r="RM876" s="9"/>
      <c r="RN876" s="9"/>
      <c r="RO876" s="9"/>
      <c r="RP876" s="9"/>
      <c r="RQ876" s="9"/>
      <c r="RR876" s="9"/>
      <c r="RS876" s="9"/>
      <c r="RT876" s="9"/>
      <c r="RU876" s="9"/>
      <c r="RV876" s="9"/>
      <c r="RW876" s="9"/>
      <c r="RX876" s="9"/>
      <c r="RY876" s="9"/>
      <c r="RZ876" s="9"/>
      <c r="SA876" s="9"/>
      <c r="SB876" s="9"/>
      <c r="SC876" s="9"/>
      <c r="SD876" s="9"/>
      <c r="SE876" s="9"/>
      <c r="SF876" s="9"/>
      <c r="SG876" s="9"/>
      <c r="SH876" s="9"/>
      <c r="SI876" s="9"/>
      <c r="SJ876" s="9"/>
      <c r="SK876" s="9"/>
      <c r="SL876" s="9"/>
      <c r="SM876" s="9"/>
      <c r="SN876" s="9"/>
      <c r="SO876" s="9"/>
      <c r="SP876" s="9"/>
      <c r="SQ876" s="9"/>
      <c r="SR876" s="9"/>
      <c r="SS876" s="9"/>
      <c r="ST876" s="9"/>
      <c r="SU876" s="9"/>
      <c r="SV876" s="9"/>
      <c r="SW876" s="9"/>
      <c r="SX876" s="9"/>
      <c r="SY876" s="9"/>
      <c r="SZ876" s="9"/>
      <c r="TA876" s="9"/>
      <c r="TB876" s="9"/>
      <c r="TC876" s="9"/>
      <c r="TD876" s="9"/>
      <c r="TE876" s="9"/>
      <c r="TF876" s="9"/>
      <c r="TG876" s="9"/>
      <c r="TH876" s="9"/>
      <c r="TI876" s="9"/>
      <c r="TJ876" s="9"/>
      <c r="TK876" s="9"/>
      <c r="TL876" s="9"/>
      <c r="TM876" s="9"/>
      <c r="TN876" s="9"/>
      <c r="TO876" s="9"/>
      <c r="TP876" s="9"/>
      <c r="TQ876" s="9"/>
      <c r="TR876" s="9"/>
      <c r="TS876" s="9"/>
      <c r="TT876" s="9"/>
      <c r="TU876" s="9"/>
      <c r="TV876" s="9"/>
      <c r="TW876" s="9"/>
      <c r="TX876" s="9"/>
      <c r="TY876" s="9"/>
      <c r="TZ876" s="9"/>
      <c r="UA876" s="9"/>
      <c r="UB876" s="9"/>
      <c r="UC876" s="9"/>
      <c r="UD876" s="9"/>
      <c r="UE876" s="9"/>
      <c r="UF876" s="9"/>
      <c r="UG876" s="9"/>
      <c r="UH876" s="9"/>
      <c r="UI876" s="9"/>
      <c r="UJ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/>
      <c r="FJ877" s="9"/>
      <c r="FK877" s="9"/>
      <c r="FL877" s="9"/>
      <c r="FM877" s="9"/>
      <c r="FN877" s="9"/>
      <c r="FO877" s="9"/>
      <c r="FP877" s="9"/>
      <c r="FQ877" s="9"/>
      <c r="FR877" s="9"/>
      <c r="FS877" s="9"/>
      <c r="FT877" s="9"/>
      <c r="FU877" s="9"/>
      <c r="FV877" s="9"/>
      <c r="FW877" s="9"/>
      <c r="FX877" s="9"/>
      <c r="FY877" s="9"/>
      <c r="FZ877" s="9"/>
      <c r="GA877" s="9"/>
      <c r="GB877" s="9"/>
      <c r="GC877" s="9"/>
      <c r="GD877" s="9"/>
      <c r="GE877" s="9"/>
      <c r="GF877" s="9"/>
      <c r="GG877" s="9"/>
      <c r="GH877" s="9"/>
      <c r="GI877" s="9"/>
      <c r="GJ877" s="9"/>
      <c r="GK877" s="9"/>
      <c r="GL877" s="9"/>
      <c r="GM877" s="9"/>
      <c r="GN877" s="9"/>
      <c r="GO877" s="9"/>
      <c r="GP877" s="9"/>
      <c r="GQ877" s="9"/>
      <c r="GR877" s="9"/>
      <c r="GS877" s="9"/>
      <c r="GT877" s="9"/>
      <c r="GU877" s="9"/>
      <c r="GV877" s="9"/>
      <c r="GW877" s="9"/>
      <c r="GX877" s="9"/>
      <c r="GY877" s="9"/>
      <c r="GZ877" s="9"/>
      <c r="HA877" s="9"/>
      <c r="HB877" s="9"/>
      <c r="HC877" s="9"/>
      <c r="HD877" s="9"/>
      <c r="HE877" s="9"/>
      <c r="HF877" s="9"/>
      <c r="HG877" s="9"/>
      <c r="HH877" s="9"/>
      <c r="HI877" s="9"/>
      <c r="HJ877" s="9"/>
      <c r="HK877" s="9"/>
      <c r="HL877" s="9"/>
      <c r="HM877" s="9"/>
      <c r="HN877" s="9"/>
      <c r="HO877" s="9"/>
      <c r="HP877" s="9"/>
      <c r="HQ877" s="9"/>
      <c r="HR877" s="9"/>
      <c r="HS877" s="9"/>
      <c r="HT877" s="9"/>
      <c r="HU877" s="9"/>
      <c r="HV877" s="9"/>
      <c r="HW877" s="9"/>
      <c r="HX877" s="9"/>
      <c r="HY877" s="9"/>
      <c r="HZ877" s="9"/>
      <c r="IA877" s="9"/>
      <c r="IB877" s="9"/>
      <c r="IC877" s="9"/>
      <c r="ID877" s="9"/>
      <c r="IE877" s="9"/>
      <c r="IF877" s="9"/>
      <c r="IG877" s="9"/>
      <c r="IH877" s="9"/>
      <c r="II877" s="9"/>
      <c r="IJ877" s="9"/>
      <c r="IK877" s="9"/>
      <c r="IL877" s="9"/>
      <c r="IM877" s="9"/>
      <c r="IN877" s="9"/>
      <c r="IO877" s="9"/>
      <c r="IP877" s="9"/>
      <c r="IQ877" s="9"/>
      <c r="IR877" s="9"/>
      <c r="IS877" s="9"/>
      <c r="IT877" s="9"/>
      <c r="IU877" s="9"/>
      <c r="IV877" s="9"/>
      <c r="IW877" s="9"/>
      <c r="IX877" s="9"/>
      <c r="IY877" s="9"/>
      <c r="IZ877" s="9"/>
      <c r="JA877" s="9"/>
      <c r="JB877" s="9"/>
      <c r="JC877" s="9"/>
      <c r="JD877" s="9"/>
      <c r="JE877" s="9"/>
      <c r="JF877" s="9"/>
      <c r="JG877" s="9"/>
      <c r="JH877" s="9"/>
      <c r="JI877" s="9"/>
      <c r="JJ877" s="9"/>
      <c r="JK877" s="9"/>
      <c r="JL877" s="9"/>
      <c r="JM877" s="9"/>
      <c r="JN877" s="9"/>
      <c r="JO877" s="9"/>
      <c r="JP877" s="9"/>
      <c r="JQ877" s="9"/>
      <c r="JR877" s="9"/>
      <c r="JS877" s="9"/>
      <c r="JT877" s="9"/>
      <c r="JU877" s="9"/>
      <c r="JV877" s="9"/>
      <c r="JW877" s="9"/>
      <c r="JX877" s="9"/>
      <c r="JY877" s="9"/>
      <c r="JZ877" s="9"/>
      <c r="KA877" s="9"/>
      <c r="KB877" s="9"/>
      <c r="KC877" s="9"/>
      <c r="KD877" s="9"/>
      <c r="KE877" s="9"/>
      <c r="KF877" s="9"/>
      <c r="KG877" s="9"/>
      <c r="KH877" s="9"/>
      <c r="KI877" s="9"/>
      <c r="KJ877" s="9"/>
      <c r="KK877" s="9"/>
      <c r="KL877" s="9"/>
      <c r="KM877" s="9"/>
      <c r="KN877" s="9"/>
      <c r="KO877" s="9"/>
      <c r="KP877" s="9"/>
      <c r="KQ877" s="9"/>
      <c r="KR877" s="9"/>
      <c r="KS877" s="9"/>
      <c r="KT877" s="9"/>
      <c r="KU877" s="9"/>
      <c r="KV877" s="9"/>
      <c r="KW877" s="9"/>
      <c r="KX877" s="9"/>
      <c r="KY877" s="9"/>
      <c r="KZ877" s="9"/>
      <c r="LA877" s="9"/>
      <c r="LB877" s="9"/>
      <c r="LC877" s="9"/>
      <c r="LD877" s="9"/>
      <c r="LE877" s="9"/>
      <c r="LF877" s="9"/>
      <c r="LG877" s="9"/>
      <c r="LH877" s="9"/>
      <c r="LI877" s="9"/>
      <c r="LJ877" s="9"/>
      <c r="LK877" s="9"/>
      <c r="LL877" s="9"/>
      <c r="LM877" s="9"/>
      <c r="LN877" s="9"/>
      <c r="LO877" s="9"/>
      <c r="LP877" s="9"/>
      <c r="LQ877" s="9"/>
      <c r="LR877" s="9"/>
      <c r="LS877" s="9"/>
      <c r="LT877" s="9"/>
      <c r="LU877" s="9"/>
      <c r="LV877" s="9"/>
      <c r="LW877" s="9"/>
      <c r="LX877" s="9"/>
      <c r="LY877" s="9"/>
      <c r="LZ877" s="9"/>
      <c r="MA877" s="9"/>
      <c r="MB877" s="9"/>
      <c r="MC877" s="9"/>
      <c r="MD877" s="9"/>
      <c r="ME877" s="9"/>
      <c r="MF877" s="9"/>
      <c r="MG877" s="9"/>
      <c r="MH877" s="9"/>
      <c r="MI877" s="9"/>
      <c r="MJ877" s="9"/>
      <c r="MK877" s="9"/>
      <c r="ML877" s="9"/>
      <c r="MM877" s="9"/>
      <c r="MN877" s="9"/>
      <c r="MO877" s="9"/>
      <c r="MP877" s="9"/>
      <c r="MQ877" s="9"/>
      <c r="MR877" s="9"/>
      <c r="MS877" s="9"/>
      <c r="MT877" s="9"/>
      <c r="MU877" s="9"/>
      <c r="MV877" s="9"/>
      <c r="MW877" s="9"/>
      <c r="MX877" s="9"/>
      <c r="MY877" s="9"/>
      <c r="MZ877" s="9"/>
      <c r="NA877" s="9"/>
      <c r="NB877" s="9"/>
      <c r="NC877" s="9"/>
      <c r="ND877" s="9"/>
      <c r="NE877" s="9"/>
      <c r="NF877" s="9"/>
      <c r="NG877" s="9"/>
      <c r="NH877" s="9"/>
      <c r="NI877" s="9"/>
      <c r="NJ877" s="9"/>
      <c r="NK877" s="9"/>
      <c r="NL877" s="9"/>
      <c r="NM877" s="9"/>
      <c r="NN877" s="9"/>
      <c r="NO877" s="9"/>
      <c r="NP877" s="9"/>
      <c r="NQ877" s="9"/>
      <c r="NR877" s="9"/>
      <c r="NS877" s="9"/>
      <c r="NT877" s="9"/>
      <c r="NU877" s="9"/>
      <c r="NV877" s="9"/>
      <c r="NW877" s="9"/>
      <c r="NX877" s="9"/>
      <c r="NY877" s="9"/>
      <c r="NZ877" s="9"/>
      <c r="OA877" s="9"/>
      <c r="OB877" s="9"/>
      <c r="OC877" s="9"/>
      <c r="OD877" s="9"/>
      <c r="OE877" s="9"/>
      <c r="OF877" s="9"/>
      <c r="OG877" s="9"/>
      <c r="OH877" s="9"/>
      <c r="OI877" s="9"/>
      <c r="OJ877" s="9"/>
      <c r="OK877" s="9"/>
      <c r="OL877" s="9"/>
      <c r="OM877" s="9"/>
      <c r="ON877" s="9"/>
      <c r="OO877" s="9"/>
      <c r="OP877" s="9"/>
      <c r="OQ877" s="9"/>
      <c r="OR877" s="9"/>
      <c r="OS877" s="9"/>
      <c r="OT877" s="9"/>
      <c r="OU877" s="9"/>
      <c r="OV877" s="9"/>
      <c r="OW877" s="9"/>
      <c r="OX877" s="9"/>
      <c r="OY877" s="9"/>
      <c r="OZ877" s="9"/>
      <c r="PA877" s="9"/>
      <c r="PB877" s="9"/>
      <c r="PC877" s="9"/>
      <c r="PD877" s="9"/>
      <c r="PE877" s="9"/>
      <c r="PF877" s="9"/>
      <c r="PG877" s="9"/>
      <c r="PH877" s="9"/>
      <c r="PI877" s="9"/>
      <c r="PJ877" s="9"/>
      <c r="PK877" s="9"/>
      <c r="PL877" s="9"/>
      <c r="PM877" s="9"/>
      <c r="PN877" s="9"/>
      <c r="PO877" s="9"/>
      <c r="PP877" s="9"/>
      <c r="PQ877" s="9"/>
      <c r="PR877" s="9"/>
      <c r="PS877" s="9"/>
      <c r="PT877" s="9"/>
      <c r="PU877" s="9"/>
      <c r="PV877" s="9"/>
      <c r="PW877" s="9"/>
      <c r="PX877" s="9"/>
      <c r="PY877" s="9"/>
      <c r="PZ877" s="9"/>
      <c r="QA877" s="9"/>
      <c r="QB877" s="9"/>
      <c r="QC877" s="9"/>
      <c r="QD877" s="9"/>
      <c r="QE877" s="9"/>
      <c r="QF877" s="9"/>
      <c r="QG877" s="9"/>
      <c r="QH877" s="9"/>
      <c r="QI877" s="9"/>
      <c r="QJ877" s="9"/>
      <c r="QK877" s="9"/>
      <c r="QL877" s="9"/>
      <c r="QM877" s="9"/>
      <c r="QN877" s="9"/>
      <c r="QO877" s="9"/>
      <c r="QP877" s="9"/>
      <c r="QQ877" s="9"/>
      <c r="QR877" s="9"/>
      <c r="QS877" s="9"/>
      <c r="QT877" s="9"/>
      <c r="QU877" s="9"/>
      <c r="QV877" s="9"/>
      <c r="QW877" s="9"/>
      <c r="QX877" s="9"/>
      <c r="QY877" s="9"/>
      <c r="QZ877" s="9"/>
      <c r="RA877" s="9"/>
      <c r="RB877" s="9"/>
      <c r="RC877" s="9"/>
      <c r="RD877" s="9"/>
      <c r="RE877" s="9"/>
      <c r="RF877" s="9"/>
      <c r="RG877" s="9"/>
      <c r="RH877" s="9"/>
      <c r="RI877" s="9"/>
      <c r="RJ877" s="9"/>
      <c r="RK877" s="9"/>
      <c r="RL877" s="9"/>
      <c r="RM877" s="9"/>
      <c r="RN877" s="9"/>
      <c r="RO877" s="9"/>
      <c r="RP877" s="9"/>
      <c r="RQ877" s="9"/>
      <c r="RR877" s="9"/>
      <c r="RS877" s="9"/>
      <c r="RT877" s="9"/>
      <c r="RU877" s="9"/>
      <c r="RV877" s="9"/>
      <c r="RW877" s="9"/>
      <c r="RX877" s="9"/>
      <c r="RY877" s="9"/>
      <c r="RZ877" s="9"/>
      <c r="SA877" s="9"/>
      <c r="SB877" s="9"/>
      <c r="SC877" s="9"/>
      <c r="SD877" s="9"/>
      <c r="SE877" s="9"/>
      <c r="SF877" s="9"/>
      <c r="SG877" s="9"/>
      <c r="SH877" s="9"/>
      <c r="SI877" s="9"/>
      <c r="SJ877" s="9"/>
      <c r="SK877" s="9"/>
      <c r="SL877" s="9"/>
      <c r="SM877" s="9"/>
      <c r="SN877" s="9"/>
      <c r="SO877" s="9"/>
      <c r="SP877" s="9"/>
      <c r="SQ877" s="9"/>
      <c r="SR877" s="9"/>
      <c r="SS877" s="9"/>
      <c r="ST877" s="9"/>
      <c r="SU877" s="9"/>
      <c r="SV877" s="9"/>
      <c r="SW877" s="9"/>
      <c r="SX877" s="9"/>
      <c r="SY877" s="9"/>
      <c r="SZ877" s="9"/>
      <c r="TA877" s="9"/>
      <c r="TB877" s="9"/>
      <c r="TC877" s="9"/>
      <c r="TD877" s="9"/>
      <c r="TE877" s="9"/>
      <c r="TF877" s="9"/>
      <c r="TG877" s="9"/>
      <c r="TH877" s="9"/>
      <c r="TI877" s="9"/>
      <c r="TJ877" s="9"/>
      <c r="TK877" s="9"/>
      <c r="TL877" s="9"/>
      <c r="TM877" s="9"/>
      <c r="TN877" s="9"/>
      <c r="TO877" s="9"/>
      <c r="TP877" s="9"/>
      <c r="TQ877" s="9"/>
      <c r="TR877" s="9"/>
      <c r="TS877" s="9"/>
      <c r="TT877" s="9"/>
      <c r="TU877" s="9"/>
      <c r="TV877" s="9"/>
      <c r="TW877" s="9"/>
      <c r="TX877" s="9"/>
      <c r="TY877" s="9"/>
      <c r="TZ877" s="9"/>
      <c r="UA877" s="9"/>
      <c r="UB877" s="9"/>
      <c r="UC877" s="9"/>
      <c r="UD877" s="9"/>
      <c r="UE877" s="9"/>
      <c r="UF877" s="9"/>
      <c r="UG877" s="9"/>
      <c r="UH877" s="9"/>
      <c r="UI877" s="9"/>
      <c r="UJ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  <c r="HZ878" s="9"/>
      <c r="IA878" s="9"/>
      <c r="IB878" s="9"/>
      <c r="IC878" s="9"/>
      <c r="ID878" s="9"/>
      <c r="IE878" s="9"/>
      <c r="IF878" s="9"/>
      <c r="IG878" s="9"/>
      <c r="IH878" s="9"/>
      <c r="II878" s="9"/>
      <c r="IJ878" s="9"/>
      <c r="IK878" s="9"/>
      <c r="IL878" s="9"/>
      <c r="IM878" s="9"/>
      <c r="IN878" s="9"/>
      <c r="IO878" s="9"/>
      <c r="IP878" s="9"/>
      <c r="IQ878" s="9"/>
      <c r="IR878" s="9"/>
      <c r="IS878" s="9"/>
      <c r="IT878" s="9"/>
      <c r="IU878" s="9"/>
      <c r="IV878" s="9"/>
      <c r="IW878" s="9"/>
      <c r="IX878" s="9"/>
      <c r="IY878" s="9"/>
      <c r="IZ878" s="9"/>
      <c r="JA878" s="9"/>
      <c r="JB878" s="9"/>
      <c r="JC878" s="9"/>
      <c r="JD878" s="9"/>
      <c r="JE878" s="9"/>
      <c r="JF878" s="9"/>
      <c r="JG878" s="9"/>
      <c r="JH878" s="9"/>
      <c r="JI878" s="9"/>
      <c r="JJ878" s="9"/>
      <c r="JK878" s="9"/>
      <c r="JL878" s="9"/>
      <c r="JM878" s="9"/>
      <c r="JN878" s="9"/>
      <c r="JO878" s="9"/>
      <c r="JP878" s="9"/>
      <c r="JQ878" s="9"/>
      <c r="JR878" s="9"/>
      <c r="JS878" s="9"/>
      <c r="JT878" s="9"/>
      <c r="JU878" s="9"/>
      <c r="JV878" s="9"/>
      <c r="JW878" s="9"/>
      <c r="JX878" s="9"/>
      <c r="JY878" s="9"/>
      <c r="JZ878" s="9"/>
      <c r="KA878" s="9"/>
      <c r="KB878" s="9"/>
      <c r="KC878" s="9"/>
      <c r="KD878" s="9"/>
      <c r="KE878" s="9"/>
      <c r="KF878" s="9"/>
      <c r="KG878" s="9"/>
      <c r="KH878" s="9"/>
      <c r="KI878" s="9"/>
      <c r="KJ878" s="9"/>
      <c r="KK878" s="9"/>
      <c r="KL878" s="9"/>
      <c r="KM878" s="9"/>
      <c r="KN878" s="9"/>
      <c r="KO878" s="9"/>
      <c r="KP878" s="9"/>
      <c r="KQ878" s="9"/>
      <c r="KR878" s="9"/>
      <c r="KS878" s="9"/>
      <c r="KT878" s="9"/>
      <c r="KU878" s="9"/>
      <c r="KV878" s="9"/>
      <c r="KW878" s="9"/>
      <c r="KX878" s="9"/>
      <c r="KY878" s="9"/>
      <c r="KZ878" s="9"/>
      <c r="LA878" s="9"/>
      <c r="LB878" s="9"/>
      <c r="LC878" s="9"/>
      <c r="LD878" s="9"/>
      <c r="LE878" s="9"/>
      <c r="LF878" s="9"/>
      <c r="LG878" s="9"/>
      <c r="LH878" s="9"/>
      <c r="LI878" s="9"/>
      <c r="LJ878" s="9"/>
      <c r="LK878" s="9"/>
      <c r="LL878" s="9"/>
      <c r="LM878" s="9"/>
      <c r="LN878" s="9"/>
      <c r="LO878" s="9"/>
      <c r="LP878" s="9"/>
      <c r="LQ878" s="9"/>
      <c r="LR878" s="9"/>
      <c r="LS878" s="9"/>
      <c r="LT878" s="9"/>
      <c r="LU878" s="9"/>
      <c r="LV878" s="9"/>
      <c r="LW878" s="9"/>
      <c r="LX878" s="9"/>
      <c r="LY878" s="9"/>
      <c r="LZ878" s="9"/>
      <c r="MA878" s="9"/>
      <c r="MB878" s="9"/>
      <c r="MC878" s="9"/>
      <c r="MD878" s="9"/>
      <c r="ME878" s="9"/>
      <c r="MF878" s="9"/>
      <c r="MG878" s="9"/>
      <c r="MH878" s="9"/>
      <c r="MI878" s="9"/>
      <c r="MJ878" s="9"/>
      <c r="MK878" s="9"/>
      <c r="ML878" s="9"/>
      <c r="MM878" s="9"/>
      <c r="MN878" s="9"/>
      <c r="MO878" s="9"/>
      <c r="MP878" s="9"/>
      <c r="MQ878" s="9"/>
      <c r="MR878" s="9"/>
      <c r="MS878" s="9"/>
      <c r="MT878" s="9"/>
      <c r="MU878" s="9"/>
      <c r="MV878" s="9"/>
      <c r="MW878" s="9"/>
      <c r="MX878" s="9"/>
      <c r="MY878" s="9"/>
      <c r="MZ878" s="9"/>
      <c r="NA878" s="9"/>
      <c r="NB878" s="9"/>
      <c r="NC878" s="9"/>
      <c r="ND878" s="9"/>
      <c r="NE878" s="9"/>
      <c r="NF878" s="9"/>
      <c r="NG878" s="9"/>
      <c r="NH878" s="9"/>
      <c r="NI878" s="9"/>
      <c r="NJ878" s="9"/>
      <c r="NK878" s="9"/>
      <c r="NL878" s="9"/>
      <c r="NM878" s="9"/>
      <c r="NN878" s="9"/>
      <c r="NO878" s="9"/>
      <c r="NP878" s="9"/>
      <c r="NQ878" s="9"/>
      <c r="NR878" s="9"/>
      <c r="NS878" s="9"/>
      <c r="NT878" s="9"/>
      <c r="NU878" s="9"/>
      <c r="NV878" s="9"/>
      <c r="NW878" s="9"/>
      <c r="NX878" s="9"/>
      <c r="NY878" s="9"/>
      <c r="NZ878" s="9"/>
      <c r="OA878" s="9"/>
      <c r="OB878" s="9"/>
      <c r="OC878" s="9"/>
      <c r="OD878" s="9"/>
      <c r="OE878" s="9"/>
      <c r="OF878" s="9"/>
      <c r="OG878" s="9"/>
      <c r="OH878" s="9"/>
      <c r="OI878" s="9"/>
      <c r="OJ878" s="9"/>
      <c r="OK878" s="9"/>
      <c r="OL878" s="9"/>
      <c r="OM878" s="9"/>
      <c r="ON878" s="9"/>
      <c r="OO878" s="9"/>
      <c r="OP878" s="9"/>
      <c r="OQ878" s="9"/>
      <c r="OR878" s="9"/>
      <c r="OS878" s="9"/>
      <c r="OT878" s="9"/>
      <c r="OU878" s="9"/>
      <c r="OV878" s="9"/>
      <c r="OW878" s="9"/>
      <c r="OX878" s="9"/>
      <c r="OY878" s="9"/>
      <c r="OZ878" s="9"/>
      <c r="PA878" s="9"/>
      <c r="PB878" s="9"/>
      <c r="PC878" s="9"/>
      <c r="PD878" s="9"/>
      <c r="PE878" s="9"/>
      <c r="PF878" s="9"/>
      <c r="PG878" s="9"/>
      <c r="PH878" s="9"/>
      <c r="PI878" s="9"/>
      <c r="PJ878" s="9"/>
      <c r="PK878" s="9"/>
      <c r="PL878" s="9"/>
      <c r="PM878" s="9"/>
      <c r="PN878" s="9"/>
      <c r="PO878" s="9"/>
      <c r="PP878" s="9"/>
      <c r="PQ878" s="9"/>
      <c r="PR878" s="9"/>
      <c r="PS878" s="9"/>
      <c r="PT878" s="9"/>
      <c r="PU878" s="9"/>
      <c r="PV878" s="9"/>
      <c r="PW878" s="9"/>
      <c r="PX878" s="9"/>
      <c r="PY878" s="9"/>
      <c r="PZ878" s="9"/>
      <c r="QA878" s="9"/>
      <c r="QB878" s="9"/>
      <c r="QC878" s="9"/>
      <c r="QD878" s="9"/>
      <c r="QE878" s="9"/>
      <c r="QF878" s="9"/>
      <c r="QG878" s="9"/>
      <c r="QH878" s="9"/>
      <c r="QI878" s="9"/>
      <c r="QJ878" s="9"/>
      <c r="QK878" s="9"/>
      <c r="QL878" s="9"/>
      <c r="QM878" s="9"/>
      <c r="QN878" s="9"/>
      <c r="QO878" s="9"/>
      <c r="QP878" s="9"/>
      <c r="QQ878" s="9"/>
      <c r="QR878" s="9"/>
      <c r="QS878" s="9"/>
      <c r="QT878" s="9"/>
      <c r="QU878" s="9"/>
      <c r="QV878" s="9"/>
      <c r="QW878" s="9"/>
      <c r="QX878" s="9"/>
      <c r="QY878" s="9"/>
      <c r="QZ878" s="9"/>
      <c r="RA878" s="9"/>
      <c r="RB878" s="9"/>
      <c r="RC878" s="9"/>
      <c r="RD878" s="9"/>
      <c r="RE878" s="9"/>
      <c r="RF878" s="9"/>
      <c r="RG878" s="9"/>
      <c r="RH878" s="9"/>
      <c r="RI878" s="9"/>
      <c r="RJ878" s="9"/>
      <c r="RK878" s="9"/>
      <c r="RL878" s="9"/>
      <c r="RM878" s="9"/>
      <c r="RN878" s="9"/>
      <c r="RO878" s="9"/>
      <c r="RP878" s="9"/>
      <c r="RQ878" s="9"/>
      <c r="RR878" s="9"/>
      <c r="RS878" s="9"/>
      <c r="RT878" s="9"/>
      <c r="RU878" s="9"/>
      <c r="RV878" s="9"/>
      <c r="RW878" s="9"/>
      <c r="RX878" s="9"/>
      <c r="RY878" s="9"/>
      <c r="RZ878" s="9"/>
      <c r="SA878" s="9"/>
      <c r="SB878" s="9"/>
      <c r="SC878" s="9"/>
      <c r="SD878" s="9"/>
      <c r="SE878" s="9"/>
      <c r="SF878" s="9"/>
      <c r="SG878" s="9"/>
      <c r="SH878" s="9"/>
      <c r="SI878" s="9"/>
      <c r="SJ878" s="9"/>
      <c r="SK878" s="9"/>
      <c r="SL878" s="9"/>
      <c r="SM878" s="9"/>
      <c r="SN878" s="9"/>
      <c r="SO878" s="9"/>
      <c r="SP878" s="9"/>
      <c r="SQ878" s="9"/>
      <c r="SR878" s="9"/>
      <c r="SS878" s="9"/>
      <c r="ST878" s="9"/>
      <c r="SU878" s="9"/>
      <c r="SV878" s="9"/>
      <c r="SW878" s="9"/>
      <c r="SX878" s="9"/>
      <c r="SY878" s="9"/>
      <c r="SZ878" s="9"/>
      <c r="TA878" s="9"/>
      <c r="TB878" s="9"/>
      <c r="TC878" s="9"/>
      <c r="TD878" s="9"/>
      <c r="TE878" s="9"/>
      <c r="TF878" s="9"/>
      <c r="TG878" s="9"/>
      <c r="TH878" s="9"/>
      <c r="TI878" s="9"/>
      <c r="TJ878" s="9"/>
      <c r="TK878" s="9"/>
      <c r="TL878" s="9"/>
      <c r="TM878" s="9"/>
      <c r="TN878" s="9"/>
      <c r="TO878" s="9"/>
      <c r="TP878" s="9"/>
      <c r="TQ878" s="9"/>
      <c r="TR878" s="9"/>
      <c r="TS878" s="9"/>
      <c r="TT878" s="9"/>
      <c r="TU878" s="9"/>
      <c r="TV878" s="9"/>
      <c r="TW878" s="9"/>
      <c r="TX878" s="9"/>
      <c r="TY878" s="9"/>
      <c r="TZ878" s="9"/>
      <c r="UA878" s="9"/>
      <c r="UB878" s="9"/>
      <c r="UC878" s="9"/>
      <c r="UD878" s="9"/>
      <c r="UE878" s="9"/>
      <c r="UF878" s="9"/>
      <c r="UG878" s="9"/>
      <c r="UH878" s="9"/>
      <c r="UI878" s="9"/>
      <c r="UJ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9"/>
      <c r="GV879" s="9"/>
      <c r="GW879" s="9"/>
      <c r="GX879" s="9"/>
      <c r="GY879" s="9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  <c r="HO879" s="9"/>
      <c r="HP879" s="9"/>
      <c r="HQ879" s="9"/>
      <c r="HR879" s="9"/>
      <c r="HS879" s="9"/>
      <c r="HT879" s="9"/>
      <c r="HU879" s="9"/>
      <c r="HV879" s="9"/>
      <c r="HW879" s="9"/>
      <c r="HX879" s="9"/>
      <c r="HY879" s="9"/>
      <c r="HZ879" s="9"/>
      <c r="IA879" s="9"/>
      <c r="IB879" s="9"/>
      <c r="IC879" s="9"/>
      <c r="ID879" s="9"/>
      <c r="IE879" s="9"/>
      <c r="IF879" s="9"/>
      <c r="IG879" s="9"/>
      <c r="IH879" s="9"/>
      <c r="II879" s="9"/>
      <c r="IJ879" s="9"/>
      <c r="IK879" s="9"/>
      <c r="IL879" s="9"/>
      <c r="IM879" s="9"/>
      <c r="IN879" s="9"/>
      <c r="IO879" s="9"/>
      <c r="IP879" s="9"/>
      <c r="IQ879" s="9"/>
      <c r="IR879" s="9"/>
      <c r="IS879" s="9"/>
      <c r="IT879" s="9"/>
      <c r="IU879" s="9"/>
      <c r="IV879" s="9"/>
      <c r="IW879" s="9"/>
      <c r="IX879" s="9"/>
      <c r="IY879" s="9"/>
      <c r="IZ879" s="9"/>
      <c r="JA879" s="9"/>
      <c r="JB879" s="9"/>
      <c r="JC879" s="9"/>
      <c r="JD879" s="9"/>
      <c r="JE879" s="9"/>
      <c r="JF879" s="9"/>
      <c r="JG879" s="9"/>
      <c r="JH879" s="9"/>
      <c r="JI879" s="9"/>
      <c r="JJ879" s="9"/>
      <c r="JK879" s="9"/>
      <c r="JL879" s="9"/>
      <c r="JM879" s="9"/>
      <c r="JN879" s="9"/>
      <c r="JO879" s="9"/>
      <c r="JP879" s="9"/>
      <c r="JQ879" s="9"/>
      <c r="JR879" s="9"/>
      <c r="JS879" s="9"/>
      <c r="JT879" s="9"/>
      <c r="JU879" s="9"/>
      <c r="JV879" s="9"/>
      <c r="JW879" s="9"/>
      <c r="JX879" s="9"/>
      <c r="JY879" s="9"/>
      <c r="JZ879" s="9"/>
      <c r="KA879" s="9"/>
      <c r="KB879" s="9"/>
      <c r="KC879" s="9"/>
      <c r="KD879" s="9"/>
      <c r="KE879" s="9"/>
      <c r="KF879" s="9"/>
      <c r="KG879" s="9"/>
      <c r="KH879" s="9"/>
      <c r="KI879" s="9"/>
      <c r="KJ879" s="9"/>
      <c r="KK879" s="9"/>
      <c r="KL879" s="9"/>
      <c r="KM879" s="9"/>
      <c r="KN879" s="9"/>
      <c r="KO879" s="9"/>
      <c r="KP879" s="9"/>
      <c r="KQ879" s="9"/>
      <c r="KR879" s="9"/>
      <c r="KS879" s="9"/>
      <c r="KT879" s="9"/>
      <c r="KU879" s="9"/>
      <c r="KV879" s="9"/>
      <c r="KW879" s="9"/>
      <c r="KX879" s="9"/>
      <c r="KY879" s="9"/>
      <c r="KZ879" s="9"/>
      <c r="LA879" s="9"/>
      <c r="LB879" s="9"/>
      <c r="LC879" s="9"/>
      <c r="LD879" s="9"/>
      <c r="LE879" s="9"/>
      <c r="LF879" s="9"/>
      <c r="LG879" s="9"/>
      <c r="LH879" s="9"/>
      <c r="LI879" s="9"/>
      <c r="LJ879" s="9"/>
      <c r="LK879" s="9"/>
      <c r="LL879" s="9"/>
      <c r="LM879" s="9"/>
      <c r="LN879" s="9"/>
      <c r="LO879" s="9"/>
      <c r="LP879" s="9"/>
      <c r="LQ879" s="9"/>
      <c r="LR879" s="9"/>
      <c r="LS879" s="9"/>
      <c r="LT879" s="9"/>
      <c r="LU879" s="9"/>
      <c r="LV879" s="9"/>
      <c r="LW879" s="9"/>
      <c r="LX879" s="9"/>
      <c r="LY879" s="9"/>
      <c r="LZ879" s="9"/>
      <c r="MA879" s="9"/>
      <c r="MB879" s="9"/>
      <c r="MC879" s="9"/>
      <c r="MD879" s="9"/>
      <c r="ME879" s="9"/>
      <c r="MF879" s="9"/>
      <c r="MG879" s="9"/>
      <c r="MH879" s="9"/>
      <c r="MI879" s="9"/>
      <c r="MJ879" s="9"/>
      <c r="MK879" s="9"/>
      <c r="ML879" s="9"/>
      <c r="MM879" s="9"/>
      <c r="MN879" s="9"/>
      <c r="MO879" s="9"/>
      <c r="MP879" s="9"/>
      <c r="MQ879" s="9"/>
      <c r="MR879" s="9"/>
      <c r="MS879" s="9"/>
      <c r="MT879" s="9"/>
      <c r="MU879" s="9"/>
      <c r="MV879" s="9"/>
      <c r="MW879" s="9"/>
      <c r="MX879" s="9"/>
      <c r="MY879" s="9"/>
      <c r="MZ879" s="9"/>
      <c r="NA879" s="9"/>
      <c r="NB879" s="9"/>
      <c r="NC879" s="9"/>
      <c r="ND879" s="9"/>
      <c r="NE879" s="9"/>
      <c r="NF879" s="9"/>
      <c r="NG879" s="9"/>
      <c r="NH879" s="9"/>
      <c r="NI879" s="9"/>
      <c r="NJ879" s="9"/>
      <c r="NK879" s="9"/>
      <c r="NL879" s="9"/>
      <c r="NM879" s="9"/>
      <c r="NN879" s="9"/>
      <c r="NO879" s="9"/>
      <c r="NP879" s="9"/>
      <c r="NQ879" s="9"/>
      <c r="NR879" s="9"/>
      <c r="NS879" s="9"/>
      <c r="NT879" s="9"/>
      <c r="NU879" s="9"/>
      <c r="NV879" s="9"/>
      <c r="NW879" s="9"/>
      <c r="NX879" s="9"/>
      <c r="NY879" s="9"/>
      <c r="NZ879" s="9"/>
      <c r="OA879" s="9"/>
      <c r="OB879" s="9"/>
      <c r="OC879" s="9"/>
      <c r="OD879" s="9"/>
      <c r="OE879" s="9"/>
      <c r="OF879" s="9"/>
      <c r="OG879" s="9"/>
      <c r="OH879" s="9"/>
      <c r="OI879" s="9"/>
      <c r="OJ879" s="9"/>
      <c r="OK879" s="9"/>
      <c r="OL879" s="9"/>
      <c r="OM879" s="9"/>
      <c r="ON879" s="9"/>
      <c r="OO879" s="9"/>
      <c r="OP879" s="9"/>
      <c r="OQ879" s="9"/>
      <c r="OR879" s="9"/>
      <c r="OS879" s="9"/>
      <c r="OT879" s="9"/>
      <c r="OU879" s="9"/>
      <c r="OV879" s="9"/>
      <c r="OW879" s="9"/>
      <c r="OX879" s="9"/>
      <c r="OY879" s="9"/>
      <c r="OZ879" s="9"/>
      <c r="PA879" s="9"/>
      <c r="PB879" s="9"/>
      <c r="PC879" s="9"/>
      <c r="PD879" s="9"/>
      <c r="PE879" s="9"/>
      <c r="PF879" s="9"/>
      <c r="PG879" s="9"/>
      <c r="PH879" s="9"/>
      <c r="PI879" s="9"/>
      <c r="PJ879" s="9"/>
      <c r="PK879" s="9"/>
      <c r="PL879" s="9"/>
      <c r="PM879" s="9"/>
      <c r="PN879" s="9"/>
      <c r="PO879" s="9"/>
      <c r="PP879" s="9"/>
      <c r="PQ879" s="9"/>
      <c r="PR879" s="9"/>
      <c r="PS879" s="9"/>
      <c r="PT879" s="9"/>
      <c r="PU879" s="9"/>
      <c r="PV879" s="9"/>
      <c r="PW879" s="9"/>
      <c r="PX879" s="9"/>
      <c r="PY879" s="9"/>
      <c r="PZ879" s="9"/>
      <c r="QA879" s="9"/>
      <c r="QB879" s="9"/>
      <c r="QC879" s="9"/>
      <c r="QD879" s="9"/>
      <c r="QE879" s="9"/>
      <c r="QF879" s="9"/>
      <c r="QG879" s="9"/>
      <c r="QH879" s="9"/>
      <c r="QI879" s="9"/>
      <c r="QJ879" s="9"/>
      <c r="QK879" s="9"/>
      <c r="QL879" s="9"/>
      <c r="QM879" s="9"/>
      <c r="QN879" s="9"/>
      <c r="QO879" s="9"/>
      <c r="QP879" s="9"/>
      <c r="QQ879" s="9"/>
      <c r="QR879" s="9"/>
      <c r="QS879" s="9"/>
      <c r="QT879" s="9"/>
      <c r="QU879" s="9"/>
      <c r="QV879" s="9"/>
      <c r="QW879" s="9"/>
      <c r="QX879" s="9"/>
      <c r="QY879" s="9"/>
      <c r="QZ879" s="9"/>
      <c r="RA879" s="9"/>
      <c r="RB879" s="9"/>
      <c r="RC879" s="9"/>
      <c r="RD879" s="9"/>
      <c r="RE879" s="9"/>
      <c r="RF879" s="9"/>
      <c r="RG879" s="9"/>
      <c r="RH879" s="9"/>
      <c r="RI879" s="9"/>
      <c r="RJ879" s="9"/>
      <c r="RK879" s="9"/>
      <c r="RL879" s="9"/>
      <c r="RM879" s="9"/>
      <c r="RN879" s="9"/>
      <c r="RO879" s="9"/>
      <c r="RP879" s="9"/>
      <c r="RQ879" s="9"/>
      <c r="RR879" s="9"/>
      <c r="RS879" s="9"/>
      <c r="RT879" s="9"/>
      <c r="RU879" s="9"/>
      <c r="RV879" s="9"/>
      <c r="RW879" s="9"/>
      <c r="RX879" s="9"/>
      <c r="RY879" s="9"/>
      <c r="RZ879" s="9"/>
      <c r="SA879" s="9"/>
      <c r="SB879" s="9"/>
      <c r="SC879" s="9"/>
      <c r="SD879" s="9"/>
      <c r="SE879" s="9"/>
      <c r="SF879" s="9"/>
      <c r="SG879" s="9"/>
      <c r="SH879" s="9"/>
      <c r="SI879" s="9"/>
      <c r="SJ879" s="9"/>
      <c r="SK879" s="9"/>
      <c r="SL879" s="9"/>
      <c r="SM879" s="9"/>
      <c r="SN879" s="9"/>
      <c r="SO879" s="9"/>
      <c r="SP879" s="9"/>
      <c r="SQ879" s="9"/>
      <c r="SR879" s="9"/>
      <c r="SS879" s="9"/>
      <c r="ST879" s="9"/>
      <c r="SU879" s="9"/>
      <c r="SV879" s="9"/>
      <c r="SW879" s="9"/>
      <c r="SX879" s="9"/>
      <c r="SY879" s="9"/>
      <c r="SZ879" s="9"/>
      <c r="TA879" s="9"/>
      <c r="TB879" s="9"/>
      <c r="TC879" s="9"/>
      <c r="TD879" s="9"/>
      <c r="TE879" s="9"/>
      <c r="TF879" s="9"/>
      <c r="TG879" s="9"/>
      <c r="TH879" s="9"/>
      <c r="TI879" s="9"/>
      <c r="TJ879" s="9"/>
      <c r="TK879" s="9"/>
      <c r="TL879" s="9"/>
      <c r="TM879" s="9"/>
      <c r="TN879" s="9"/>
      <c r="TO879" s="9"/>
      <c r="TP879" s="9"/>
      <c r="TQ879" s="9"/>
      <c r="TR879" s="9"/>
      <c r="TS879" s="9"/>
      <c r="TT879" s="9"/>
      <c r="TU879" s="9"/>
      <c r="TV879" s="9"/>
      <c r="TW879" s="9"/>
      <c r="TX879" s="9"/>
      <c r="TY879" s="9"/>
      <c r="TZ879" s="9"/>
      <c r="UA879" s="9"/>
      <c r="UB879" s="9"/>
      <c r="UC879" s="9"/>
      <c r="UD879" s="9"/>
      <c r="UE879" s="9"/>
      <c r="UF879" s="9"/>
      <c r="UG879" s="9"/>
      <c r="UH879" s="9"/>
      <c r="UI879" s="9"/>
      <c r="UJ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  <c r="HO880" s="9"/>
      <c r="HP880" s="9"/>
      <c r="HQ880" s="9"/>
      <c r="HR880" s="9"/>
      <c r="HS880" s="9"/>
      <c r="HT880" s="9"/>
      <c r="HU880" s="9"/>
      <c r="HV880" s="9"/>
      <c r="HW880" s="9"/>
      <c r="HX880" s="9"/>
      <c r="HY880" s="9"/>
      <c r="HZ880" s="9"/>
      <c r="IA880" s="9"/>
      <c r="IB880" s="9"/>
      <c r="IC880" s="9"/>
      <c r="ID880" s="9"/>
      <c r="IE880" s="9"/>
      <c r="IF880" s="9"/>
      <c r="IG880" s="9"/>
      <c r="IH880" s="9"/>
      <c r="II880" s="9"/>
      <c r="IJ880" s="9"/>
      <c r="IK880" s="9"/>
      <c r="IL880" s="9"/>
      <c r="IM880" s="9"/>
      <c r="IN880" s="9"/>
      <c r="IO880" s="9"/>
      <c r="IP880" s="9"/>
      <c r="IQ880" s="9"/>
      <c r="IR880" s="9"/>
      <c r="IS880" s="9"/>
      <c r="IT880" s="9"/>
      <c r="IU880" s="9"/>
      <c r="IV880" s="9"/>
      <c r="IW880" s="9"/>
      <c r="IX880" s="9"/>
      <c r="IY880" s="9"/>
      <c r="IZ880" s="9"/>
      <c r="JA880" s="9"/>
      <c r="JB880" s="9"/>
      <c r="JC880" s="9"/>
      <c r="JD880" s="9"/>
      <c r="JE880" s="9"/>
      <c r="JF880" s="9"/>
      <c r="JG880" s="9"/>
      <c r="JH880" s="9"/>
      <c r="JI880" s="9"/>
      <c r="JJ880" s="9"/>
      <c r="JK880" s="9"/>
      <c r="JL880" s="9"/>
      <c r="JM880" s="9"/>
      <c r="JN880" s="9"/>
      <c r="JO880" s="9"/>
      <c r="JP880" s="9"/>
      <c r="JQ880" s="9"/>
      <c r="JR880" s="9"/>
      <c r="JS880" s="9"/>
      <c r="JT880" s="9"/>
      <c r="JU880" s="9"/>
      <c r="JV880" s="9"/>
      <c r="JW880" s="9"/>
      <c r="JX880" s="9"/>
      <c r="JY880" s="9"/>
      <c r="JZ880" s="9"/>
      <c r="KA880" s="9"/>
      <c r="KB880" s="9"/>
      <c r="KC880" s="9"/>
      <c r="KD880" s="9"/>
      <c r="KE880" s="9"/>
      <c r="KF880" s="9"/>
      <c r="KG880" s="9"/>
      <c r="KH880" s="9"/>
      <c r="KI880" s="9"/>
      <c r="KJ880" s="9"/>
      <c r="KK880" s="9"/>
      <c r="KL880" s="9"/>
      <c r="KM880" s="9"/>
      <c r="KN880" s="9"/>
      <c r="KO880" s="9"/>
      <c r="KP880" s="9"/>
      <c r="KQ880" s="9"/>
      <c r="KR880" s="9"/>
      <c r="KS880" s="9"/>
      <c r="KT880" s="9"/>
      <c r="KU880" s="9"/>
      <c r="KV880" s="9"/>
      <c r="KW880" s="9"/>
      <c r="KX880" s="9"/>
      <c r="KY880" s="9"/>
      <c r="KZ880" s="9"/>
      <c r="LA880" s="9"/>
      <c r="LB880" s="9"/>
      <c r="LC880" s="9"/>
      <c r="LD880" s="9"/>
      <c r="LE880" s="9"/>
      <c r="LF880" s="9"/>
      <c r="LG880" s="9"/>
      <c r="LH880" s="9"/>
      <c r="LI880" s="9"/>
      <c r="LJ880" s="9"/>
      <c r="LK880" s="9"/>
      <c r="LL880" s="9"/>
      <c r="LM880" s="9"/>
      <c r="LN880" s="9"/>
      <c r="LO880" s="9"/>
      <c r="LP880" s="9"/>
      <c r="LQ880" s="9"/>
      <c r="LR880" s="9"/>
      <c r="LS880" s="9"/>
      <c r="LT880" s="9"/>
      <c r="LU880" s="9"/>
      <c r="LV880" s="9"/>
      <c r="LW880" s="9"/>
      <c r="LX880" s="9"/>
      <c r="LY880" s="9"/>
      <c r="LZ880" s="9"/>
      <c r="MA880" s="9"/>
      <c r="MB880" s="9"/>
      <c r="MC880" s="9"/>
      <c r="MD880" s="9"/>
      <c r="ME880" s="9"/>
      <c r="MF880" s="9"/>
      <c r="MG880" s="9"/>
      <c r="MH880" s="9"/>
      <c r="MI880" s="9"/>
      <c r="MJ880" s="9"/>
      <c r="MK880" s="9"/>
      <c r="ML880" s="9"/>
      <c r="MM880" s="9"/>
      <c r="MN880" s="9"/>
      <c r="MO880" s="9"/>
      <c r="MP880" s="9"/>
      <c r="MQ880" s="9"/>
      <c r="MR880" s="9"/>
      <c r="MS880" s="9"/>
      <c r="MT880" s="9"/>
      <c r="MU880" s="9"/>
      <c r="MV880" s="9"/>
      <c r="MW880" s="9"/>
      <c r="MX880" s="9"/>
      <c r="MY880" s="9"/>
      <c r="MZ880" s="9"/>
      <c r="NA880" s="9"/>
      <c r="NB880" s="9"/>
      <c r="NC880" s="9"/>
      <c r="ND880" s="9"/>
      <c r="NE880" s="9"/>
      <c r="NF880" s="9"/>
      <c r="NG880" s="9"/>
      <c r="NH880" s="9"/>
      <c r="NI880" s="9"/>
      <c r="NJ880" s="9"/>
      <c r="NK880" s="9"/>
      <c r="NL880" s="9"/>
      <c r="NM880" s="9"/>
      <c r="NN880" s="9"/>
      <c r="NO880" s="9"/>
      <c r="NP880" s="9"/>
      <c r="NQ880" s="9"/>
      <c r="NR880" s="9"/>
      <c r="NS880" s="9"/>
      <c r="NT880" s="9"/>
      <c r="NU880" s="9"/>
      <c r="NV880" s="9"/>
      <c r="NW880" s="9"/>
      <c r="NX880" s="9"/>
      <c r="NY880" s="9"/>
      <c r="NZ880" s="9"/>
      <c r="OA880" s="9"/>
      <c r="OB880" s="9"/>
      <c r="OC880" s="9"/>
      <c r="OD880" s="9"/>
      <c r="OE880" s="9"/>
      <c r="OF880" s="9"/>
      <c r="OG880" s="9"/>
      <c r="OH880" s="9"/>
      <c r="OI880" s="9"/>
      <c r="OJ880" s="9"/>
      <c r="OK880" s="9"/>
      <c r="OL880" s="9"/>
      <c r="OM880" s="9"/>
      <c r="ON880" s="9"/>
      <c r="OO880" s="9"/>
      <c r="OP880" s="9"/>
      <c r="OQ880" s="9"/>
      <c r="OR880" s="9"/>
      <c r="OS880" s="9"/>
      <c r="OT880" s="9"/>
      <c r="OU880" s="9"/>
      <c r="OV880" s="9"/>
      <c r="OW880" s="9"/>
      <c r="OX880" s="9"/>
      <c r="OY880" s="9"/>
      <c r="OZ880" s="9"/>
      <c r="PA880" s="9"/>
      <c r="PB880" s="9"/>
      <c r="PC880" s="9"/>
      <c r="PD880" s="9"/>
      <c r="PE880" s="9"/>
      <c r="PF880" s="9"/>
      <c r="PG880" s="9"/>
      <c r="PH880" s="9"/>
      <c r="PI880" s="9"/>
      <c r="PJ880" s="9"/>
      <c r="PK880" s="9"/>
      <c r="PL880" s="9"/>
      <c r="PM880" s="9"/>
      <c r="PN880" s="9"/>
      <c r="PO880" s="9"/>
      <c r="PP880" s="9"/>
      <c r="PQ880" s="9"/>
      <c r="PR880" s="9"/>
      <c r="PS880" s="9"/>
      <c r="PT880" s="9"/>
      <c r="PU880" s="9"/>
      <c r="PV880" s="9"/>
      <c r="PW880" s="9"/>
      <c r="PX880" s="9"/>
      <c r="PY880" s="9"/>
      <c r="PZ880" s="9"/>
      <c r="QA880" s="9"/>
      <c r="QB880" s="9"/>
      <c r="QC880" s="9"/>
      <c r="QD880" s="9"/>
      <c r="QE880" s="9"/>
      <c r="QF880" s="9"/>
      <c r="QG880" s="9"/>
      <c r="QH880" s="9"/>
      <c r="QI880" s="9"/>
      <c r="QJ880" s="9"/>
      <c r="QK880" s="9"/>
      <c r="QL880" s="9"/>
      <c r="QM880" s="9"/>
      <c r="QN880" s="9"/>
      <c r="QO880" s="9"/>
      <c r="QP880" s="9"/>
      <c r="QQ880" s="9"/>
      <c r="QR880" s="9"/>
      <c r="QS880" s="9"/>
      <c r="QT880" s="9"/>
      <c r="QU880" s="9"/>
      <c r="QV880" s="9"/>
      <c r="QW880" s="9"/>
      <c r="QX880" s="9"/>
      <c r="QY880" s="9"/>
      <c r="QZ880" s="9"/>
      <c r="RA880" s="9"/>
      <c r="RB880" s="9"/>
      <c r="RC880" s="9"/>
      <c r="RD880" s="9"/>
      <c r="RE880" s="9"/>
      <c r="RF880" s="9"/>
      <c r="RG880" s="9"/>
      <c r="RH880" s="9"/>
      <c r="RI880" s="9"/>
      <c r="RJ880" s="9"/>
      <c r="RK880" s="9"/>
      <c r="RL880" s="9"/>
      <c r="RM880" s="9"/>
      <c r="RN880" s="9"/>
      <c r="RO880" s="9"/>
      <c r="RP880" s="9"/>
      <c r="RQ880" s="9"/>
      <c r="RR880" s="9"/>
      <c r="RS880" s="9"/>
      <c r="RT880" s="9"/>
      <c r="RU880" s="9"/>
      <c r="RV880" s="9"/>
      <c r="RW880" s="9"/>
      <c r="RX880" s="9"/>
      <c r="RY880" s="9"/>
      <c r="RZ880" s="9"/>
      <c r="SA880" s="9"/>
      <c r="SB880" s="9"/>
      <c r="SC880" s="9"/>
      <c r="SD880" s="9"/>
      <c r="SE880" s="9"/>
      <c r="SF880" s="9"/>
      <c r="SG880" s="9"/>
      <c r="SH880" s="9"/>
      <c r="SI880" s="9"/>
      <c r="SJ880" s="9"/>
      <c r="SK880" s="9"/>
      <c r="SL880" s="9"/>
      <c r="SM880" s="9"/>
      <c r="SN880" s="9"/>
      <c r="SO880" s="9"/>
      <c r="SP880" s="9"/>
      <c r="SQ880" s="9"/>
      <c r="SR880" s="9"/>
      <c r="SS880" s="9"/>
      <c r="ST880" s="9"/>
      <c r="SU880" s="9"/>
      <c r="SV880" s="9"/>
      <c r="SW880" s="9"/>
      <c r="SX880" s="9"/>
      <c r="SY880" s="9"/>
      <c r="SZ880" s="9"/>
      <c r="TA880" s="9"/>
      <c r="TB880" s="9"/>
      <c r="TC880" s="9"/>
      <c r="TD880" s="9"/>
      <c r="TE880" s="9"/>
      <c r="TF880" s="9"/>
      <c r="TG880" s="9"/>
      <c r="TH880" s="9"/>
      <c r="TI880" s="9"/>
      <c r="TJ880" s="9"/>
      <c r="TK880" s="9"/>
      <c r="TL880" s="9"/>
      <c r="TM880" s="9"/>
      <c r="TN880" s="9"/>
      <c r="TO880" s="9"/>
      <c r="TP880" s="9"/>
      <c r="TQ880" s="9"/>
      <c r="TR880" s="9"/>
      <c r="TS880" s="9"/>
      <c r="TT880" s="9"/>
      <c r="TU880" s="9"/>
      <c r="TV880" s="9"/>
      <c r="TW880" s="9"/>
      <c r="TX880" s="9"/>
      <c r="TY880" s="9"/>
      <c r="TZ880" s="9"/>
      <c r="UA880" s="9"/>
      <c r="UB880" s="9"/>
      <c r="UC880" s="9"/>
      <c r="UD880" s="9"/>
      <c r="UE880" s="9"/>
      <c r="UF880" s="9"/>
      <c r="UG880" s="9"/>
      <c r="UH880" s="9"/>
      <c r="UI880" s="9"/>
      <c r="UJ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  <c r="HZ881" s="9"/>
      <c r="IA881" s="9"/>
      <c r="IB881" s="9"/>
      <c r="IC881" s="9"/>
      <c r="ID881" s="9"/>
      <c r="IE881" s="9"/>
      <c r="IF881" s="9"/>
      <c r="IG881" s="9"/>
      <c r="IH881" s="9"/>
      <c r="II881" s="9"/>
      <c r="IJ881" s="9"/>
      <c r="IK881" s="9"/>
      <c r="IL881" s="9"/>
      <c r="IM881" s="9"/>
      <c r="IN881" s="9"/>
      <c r="IO881" s="9"/>
      <c r="IP881" s="9"/>
      <c r="IQ881" s="9"/>
      <c r="IR881" s="9"/>
      <c r="IS881" s="9"/>
      <c r="IT881" s="9"/>
      <c r="IU881" s="9"/>
      <c r="IV881" s="9"/>
      <c r="IW881" s="9"/>
      <c r="IX881" s="9"/>
      <c r="IY881" s="9"/>
      <c r="IZ881" s="9"/>
      <c r="JA881" s="9"/>
      <c r="JB881" s="9"/>
      <c r="JC881" s="9"/>
      <c r="JD881" s="9"/>
      <c r="JE881" s="9"/>
      <c r="JF881" s="9"/>
      <c r="JG881" s="9"/>
      <c r="JH881" s="9"/>
      <c r="JI881" s="9"/>
      <c r="JJ881" s="9"/>
      <c r="JK881" s="9"/>
      <c r="JL881" s="9"/>
      <c r="JM881" s="9"/>
      <c r="JN881" s="9"/>
      <c r="JO881" s="9"/>
      <c r="JP881" s="9"/>
      <c r="JQ881" s="9"/>
      <c r="JR881" s="9"/>
      <c r="JS881" s="9"/>
      <c r="JT881" s="9"/>
      <c r="JU881" s="9"/>
      <c r="JV881" s="9"/>
      <c r="JW881" s="9"/>
      <c r="JX881" s="9"/>
      <c r="JY881" s="9"/>
      <c r="JZ881" s="9"/>
      <c r="KA881" s="9"/>
      <c r="KB881" s="9"/>
      <c r="KC881" s="9"/>
      <c r="KD881" s="9"/>
      <c r="KE881" s="9"/>
      <c r="KF881" s="9"/>
      <c r="KG881" s="9"/>
      <c r="KH881" s="9"/>
      <c r="KI881" s="9"/>
      <c r="KJ881" s="9"/>
      <c r="KK881" s="9"/>
      <c r="KL881" s="9"/>
      <c r="KM881" s="9"/>
      <c r="KN881" s="9"/>
      <c r="KO881" s="9"/>
      <c r="KP881" s="9"/>
      <c r="KQ881" s="9"/>
      <c r="KR881" s="9"/>
      <c r="KS881" s="9"/>
      <c r="KT881" s="9"/>
      <c r="KU881" s="9"/>
      <c r="KV881" s="9"/>
      <c r="KW881" s="9"/>
      <c r="KX881" s="9"/>
      <c r="KY881" s="9"/>
      <c r="KZ881" s="9"/>
      <c r="LA881" s="9"/>
      <c r="LB881" s="9"/>
      <c r="LC881" s="9"/>
      <c r="LD881" s="9"/>
      <c r="LE881" s="9"/>
      <c r="LF881" s="9"/>
      <c r="LG881" s="9"/>
      <c r="LH881" s="9"/>
      <c r="LI881" s="9"/>
      <c r="LJ881" s="9"/>
      <c r="LK881" s="9"/>
      <c r="LL881" s="9"/>
      <c r="LM881" s="9"/>
      <c r="LN881" s="9"/>
      <c r="LO881" s="9"/>
      <c r="LP881" s="9"/>
      <c r="LQ881" s="9"/>
      <c r="LR881" s="9"/>
      <c r="LS881" s="9"/>
      <c r="LT881" s="9"/>
      <c r="LU881" s="9"/>
      <c r="LV881" s="9"/>
      <c r="LW881" s="9"/>
      <c r="LX881" s="9"/>
      <c r="LY881" s="9"/>
      <c r="LZ881" s="9"/>
      <c r="MA881" s="9"/>
      <c r="MB881" s="9"/>
      <c r="MC881" s="9"/>
      <c r="MD881" s="9"/>
      <c r="ME881" s="9"/>
      <c r="MF881" s="9"/>
      <c r="MG881" s="9"/>
      <c r="MH881" s="9"/>
      <c r="MI881" s="9"/>
      <c r="MJ881" s="9"/>
      <c r="MK881" s="9"/>
      <c r="ML881" s="9"/>
      <c r="MM881" s="9"/>
      <c r="MN881" s="9"/>
      <c r="MO881" s="9"/>
      <c r="MP881" s="9"/>
      <c r="MQ881" s="9"/>
      <c r="MR881" s="9"/>
      <c r="MS881" s="9"/>
      <c r="MT881" s="9"/>
      <c r="MU881" s="9"/>
      <c r="MV881" s="9"/>
      <c r="MW881" s="9"/>
      <c r="MX881" s="9"/>
      <c r="MY881" s="9"/>
      <c r="MZ881" s="9"/>
      <c r="NA881" s="9"/>
      <c r="NB881" s="9"/>
      <c r="NC881" s="9"/>
      <c r="ND881" s="9"/>
      <c r="NE881" s="9"/>
      <c r="NF881" s="9"/>
      <c r="NG881" s="9"/>
      <c r="NH881" s="9"/>
      <c r="NI881" s="9"/>
      <c r="NJ881" s="9"/>
      <c r="NK881" s="9"/>
      <c r="NL881" s="9"/>
      <c r="NM881" s="9"/>
      <c r="NN881" s="9"/>
      <c r="NO881" s="9"/>
      <c r="NP881" s="9"/>
      <c r="NQ881" s="9"/>
      <c r="NR881" s="9"/>
      <c r="NS881" s="9"/>
      <c r="NT881" s="9"/>
      <c r="NU881" s="9"/>
      <c r="NV881" s="9"/>
      <c r="NW881" s="9"/>
      <c r="NX881" s="9"/>
      <c r="NY881" s="9"/>
      <c r="NZ881" s="9"/>
      <c r="OA881" s="9"/>
      <c r="OB881" s="9"/>
      <c r="OC881" s="9"/>
      <c r="OD881" s="9"/>
      <c r="OE881" s="9"/>
      <c r="OF881" s="9"/>
      <c r="OG881" s="9"/>
      <c r="OH881" s="9"/>
      <c r="OI881" s="9"/>
      <c r="OJ881" s="9"/>
      <c r="OK881" s="9"/>
      <c r="OL881" s="9"/>
      <c r="OM881" s="9"/>
      <c r="ON881" s="9"/>
      <c r="OO881" s="9"/>
      <c r="OP881" s="9"/>
      <c r="OQ881" s="9"/>
      <c r="OR881" s="9"/>
      <c r="OS881" s="9"/>
      <c r="OT881" s="9"/>
      <c r="OU881" s="9"/>
      <c r="OV881" s="9"/>
      <c r="OW881" s="9"/>
      <c r="OX881" s="9"/>
      <c r="OY881" s="9"/>
      <c r="OZ881" s="9"/>
      <c r="PA881" s="9"/>
      <c r="PB881" s="9"/>
      <c r="PC881" s="9"/>
      <c r="PD881" s="9"/>
      <c r="PE881" s="9"/>
      <c r="PF881" s="9"/>
      <c r="PG881" s="9"/>
      <c r="PH881" s="9"/>
      <c r="PI881" s="9"/>
      <c r="PJ881" s="9"/>
      <c r="PK881" s="9"/>
      <c r="PL881" s="9"/>
      <c r="PM881" s="9"/>
      <c r="PN881" s="9"/>
      <c r="PO881" s="9"/>
      <c r="PP881" s="9"/>
      <c r="PQ881" s="9"/>
      <c r="PR881" s="9"/>
      <c r="PS881" s="9"/>
      <c r="PT881" s="9"/>
      <c r="PU881" s="9"/>
      <c r="PV881" s="9"/>
      <c r="PW881" s="9"/>
      <c r="PX881" s="9"/>
      <c r="PY881" s="9"/>
      <c r="PZ881" s="9"/>
      <c r="QA881" s="9"/>
      <c r="QB881" s="9"/>
      <c r="QC881" s="9"/>
      <c r="QD881" s="9"/>
      <c r="QE881" s="9"/>
      <c r="QF881" s="9"/>
      <c r="QG881" s="9"/>
      <c r="QH881" s="9"/>
      <c r="QI881" s="9"/>
      <c r="QJ881" s="9"/>
      <c r="QK881" s="9"/>
      <c r="QL881" s="9"/>
      <c r="QM881" s="9"/>
      <c r="QN881" s="9"/>
      <c r="QO881" s="9"/>
      <c r="QP881" s="9"/>
      <c r="QQ881" s="9"/>
      <c r="QR881" s="9"/>
      <c r="QS881" s="9"/>
      <c r="QT881" s="9"/>
      <c r="QU881" s="9"/>
      <c r="QV881" s="9"/>
      <c r="QW881" s="9"/>
      <c r="QX881" s="9"/>
      <c r="QY881" s="9"/>
      <c r="QZ881" s="9"/>
      <c r="RA881" s="9"/>
      <c r="RB881" s="9"/>
      <c r="RC881" s="9"/>
      <c r="RD881" s="9"/>
      <c r="RE881" s="9"/>
      <c r="RF881" s="9"/>
      <c r="RG881" s="9"/>
      <c r="RH881" s="9"/>
      <c r="RI881" s="9"/>
      <c r="RJ881" s="9"/>
      <c r="RK881" s="9"/>
      <c r="RL881" s="9"/>
      <c r="RM881" s="9"/>
      <c r="RN881" s="9"/>
      <c r="RO881" s="9"/>
      <c r="RP881" s="9"/>
      <c r="RQ881" s="9"/>
      <c r="RR881" s="9"/>
      <c r="RS881" s="9"/>
      <c r="RT881" s="9"/>
      <c r="RU881" s="9"/>
      <c r="RV881" s="9"/>
      <c r="RW881" s="9"/>
      <c r="RX881" s="9"/>
      <c r="RY881" s="9"/>
      <c r="RZ881" s="9"/>
      <c r="SA881" s="9"/>
      <c r="SB881" s="9"/>
      <c r="SC881" s="9"/>
      <c r="SD881" s="9"/>
      <c r="SE881" s="9"/>
      <c r="SF881" s="9"/>
      <c r="SG881" s="9"/>
      <c r="SH881" s="9"/>
      <c r="SI881" s="9"/>
      <c r="SJ881" s="9"/>
      <c r="SK881" s="9"/>
      <c r="SL881" s="9"/>
      <c r="SM881" s="9"/>
      <c r="SN881" s="9"/>
      <c r="SO881" s="9"/>
      <c r="SP881" s="9"/>
      <c r="SQ881" s="9"/>
      <c r="SR881" s="9"/>
      <c r="SS881" s="9"/>
      <c r="ST881" s="9"/>
      <c r="SU881" s="9"/>
      <c r="SV881" s="9"/>
      <c r="SW881" s="9"/>
      <c r="SX881" s="9"/>
      <c r="SY881" s="9"/>
      <c r="SZ881" s="9"/>
      <c r="TA881" s="9"/>
      <c r="TB881" s="9"/>
      <c r="TC881" s="9"/>
      <c r="TD881" s="9"/>
      <c r="TE881" s="9"/>
      <c r="TF881" s="9"/>
      <c r="TG881" s="9"/>
      <c r="TH881" s="9"/>
      <c r="TI881" s="9"/>
      <c r="TJ881" s="9"/>
      <c r="TK881" s="9"/>
      <c r="TL881" s="9"/>
      <c r="TM881" s="9"/>
      <c r="TN881" s="9"/>
      <c r="TO881" s="9"/>
      <c r="TP881" s="9"/>
      <c r="TQ881" s="9"/>
      <c r="TR881" s="9"/>
      <c r="TS881" s="9"/>
      <c r="TT881" s="9"/>
      <c r="TU881" s="9"/>
      <c r="TV881" s="9"/>
      <c r="TW881" s="9"/>
      <c r="TX881" s="9"/>
      <c r="TY881" s="9"/>
      <c r="TZ881" s="9"/>
      <c r="UA881" s="9"/>
      <c r="UB881" s="9"/>
      <c r="UC881" s="9"/>
      <c r="UD881" s="9"/>
      <c r="UE881" s="9"/>
      <c r="UF881" s="9"/>
      <c r="UG881" s="9"/>
      <c r="UH881" s="9"/>
      <c r="UI881" s="9"/>
      <c r="UJ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9"/>
      <c r="GV882" s="9"/>
      <c r="GW882" s="9"/>
      <c r="GX882" s="9"/>
      <c r="GY882" s="9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  <c r="HO882" s="9"/>
      <c r="HP882" s="9"/>
      <c r="HQ882" s="9"/>
      <c r="HR882" s="9"/>
      <c r="HS882" s="9"/>
      <c r="HT882" s="9"/>
      <c r="HU882" s="9"/>
      <c r="HV882" s="9"/>
      <c r="HW882" s="9"/>
      <c r="HX882" s="9"/>
      <c r="HY882" s="9"/>
      <c r="HZ882" s="9"/>
      <c r="IA882" s="9"/>
      <c r="IB882" s="9"/>
      <c r="IC882" s="9"/>
      <c r="ID882" s="9"/>
      <c r="IE882" s="9"/>
      <c r="IF882" s="9"/>
      <c r="IG882" s="9"/>
      <c r="IH882" s="9"/>
      <c r="II882" s="9"/>
      <c r="IJ882" s="9"/>
      <c r="IK882" s="9"/>
      <c r="IL882" s="9"/>
      <c r="IM882" s="9"/>
      <c r="IN882" s="9"/>
      <c r="IO882" s="9"/>
      <c r="IP882" s="9"/>
      <c r="IQ882" s="9"/>
      <c r="IR882" s="9"/>
      <c r="IS882" s="9"/>
      <c r="IT882" s="9"/>
      <c r="IU882" s="9"/>
      <c r="IV882" s="9"/>
      <c r="IW882" s="9"/>
      <c r="IX882" s="9"/>
      <c r="IY882" s="9"/>
      <c r="IZ882" s="9"/>
      <c r="JA882" s="9"/>
      <c r="JB882" s="9"/>
      <c r="JC882" s="9"/>
      <c r="JD882" s="9"/>
      <c r="JE882" s="9"/>
      <c r="JF882" s="9"/>
      <c r="JG882" s="9"/>
      <c r="JH882" s="9"/>
      <c r="JI882" s="9"/>
      <c r="JJ882" s="9"/>
      <c r="JK882" s="9"/>
      <c r="JL882" s="9"/>
      <c r="JM882" s="9"/>
      <c r="JN882" s="9"/>
      <c r="JO882" s="9"/>
      <c r="JP882" s="9"/>
      <c r="JQ882" s="9"/>
      <c r="JR882" s="9"/>
      <c r="JS882" s="9"/>
      <c r="JT882" s="9"/>
      <c r="JU882" s="9"/>
      <c r="JV882" s="9"/>
      <c r="JW882" s="9"/>
      <c r="JX882" s="9"/>
      <c r="JY882" s="9"/>
      <c r="JZ882" s="9"/>
      <c r="KA882" s="9"/>
      <c r="KB882" s="9"/>
      <c r="KC882" s="9"/>
      <c r="KD882" s="9"/>
      <c r="KE882" s="9"/>
      <c r="KF882" s="9"/>
      <c r="KG882" s="9"/>
      <c r="KH882" s="9"/>
      <c r="KI882" s="9"/>
      <c r="KJ882" s="9"/>
      <c r="KK882" s="9"/>
      <c r="KL882" s="9"/>
      <c r="KM882" s="9"/>
      <c r="KN882" s="9"/>
      <c r="KO882" s="9"/>
      <c r="KP882" s="9"/>
      <c r="KQ882" s="9"/>
      <c r="KR882" s="9"/>
      <c r="KS882" s="9"/>
      <c r="KT882" s="9"/>
      <c r="KU882" s="9"/>
      <c r="KV882" s="9"/>
      <c r="KW882" s="9"/>
      <c r="KX882" s="9"/>
      <c r="KY882" s="9"/>
      <c r="KZ882" s="9"/>
      <c r="LA882" s="9"/>
      <c r="LB882" s="9"/>
      <c r="LC882" s="9"/>
      <c r="LD882" s="9"/>
      <c r="LE882" s="9"/>
      <c r="LF882" s="9"/>
      <c r="LG882" s="9"/>
      <c r="LH882" s="9"/>
      <c r="LI882" s="9"/>
      <c r="LJ882" s="9"/>
      <c r="LK882" s="9"/>
      <c r="LL882" s="9"/>
      <c r="LM882" s="9"/>
      <c r="LN882" s="9"/>
      <c r="LO882" s="9"/>
      <c r="LP882" s="9"/>
      <c r="LQ882" s="9"/>
      <c r="LR882" s="9"/>
      <c r="LS882" s="9"/>
      <c r="LT882" s="9"/>
      <c r="LU882" s="9"/>
      <c r="LV882" s="9"/>
      <c r="LW882" s="9"/>
      <c r="LX882" s="9"/>
      <c r="LY882" s="9"/>
      <c r="LZ882" s="9"/>
      <c r="MA882" s="9"/>
      <c r="MB882" s="9"/>
      <c r="MC882" s="9"/>
      <c r="MD882" s="9"/>
      <c r="ME882" s="9"/>
      <c r="MF882" s="9"/>
      <c r="MG882" s="9"/>
      <c r="MH882" s="9"/>
      <c r="MI882" s="9"/>
      <c r="MJ882" s="9"/>
      <c r="MK882" s="9"/>
      <c r="ML882" s="9"/>
      <c r="MM882" s="9"/>
      <c r="MN882" s="9"/>
      <c r="MO882" s="9"/>
      <c r="MP882" s="9"/>
      <c r="MQ882" s="9"/>
      <c r="MR882" s="9"/>
      <c r="MS882" s="9"/>
      <c r="MT882" s="9"/>
      <c r="MU882" s="9"/>
      <c r="MV882" s="9"/>
      <c r="MW882" s="9"/>
      <c r="MX882" s="9"/>
      <c r="MY882" s="9"/>
      <c r="MZ882" s="9"/>
      <c r="NA882" s="9"/>
      <c r="NB882" s="9"/>
      <c r="NC882" s="9"/>
      <c r="ND882" s="9"/>
      <c r="NE882" s="9"/>
      <c r="NF882" s="9"/>
      <c r="NG882" s="9"/>
      <c r="NH882" s="9"/>
      <c r="NI882" s="9"/>
      <c r="NJ882" s="9"/>
      <c r="NK882" s="9"/>
      <c r="NL882" s="9"/>
      <c r="NM882" s="9"/>
      <c r="NN882" s="9"/>
      <c r="NO882" s="9"/>
      <c r="NP882" s="9"/>
      <c r="NQ882" s="9"/>
      <c r="NR882" s="9"/>
      <c r="NS882" s="9"/>
      <c r="NT882" s="9"/>
      <c r="NU882" s="9"/>
      <c r="NV882" s="9"/>
      <c r="NW882" s="9"/>
      <c r="NX882" s="9"/>
      <c r="NY882" s="9"/>
      <c r="NZ882" s="9"/>
      <c r="OA882" s="9"/>
      <c r="OB882" s="9"/>
      <c r="OC882" s="9"/>
      <c r="OD882" s="9"/>
      <c r="OE882" s="9"/>
      <c r="OF882" s="9"/>
      <c r="OG882" s="9"/>
      <c r="OH882" s="9"/>
      <c r="OI882" s="9"/>
      <c r="OJ882" s="9"/>
      <c r="OK882" s="9"/>
      <c r="OL882" s="9"/>
      <c r="OM882" s="9"/>
      <c r="ON882" s="9"/>
      <c r="OO882" s="9"/>
      <c r="OP882" s="9"/>
      <c r="OQ882" s="9"/>
      <c r="OR882" s="9"/>
      <c r="OS882" s="9"/>
      <c r="OT882" s="9"/>
      <c r="OU882" s="9"/>
      <c r="OV882" s="9"/>
      <c r="OW882" s="9"/>
      <c r="OX882" s="9"/>
      <c r="OY882" s="9"/>
      <c r="OZ882" s="9"/>
      <c r="PA882" s="9"/>
      <c r="PB882" s="9"/>
      <c r="PC882" s="9"/>
      <c r="PD882" s="9"/>
      <c r="PE882" s="9"/>
      <c r="PF882" s="9"/>
      <c r="PG882" s="9"/>
      <c r="PH882" s="9"/>
      <c r="PI882" s="9"/>
      <c r="PJ882" s="9"/>
      <c r="PK882" s="9"/>
      <c r="PL882" s="9"/>
      <c r="PM882" s="9"/>
      <c r="PN882" s="9"/>
      <c r="PO882" s="9"/>
      <c r="PP882" s="9"/>
      <c r="PQ882" s="9"/>
      <c r="PR882" s="9"/>
      <c r="PS882" s="9"/>
      <c r="PT882" s="9"/>
      <c r="PU882" s="9"/>
      <c r="PV882" s="9"/>
      <c r="PW882" s="9"/>
      <c r="PX882" s="9"/>
      <c r="PY882" s="9"/>
      <c r="PZ882" s="9"/>
      <c r="QA882" s="9"/>
      <c r="QB882" s="9"/>
      <c r="QC882" s="9"/>
      <c r="QD882" s="9"/>
      <c r="QE882" s="9"/>
      <c r="QF882" s="9"/>
      <c r="QG882" s="9"/>
      <c r="QH882" s="9"/>
      <c r="QI882" s="9"/>
      <c r="QJ882" s="9"/>
      <c r="QK882" s="9"/>
      <c r="QL882" s="9"/>
      <c r="QM882" s="9"/>
      <c r="QN882" s="9"/>
      <c r="QO882" s="9"/>
      <c r="QP882" s="9"/>
      <c r="QQ882" s="9"/>
      <c r="QR882" s="9"/>
      <c r="QS882" s="9"/>
      <c r="QT882" s="9"/>
      <c r="QU882" s="9"/>
      <c r="QV882" s="9"/>
      <c r="QW882" s="9"/>
      <c r="QX882" s="9"/>
      <c r="QY882" s="9"/>
      <c r="QZ882" s="9"/>
      <c r="RA882" s="9"/>
      <c r="RB882" s="9"/>
      <c r="RC882" s="9"/>
      <c r="RD882" s="9"/>
      <c r="RE882" s="9"/>
      <c r="RF882" s="9"/>
      <c r="RG882" s="9"/>
      <c r="RH882" s="9"/>
      <c r="RI882" s="9"/>
      <c r="RJ882" s="9"/>
      <c r="RK882" s="9"/>
      <c r="RL882" s="9"/>
      <c r="RM882" s="9"/>
      <c r="RN882" s="9"/>
      <c r="RO882" s="9"/>
      <c r="RP882" s="9"/>
      <c r="RQ882" s="9"/>
      <c r="RR882" s="9"/>
      <c r="RS882" s="9"/>
      <c r="RT882" s="9"/>
      <c r="RU882" s="9"/>
      <c r="RV882" s="9"/>
      <c r="RW882" s="9"/>
      <c r="RX882" s="9"/>
      <c r="RY882" s="9"/>
      <c r="RZ882" s="9"/>
      <c r="SA882" s="9"/>
      <c r="SB882" s="9"/>
      <c r="SC882" s="9"/>
      <c r="SD882" s="9"/>
      <c r="SE882" s="9"/>
      <c r="SF882" s="9"/>
      <c r="SG882" s="9"/>
      <c r="SH882" s="9"/>
      <c r="SI882" s="9"/>
      <c r="SJ882" s="9"/>
      <c r="SK882" s="9"/>
      <c r="SL882" s="9"/>
      <c r="SM882" s="9"/>
      <c r="SN882" s="9"/>
      <c r="SO882" s="9"/>
      <c r="SP882" s="9"/>
      <c r="SQ882" s="9"/>
      <c r="SR882" s="9"/>
      <c r="SS882" s="9"/>
      <c r="ST882" s="9"/>
      <c r="SU882" s="9"/>
      <c r="SV882" s="9"/>
      <c r="SW882" s="9"/>
      <c r="SX882" s="9"/>
      <c r="SY882" s="9"/>
      <c r="SZ882" s="9"/>
      <c r="TA882" s="9"/>
      <c r="TB882" s="9"/>
      <c r="TC882" s="9"/>
      <c r="TD882" s="9"/>
      <c r="TE882" s="9"/>
      <c r="TF882" s="9"/>
      <c r="TG882" s="9"/>
      <c r="TH882" s="9"/>
      <c r="TI882" s="9"/>
      <c r="TJ882" s="9"/>
      <c r="TK882" s="9"/>
      <c r="TL882" s="9"/>
      <c r="TM882" s="9"/>
      <c r="TN882" s="9"/>
      <c r="TO882" s="9"/>
      <c r="TP882" s="9"/>
      <c r="TQ882" s="9"/>
      <c r="TR882" s="9"/>
      <c r="TS882" s="9"/>
      <c r="TT882" s="9"/>
      <c r="TU882" s="9"/>
      <c r="TV882" s="9"/>
      <c r="TW882" s="9"/>
      <c r="TX882" s="9"/>
      <c r="TY882" s="9"/>
      <c r="TZ882" s="9"/>
      <c r="UA882" s="9"/>
      <c r="UB882" s="9"/>
      <c r="UC882" s="9"/>
      <c r="UD882" s="9"/>
      <c r="UE882" s="9"/>
      <c r="UF882" s="9"/>
      <c r="UG882" s="9"/>
      <c r="UH882" s="9"/>
      <c r="UI882" s="9"/>
      <c r="UJ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  <c r="GA883" s="9"/>
      <c r="GB883" s="9"/>
      <c r="GC883" s="9"/>
      <c r="GD883" s="9"/>
      <c r="GE883" s="9"/>
      <c r="GF883" s="9"/>
      <c r="GG883" s="9"/>
      <c r="GH883" s="9"/>
      <c r="GI883" s="9"/>
      <c r="GJ883" s="9"/>
      <c r="GK883" s="9"/>
      <c r="GL883" s="9"/>
      <c r="GM883" s="9"/>
      <c r="GN883" s="9"/>
      <c r="GO883" s="9"/>
      <c r="GP883" s="9"/>
      <c r="GQ883" s="9"/>
      <c r="GR883" s="9"/>
      <c r="GS883" s="9"/>
      <c r="GT883" s="9"/>
      <c r="GU883" s="9"/>
      <c r="GV883" s="9"/>
      <c r="GW883" s="9"/>
      <c r="GX883" s="9"/>
      <c r="GY883" s="9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  <c r="HO883" s="9"/>
      <c r="HP883" s="9"/>
      <c r="HQ883" s="9"/>
      <c r="HR883" s="9"/>
      <c r="HS883" s="9"/>
      <c r="HT883" s="9"/>
      <c r="HU883" s="9"/>
      <c r="HV883" s="9"/>
      <c r="HW883" s="9"/>
      <c r="HX883" s="9"/>
      <c r="HY883" s="9"/>
      <c r="HZ883" s="9"/>
      <c r="IA883" s="9"/>
      <c r="IB883" s="9"/>
      <c r="IC883" s="9"/>
      <c r="ID883" s="9"/>
      <c r="IE883" s="9"/>
      <c r="IF883" s="9"/>
      <c r="IG883" s="9"/>
      <c r="IH883" s="9"/>
      <c r="II883" s="9"/>
      <c r="IJ883" s="9"/>
      <c r="IK883" s="9"/>
      <c r="IL883" s="9"/>
      <c r="IM883" s="9"/>
      <c r="IN883" s="9"/>
      <c r="IO883" s="9"/>
      <c r="IP883" s="9"/>
      <c r="IQ883" s="9"/>
      <c r="IR883" s="9"/>
      <c r="IS883" s="9"/>
      <c r="IT883" s="9"/>
      <c r="IU883" s="9"/>
      <c r="IV883" s="9"/>
      <c r="IW883" s="9"/>
      <c r="IX883" s="9"/>
      <c r="IY883" s="9"/>
      <c r="IZ883" s="9"/>
      <c r="JA883" s="9"/>
      <c r="JB883" s="9"/>
      <c r="JC883" s="9"/>
      <c r="JD883" s="9"/>
      <c r="JE883" s="9"/>
      <c r="JF883" s="9"/>
      <c r="JG883" s="9"/>
      <c r="JH883" s="9"/>
      <c r="JI883" s="9"/>
      <c r="JJ883" s="9"/>
      <c r="JK883" s="9"/>
      <c r="JL883" s="9"/>
      <c r="JM883" s="9"/>
      <c r="JN883" s="9"/>
      <c r="JO883" s="9"/>
      <c r="JP883" s="9"/>
      <c r="JQ883" s="9"/>
      <c r="JR883" s="9"/>
      <c r="JS883" s="9"/>
      <c r="JT883" s="9"/>
      <c r="JU883" s="9"/>
      <c r="JV883" s="9"/>
      <c r="JW883" s="9"/>
      <c r="JX883" s="9"/>
      <c r="JY883" s="9"/>
      <c r="JZ883" s="9"/>
      <c r="KA883" s="9"/>
      <c r="KB883" s="9"/>
      <c r="KC883" s="9"/>
      <c r="KD883" s="9"/>
      <c r="KE883" s="9"/>
      <c r="KF883" s="9"/>
      <c r="KG883" s="9"/>
      <c r="KH883" s="9"/>
      <c r="KI883" s="9"/>
      <c r="KJ883" s="9"/>
      <c r="KK883" s="9"/>
      <c r="KL883" s="9"/>
      <c r="KM883" s="9"/>
      <c r="KN883" s="9"/>
      <c r="KO883" s="9"/>
      <c r="KP883" s="9"/>
      <c r="KQ883" s="9"/>
      <c r="KR883" s="9"/>
      <c r="KS883" s="9"/>
      <c r="KT883" s="9"/>
      <c r="KU883" s="9"/>
      <c r="KV883" s="9"/>
      <c r="KW883" s="9"/>
      <c r="KX883" s="9"/>
      <c r="KY883" s="9"/>
      <c r="KZ883" s="9"/>
      <c r="LA883" s="9"/>
      <c r="LB883" s="9"/>
      <c r="LC883" s="9"/>
      <c r="LD883" s="9"/>
      <c r="LE883" s="9"/>
      <c r="LF883" s="9"/>
      <c r="LG883" s="9"/>
      <c r="LH883" s="9"/>
      <c r="LI883" s="9"/>
      <c r="LJ883" s="9"/>
      <c r="LK883" s="9"/>
      <c r="LL883" s="9"/>
      <c r="LM883" s="9"/>
      <c r="LN883" s="9"/>
      <c r="LO883" s="9"/>
      <c r="LP883" s="9"/>
      <c r="LQ883" s="9"/>
      <c r="LR883" s="9"/>
      <c r="LS883" s="9"/>
      <c r="LT883" s="9"/>
      <c r="LU883" s="9"/>
      <c r="LV883" s="9"/>
      <c r="LW883" s="9"/>
      <c r="LX883" s="9"/>
      <c r="LY883" s="9"/>
      <c r="LZ883" s="9"/>
      <c r="MA883" s="9"/>
      <c r="MB883" s="9"/>
      <c r="MC883" s="9"/>
      <c r="MD883" s="9"/>
      <c r="ME883" s="9"/>
      <c r="MF883" s="9"/>
      <c r="MG883" s="9"/>
      <c r="MH883" s="9"/>
      <c r="MI883" s="9"/>
      <c r="MJ883" s="9"/>
      <c r="MK883" s="9"/>
      <c r="ML883" s="9"/>
      <c r="MM883" s="9"/>
      <c r="MN883" s="9"/>
      <c r="MO883" s="9"/>
      <c r="MP883" s="9"/>
      <c r="MQ883" s="9"/>
      <c r="MR883" s="9"/>
      <c r="MS883" s="9"/>
      <c r="MT883" s="9"/>
      <c r="MU883" s="9"/>
      <c r="MV883" s="9"/>
      <c r="MW883" s="9"/>
      <c r="MX883" s="9"/>
      <c r="MY883" s="9"/>
      <c r="MZ883" s="9"/>
      <c r="NA883" s="9"/>
      <c r="NB883" s="9"/>
      <c r="NC883" s="9"/>
      <c r="ND883" s="9"/>
      <c r="NE883" s="9"/>
      <c r="NF883" s="9"/>
      <c r="NG883" s="9"/>
      <c r="NH883" s="9"/>
      <c r="NI883" s="9"/>
      <c r="NJ883" s="9"/>
      <c r="NK883" s="9"/>
      <c r="NL883" s="9"/>
      <c r="NM883" s="9"/>
      <c r="NN883" s="9"/>
      <c r="NO883" s="9"/>
      <c r="NP883" s="9"/>
      <c r="NQ883" s="9"/>
      <c r="NR883" s="9"/>
      <c r="NS883" s="9"/>
      <c r="NT883" s="9"/>
      <c r="NU883" s="9"/>
      <c r="NV883" s="9"/>
      <c r="NW883" s="9"/>
      <c r="NX883" s="9"/>
      <c r="NY883" s="9"/>
      <c r="NZ883" s="9"/>
      <c r="OA883" s="9"/>
      <c r="OB883" s="9"/>
      <c r="OC883" s="9"/>
      <c r="OD883" s="9"/>
      <c r="OE883" s="9"/>
      <c r="OF883" s="9"/>
      <c r="OG883" s="9"/>
      <c r="OH883" s="9"/>
      <c r="OI883" s="9"/>
      <c r="OJ883" s="9"/>
      <c r="OK883" s="9"/>
      <c r="OL883" s="9"/>
      <c r="OM883" s="9"/>
      <c r="ON883" s="9"/>
      <c r="OO883" s="9"/>
      <c r="OP883" s="9"/>
      <c r="OQ883" s="9"/>
      <c r="OR883" s="9"/>
      <c r="OS883" s="9"/>
      <c r="OT883" s="9"/>
      <c r="OU883" s="9"/>
      <c r="OV883" s="9"/>
      <c r="OW883" s="9"/>
      <c r="OX883" s="9"/>
      <c r="OY883" s="9"/>
      <c r="OZ883" s="9"/>
      <c r="PA883" s="9"/>
      <c r="PB883" s="9"/>
      <c r="PC883" s="9"/>
      <c r="PD883" s="9"/>
      <c r="PE883" s="9"/>
      <c r="PF883" s="9"/>
      <c r="PG883" s="9"/>
      <c r="PH883" s="9"/>
      <c r="PI883" s="9"/>
      <c r="PJ883" s="9"/>
      <c r="PK883" s="9"/>
      <c r="PL883" s="9"/>
      <c r="PM883" s="9"/>
      <c r="PN883" s="9"/>
      <c r="PO883" s="9"/>
      <c r="PP883" s="9"/>
      <c r="PQ883" s="9"/>
      <c r="PR883" s="9"/>
      <c r="PS883" s="9"/>
      <c r="PT883" s="9"/>
      <c r="PU883" s="9"/>
      <c r="PV883" s="9"/>
      <c r="PW883" s="9"/>
      <c r="PX883" s="9"/>
      <c r="PY883" s="9"/>
      <c r="PZ883" s="9"/>
      <c r="QA883" s="9"/>
      <c r="QB883" s="9"/>
      <c r="QC883" s="9"/>
      <c r="QD883" s="9"/>
      <c r="QE883" s="9"/>
      <c r="QF883" s="9"/>
      <c r="QG883" s="9"/>
      <c r="QH883" s="9"/>
      <c r="QI883" s="9"/>
      <c r="QJ883" s="9"/>
      <c r="QK883" s="9"/>
      <c r="QL883" s="9"/>
      <c r="QM883" s="9"/>
      <c r="QN883" s="9"/>
      <c r="QO883" s="9"/>
      <c r="QP883" s="9"/>
      <c r="QQ883" s="9"/>
      <c r="QR883" s="9"/>
      <c r="QS883" s="9"/>
      <c r="QT883" s="9"/>
      <c r="QU883" s="9"/>
      <c r="QV883" s="9"/>
      <c r="QW883" s="9"/>
      <c r="QX883" s="9"/>
      <c r="QY883" s="9"/>
      <c r="QZ883" s="9"/>
      <c r="RA883" s="9"/>
      <c r="RB883" s="9"/>
      <c r="RC883" s="9"/>
      <c r="RD883" s="9"/>
      <c r="RE883" s="9"/>
      <c r="RF883" s="9"/>
      <c r="RG883" s="9"/>
      <c r="RH883" s="9"/>
      <c r="RI883" s="9"/>
      <c r="RJ883" s="9"/>
      <c r="RK883" s="9"/>
      <c r="RL883" s="9"/>
      <c r="RM883" s="9"/>
      <c r="RN883" s="9"/>
      <c r="RO883" s="9"/>
      <c r="RP883" s="9"/>
      <c r="RQ883" s="9"/>
      <c r="RR883" s="9"/>
      <c r="RS883" s="9"/>
      <c r="RT883" s="9"/>
      <c r="RU883" s="9"/>
      <c r="RV883" s="9"/>
      <c r="RW883" s="9"/>
      <c r="RX883" s="9"/>
      <c r="RY883" s="9"/>
      <c r="RZ883" s="9"/>
      <c r="SA883" s="9"/>
      <c r="SB883" s="9"/>
      <c r="SC883" s="9"/>
      <c r="SD883" s="9"/>
      <c r="SE883" s="9"/>
      <c r="SF883" s="9"/>
      <c r="SG883" s="9"/>
      <c r="SH883" s="9"/>
      <c r="SI883" s="9"/>
      <c r="SJ883" s="9"/>
      <c r="SK883" s="9"/>
      <c r="SL883" s="9"/>
      <c r="SM883" s="9"/>
      <c r="SN883" s="9"/>
      <c r="SO883" s="9"/>
      <c r="SP883" s="9"/>
      <c r="SQ883" s="9"/>
      <c r="SR883" s="9"/>
      <c r="SS883" s="9"/>
      <c r="ST883" s="9"/>
      <c r="SU883" s="9"/>
      <c r="SV883" s="9"/>
      <c r="SW883" s="9"/>
      <c r="SX883" s="9"/>
      <c r="SY883" s="9"/>
      <c r="SZ883" s="9"/>
      <c r="TA883" s="9"/>
      <c r="TB883" s="9"/>
      <c r="TC883" s="9"/>
      <c r="TD883" s="9"/>
      <c r="TE883" s="9"/>
      <c r="TF883" s="9"/>
      <c r="TG883" s="9"/>
      <c r="TH883" s="9"/>
      <c r="TI883" s="9"/>
      <c r="TJ883" s="9"/>
      <c r="TK883" s="9"/>
      <c r="TL883" s="9"/>
      <c r="TM883" s="9"/>
      <c r="TN883" s="9"/>
      <c r="TO883" s="9"/>
      <c r="TP883" s="9"/>
      <c r="TQ883" s="9"/>
      <c r="TR883" s="9"/>
      <c r="TS883" s="9"/>
      <c r="TT883" s="9"/>
      <c r="TU883" s="9"/>
      <c r="TV883" s="9"/>
      <c r="TW883" s="9"/>
      <c r="TX883" s="9"/>
      <c r="TY883" s="9"/>
      <c r="TZ883" s="9"/>
      <c r="UA883" s="9"/>
      <c r="UB883" s="9"/>
      <c r="UC883" s="9"/>
      <c r="UD883" s="9"/>
      <c r="UE883" s="9"/>
      <c r="UF883" s="9"/>
      <c r="UG883" s="9"/>
      <c r="UH883" s="9"/>
      <c r="UI883" s="9"/>
      <c r="UJ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  <c r="HO884" s="9"/>
      <c r="HP884" s="9"/>
      <c r="HQ884" s="9"/>
      <c r="HR884" s="9"/>
      <c r="HS884" s="9"/>
      <c r="HT884" s="9"/>
      <c r="HU884" s="9"/>
      <c r="HV884" s="9"/>
      <c r="HW884" s="9"/>
      <c r="HX884" s="9"/>
      <c r="HY884" s="9"/>
      <c r="HZ884" s="9"/>
      <c r="IA884" s="9"/>
      <c r="IB884" s="9"/>
      <c r="IC884" s="9"/>
      <c r="ID884" s="9"/>
      <c r="IE884" s="9"/>
      <c r="IF884" s="9"/>
      <c r="IG884" s="9"/>
      <c r="IH884" s="9"/>
      <c r="II884" s="9"/>
      <c r="IJ884" s="9"/>
      <c r="IK884" s="9"/>
      <c r="IL884" s="9"/>
      <c r="IM884" s="9"/>
      <c r="IN884" s="9"/>
      <c r="IO884" s="9"/>
      <c r="IP884" s="9"/>
      <c r="IQ884" s="9"/>
      <c r="IR884" s="9"/>
      <c r="IS884" s="9"/>
      <c r="IT884" s="9"/>
      <c r="IU884" s="9"/>
      <c r="IV884" s="9"/>
      <c r="IW884" s="9"/>
      <c r="IX884" s="9"/>
      <c r="IY884" s="9"/>
      <c r="IZ884" s="9"/>
      <c r="JA884" s="9"/>
      <c r="JB884" s="9"/>
      <c r="JC884" s="9"/>
      <c r="JD884" s="9"/>
      <c r="JE884" s="9"/>
      <c r="JF884" s="9"/>
      <c r="JG884" s="9"/>
      <c r="JH884" s="9"/>
      <c r="JI884" s="9"/>
      <c r="JJ884" s="9"/>
      <c r="JK884" s="9"/>
      <c r="JL884" s="9"/>
      <c r="JM884" s="9"/>
      <c r="JN884" s="9"/>
      <c r="JO884" s="9"/>
      <c r="JP884" s="9"/>
      <c r="JQ884" s="9"/>
      <c r="JR884" s="9"/>
      <c r="JS884" s="9"/>
      <c r="JT884" s="9"/>
      <c r="JU884" s="9"/>
      <c r="JV884" s="9"/>
      <c r="JW884" s="9"/>
      <c r="JX884" s="9"/>
      <c r="JY884" s="9"/>
      <c r="JZ884" s="9"/>
      <c r="KA884" s="9"/>
      <c r="KB884" s="9"/>
      <c r="KC884" s="9"/>
      <c r="KD884" s="9"/>
      <c r="KE884" s="9"/>
      <c r="KF884" s="9"/>
      <c r="KG884" s="9"/>
      <c r="KH884" s="9"/>
      <c r="KI884" s="9"/>
      <c r="KJ884" s="9"/>
      <c r="KK884" s="9"/>
      <c r="KL884" s="9"/>
      <c r="KM884" s="9"/>
      <c r="KN884" s="9"/>
      <c r="KO884" s="9"/>
      <c r="KP884" s="9"/>
      <c r="KQ884" s="9"/>
      <c r="KR884" s="9"/>
      <c r="KS884" s="9"/>
      <c r="KT884" s="9"/>
      <c r="KU884" s="9"/>
      <c r="KV884" s="9"/>
      <c r="KW884" s="9"/>
      <c r="KX884" s="9"/>
      <c r="KY884" s="9"/>
      <c r="KZ884" s="9"/>
      <c r="LA884" s="9"/>
      <c r="LB884" s="9"/>
      <c r="LC884" s="9"/>
      <c r="LD884" s="9"/>
      <c r="LE884" s="9"/>
      <c r="LF884" s="9"/>
      <c r="LG884" s="9"/>
      <c r="LH884" s="9"/>
      <c r="LI884" s="9"/>
      <c r="LJ884" s="9"/>
      <c r="LK884" s="9"/>
      <c r="LL884" s="9"/>
      <c r="LM884" s="9"/>
      <c r="LN884" s="9"/>
      <c r="LO884" s="9"/>
      <c r="LP884" s="9"/>
      <c r="LQ884" s="9"/>
      <c r="LR884" s="9"/>
      <c r="LS884" s="9"/>
      <c r="LT884" s="9"/>
      <c r="LU884" s="9"/>
      <c r="LV884" s="9"/>
      <c r="LW884" s="9"/>
      <c r="LX884" s="9"/>
      <c r="LY884" s="9"/>
      <c r="LZ884" s="9"/>
      <c r="MA884" s="9"/>
      <c r="MB884" s="9"/>
      <c r="MC884" s="9"/>
      <c r="MD884" s="9"/>
      <c r="ME884" s="9"/>
      <c r="MF884" s="9"/>
      <c r="MG884" s="9"/>
      <c r="MH884" s="9"/>
      <c r="MI884" s="9"/>
      <c r="MJ884" s="9"/>
      <c r="MK884" s="9"/>
      <c r="ML884" s="9"/>
      <c r="MM884" s="9"/>
      <c r="MN884" s="9"/>
      <c r="MO884" s="9"/>
      <c r="MP884" s="9"/>
      <c r="MQ884" s="9"/>
      <c r="MR884" s="9"/>
      <c r="MS884" s="9"/>
      <c r="MT884" s="9"/>
      <c r="MU884" s="9"/>
      <c r="MV884" s="9"/>
      <c r="MW884" s="9"/>
      <c r="MX884" s="9"/>
      <c r="MY884" s="9"/>
      <c r="MZ884" s="9"/>
      <c r="NA884" s="9"/>
      <c r="NB884" s="9"/>
      <c r="NC884" s="9"/>
      <c r="ND884" s="9"/>
      <c r="NE884" s="9"/>
      <c r="NF884" s="9"/>
      <c r="NG884" s="9"/>
      <c r="NH884" s="9"/>
      <c r="NI884" s="9"/>
      <c r="NJ884" s="9"/>
      <c r="NK884" s="9"/>
      <c r="NL884" s="9"/>
      <c r="NM884" s="9"/>
      <c r="NN884" s="9"/>
      <c r="NO884" s="9"/>
      <c r="NP884" s="9"/>
      <c r="NQ884" s="9"/>
      <c r="NR884" s="9"/>
      <c r="NS884" s="9"/>
      <c r="NT884" s="9"/>
      <c r="NU884" s="9"/>
      <c r="NV884" s="9"/>
      <c r="NW884" s="9"/>
      <c r="NX884" s="9"/>
      <c r="NY884" s="9"/>
      <c r="NZ884" s="9"/>
      <c r="OA884" s="9"/>
      <c r="OB884" s="9"/>
      <c r="OC884" s="9"/>
      <c r="OD884" s="9"/>
      <c r="OE884" s="9"/>
      <c r="OF884" s="9"/>
      <c r="OG884" s="9"/>
      <c r="OH884" s="9"/>
      <c r="OI884" s="9"/>
      <c r="OJ884" s="9"/>
      <c r="OK884" s="9"/>
      <c r="OL884" s="9"/>
      <c r="OM884" s="9"/>
      <c r="ON884" s="9"/>
      <c r="OO884" s="9"/>
      <c r="OP884" s="9"/>
      <c r="OQ884" s="9"/>
      <c r="OR884" s="9"/>
      <c r="OS884" s="9"/>
      <c r="OT884" s="9"/>
      <c r="OU884" s="9"/>
      <c r="OV884" s="9"/>
      <c r="OW884" s="9"/>
      <c r="OX884" s="9"/>
      <c r="OY884" s="9"/>
      <c r="OZ884" s="9"/>
      <c r="PA884" s="9"/>
      <c r="PB884" s="9"/>
      <c r="PC884" s="9"/>
      <c r="PD884" s="9"/>
      <c r="PE884" s="9"/>
      <c r="PF884" s="9"/>
      <c r="PG884" s="9"/>
      <c r="PH884" s="9"/>
      <c r="PI884" s="9"/>
      <c r="PJ884" s="9"/>
      <c r="PK884" s="9"/>
      <c r="PL884" s="9"/>
      <c r="PM884" s="9"/>
      <c r="PN884" s="9"/>
      <c r="PO884" s="9"/>
      <c r="PP884" s="9"/>
      <c r="PQ884" s="9"/>
      <c r="PR884" s="9"/>
      <c r="PS884" s="9"/>
      <c r="PT884" s="9"/>
      <c r="PU884" s="9"/>
      <c r="PV884" s="9"/>
      <c r="PW884" s="9"/>
      <c r="PX884" s="9"/>
      <c r="PY884" s="9"/>
      <c r="PZ884" s="9"/>
      <c r="QA884" s="9"/>
      <c r="QB884" s="9"/>
      <c r="QC884" s="9"/>
      <c r="QD884" s="9"/>
      <c r="QE884" s="9"/>
      <c r="QF884" s="9"/>
      <c r="QG884" s="9"/>
      <c r="QH884" s="9"/>
      <c r="QI884" s="9"/>
      <c r="QJ884" s="9"/>
      <c r="QK884" s="9"/>
      <c r="QL884" s="9"/>
      <c r="QM884" s="9"/>
      <c r="QN884" s="9"/>
      <c r="QO884" s="9"/>
      <c r="QP884" s="9"/>
      <c r="QQ884" s="9"/>
      <c r="QR884" s="9"/>
      <c r="QS884" s="9"/>
      <c r="QT884" s="9"/>
      <c r="QU884" s="9"/>
      <c r="QV884" s="9"/>
      <c r="QW884" s="9"/>
      <c r="QX884" s="9"/>
      <c r="QY884" s="9"/>
      <c r="QZ884" s="9"/>
      <c r="RA884" s="9"/>
      <c r="RB884" s="9"/>
      <c r="RC884" s="9"/>
      <c r="RD884" s="9"/>
      <c r="RE884" s="9"/>
      <c r="RF884" s="9"/>
      <c r="RG884" s="9"/>
      <c r="RH884" s="9"/>
      <c r="RI884" s="9"/>
      <c r="RJ884" s="9"/>
      <c r="RK884" s="9"/>
      <c r="RL884" s="9"/>
      <c r="RM884" s="9"/>
      <c r="RN884" s="9"/>
      <c r="RO884" s="9"/>
      <c r="RP884" s="9"/>
      <c r="RQ884" s="9"/>
      <c r="RR884" s="9"/>
      <c r="RS884" s="9"/>
      <c r="RT884" s="9"/>
      <c r="RU884" s="9"/>
      <c r="RV884" s="9"/>
      <c r="RW884" s="9"/>
      <c r="RX884" s="9"/>
      <c r="RY884" s="9"/>
      <c r="RZ884" s="9"/>
      <c r="SA884" s="9"/>
      <c r="SB884" s="9"/>
      <c r="SC884" s="9"/>
      <c r="SD884" s="9"/>
      <c r="SE884" s="9"/>
      <c r="SF884" s="9"/>
      <c r="SG884" s="9"/>
      <c r="SH884" s="9"/>
      <c r="SI884" s="9"/>
      <c r="SJ884" s="9"/>
      <c r="SK884" s="9"/>
      <c r="SL884" s="9"/>
      <c r="SM884" s="9"/>
      <c r="SN884" s="9"/>
      <c r="SO884" s="9"/>
      <c r="SP884" s="9"/>
      <c r="SQ884" s="9"/>
      <c r="SR884" s="9"/>
      <c r="SS884" s="9"/>
      <c r="ST884" s="9"/>
      <c r="SU884" s="9"/>
      <c r="SV884" s="9"/>
      <c r="SW884" s="9"/>
      <c r="SX884" s="9"/>
      <c r="SY884" s="9"/>
      <c r="SZ884" s="9"/>
      <c r="TA884" s="9"/>
      <c r="TB884" s="9"/>
      <c r="TC884" s="9"/>
      <c r="TD884" s="9"/>
      <c r="TE884" s="9"/>
      <c r="TF884" s="9"/>
      <c r="TG884" s="9"/>
      <c r="TH884" s="9"/>
      <c r="TI884" s="9"/>
      <c r="TJ884" s="9"/>
      <c r="TK884" s="9"/>
      <c r="TL884" s="9"/>
      <c r="TM884" s="9"/>
      <c r="TN884" s="9"/>
      <c r="TO884" s="9"/>
      <c r="TP884" s="9"/>
      <c r="TQ884" s="9"/>
      <c r="TR884" s="9"/>
      <c r="TS884" s="9"/>
      <c r="TT884" s="9"/>
      <c r="TU884" s="9"/>
      <c r="TV884" s="9"/>
      <c r="TW884" s="9"/>
      <c r="TX884" s="9"/>
      <c r="TY884" s="9"/>
      <c r="TZ884" s="9"/>
      <c r="UA884" s="9"/>
      <c r="UB884" s="9"/>
      <c r="UC884" s="9"/>
      <c r="UD884" s="9"/>
      <c r="UE884" s="9"/>
      <c r="UF884" s="9"/>
      <c r="UG884" s="9"/>
      <c r="UH884" s="9"/>
      <c r="UI884" s="9"/>
      <c r="UJ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  <c r="GA885" s="9"/>
      <c r="GB885" s="9"/>
      <c r="GC885" s="9"/>
      <c r="GD885" s="9"/>
      <c r="GE885" s="9"/>
      <c r="GF885" s="9"/>
      <c r="GG885" s="9"/>
      <c r="GH885" s="9"/>
      <c r="GI885" s="9"/>
      <c r="GJ885" s="9"/>
      <c r="GK885" s="9"/>
      <c r="GL885" s="9"/>
      <c r="GM885" s="9"/>
      <c r="GN885" s="9"/>
      <c r="GO885" s="9"/>
      <c r="GP885" s="9"/>
      <c r="GQ885" s="9"/>
      <c r="GR885" s="9"/>
      <c r="GS885" s="9"/>
      <c r="GT885" s="9"/>
      <c r="GU885" s="9"/>
      <c r="GV885" s="9"/>
      <c r="GW885" s="9"/>
      <c r="GX885" s="9"/>
      <c r="GY885" s="9"/>
      <c r="GZ885" s="9"/>
      <c r="HA885" s="9"/>
      <c r="HB885" s="9"/>
      <c r="HC885" s="9"/>
      <c r="HD885" s="9"/>
      <c r="HE885" s="9"/>
      <c r="HF885" s="9"/>
      <c r="HG885" s="9"/>
      <c r="HH885" s="9"/>
      <c r="HI885" s="9"/>
      <c r="HJ885" s="9"/>
      <c r="HK885" s="9"/>
      <c r="HL885" s="9"/>
      <c r="HM885" s="9"/>
      <c r="HN885" s="9"/>
      <c r="HO885" s="9"/>
      <c r="HP885" s="9"/>
      <c r="HQ885" s="9"/>
      <c r="HR885" s="9"/>
      <c r="HS885" s="9"/>
      <c r="HT885" s="9"/>
      <c r="HU885" s="9"/>
      <c r="HV885" s="9"/>
      <c r="HW885" s="9"/>
      <c r="HX885" s="9"/>
      <c r="HY885" s="9"/>
      <c r="HZ885" s="9"/>
      <c r="IA885" s="9"/>
      <c r="IB885" s="9"/>
      <c r="IC885" s="9"/>
      <c r="ID885" s="9"/>
      <c r="IE885" s="9"/>
      <c r="IF885" s="9"/>
      <c r="IG885" s="9"/>
      <c r="IH885" s="9"/>
      <c r="II885" s="9"/>
      <c r="IJ885" s="9"/>
      <c r="IK885" s="9"/>
      <c r="IL885" s="9"/>
      <c r="IM885" s="9"/>
      <c r="IN885" s="9"/>
      <c r="IO885" s="9"/>
      <c r="IP885" s="9"/>
      <c r="IQ885" s="9"/>
      <c r="IR885" s="9"/>
      <c r="IS885" s="9"/>
      <c r="IT885" s="9"/>
      <c r="IU885" s="9"/>
      <c r="IV885" s="9"/>
      <c r="IW885" s="9"/>
      <c r="IX885" s="9"/>
      <c r="IY885" s="9"/>
      <c r="IZ885" s="9"/>
      <c r="JA885" s="9"/>
      <c r="JB885" s="9"/>
      <c r="JC885" s="9"/>
      <c r="JD885" s="9"/>
      <c r="JE885" s="9"/>
      <c r="JF885" s="9"/>
      <c r="JG885" s="9"/>
      <c r="JH885" s="9"/>
      <c r="JI885" s="9"/>
      <c r="JJ885" s="9"/>
      <c r="JK885" s="9"/>
      <c r="JL885" s="9"/>
      <c r="JM885" s="9"/>
      <c r="JN885" s="9"/>
      <c r="JO885" s="9"/>
      <c r="JP885" s="9"/>
      <c r="JQ885" s="9"/>
      <c r="JR885" s="9"/>
      <c r="JS885" s="9"/>
      <c r="JT885" s="9"/>
      <c r="JU885" s="9"/>
      <c r="JV885" s="9"/>
      <c r="JW885" s="9"/>
      <c r="JX885" s="9"/>
      <c r="JY885" s="9"/>
      <c r="JZ885" s="9"/>
      <c r="KA885" s="9"/>
      <c r="KB885" s="9"/>
      <c r="KC885" s="9"/>
      <c r="KD885" s="9"/>
      <c r="KE885" s="9"/>
      <c r="KF885" s="9"/>
      <c r="KG885" s="9"/>
      <c r="KH885" s="9"/>
      <c r="KI885" s="9"/>
      <c r="KJ885" s="9"/>
      <c r="KK885" s="9"/>
      <c r="KL885" s="9"/>
      <c r="KM885" s="9"/>
      <c r="KN885" s="9"/>
      <c r="KO885" s="9"/>
      <c r="KP885" s="9"/>
      <c r="KQ885" s="9"/>
      <c r="KR885" s="9"/>
      <c r="KS885" s="9"/>
      <c r="KT885" s="9"/>
      <c r="KU885" s="9"/>
      <c r="KV885" s="9"/>
      <c r="KW885" s="9"/>
      <c r="KX885" s="9"/>
      <c r="KY885" s="9"/>
      <c r="KZ885" s="9"/>
      <c r="LA885" s="9"/>
      <c r="LB885" s="9"/>
      <c r="LC885" s="9"/>
      <c r="LD885" s="9"/>
      <c r="LE885" s="9"/>
      <c r="LF885" s="9"/>
      <c r="LG885" s="9"/>
      <c r="LH885" s="9"/>
      <c r="LI885" s="9"/>
      <c r="LJ885" s="9"/>
      <c r="LK885" s="9"/>
      <c r="LL885" s="9"/>
      <c r="LM885" s="9"/>
      <c r="LN885" s="9"/>
      <c r="LO885" s="9"/>
      <c r="LP885" s="9"/>
      <c r="LQ885" s="9"/>
      <c r="LR885" s="9"/>
      <c r="LS885" s="9"/>
      <c r="LT885" s="9"/>
      <c r="LU885" s="9"/>
      <c r="LV885" s="9"/>
      <c r="LW885" s="9"/>
      <c r="LX885" s="9"/>
      <c r="LY885" s="9"/>
      <c r="LZ885" s="9"/>
      <c r="MA885" s="9"/>
      <c r="MB885" s="9"/>
      <c r="MC885" s="9"/>
      <c r="MD885" s="9"/>
      <c r="ME885" s="9"/>
      <c r="MF885" s="9"/>
      <c r="MG885" s="9"/>
      <c r="MH885" s="9"/>
      <c r="MI885" s="9"/>
      <c r="MJ885" s="9"/>
      <c r="MK885" s="9"/>
      <c r="ML885" s="9"/>
      <c r="MM885" s="9"/>
      <c r="MN885" s="9"/>
      <c r="MO885" s="9"/>
      <c r="MP885" s="9"/>
      <c r="MQ885" s="9"/>
      <c r="MR885" s="9"/>
      <c r="MS885" s="9"/>
      <c r="MT885" s="9"/>
      <c r="MU885" s="9"/>
      <c r="MV885" s="9"/>
      <c r="MW885" s="9"/>
      <c r="MX885" s="9"/>
      <c r="MY885" s="9"/>
      <c r="MZ885" s="9"/>
      <c r="NA885" s="9"/>
      <c r="NB885" s="9"/>
      <c r="NC885" s="9"/>
      <c r="ND885" s="9"/>
      <c r="NE885" s="9"/>
      <c r="NF885" s="9"/>
      <c r="NG885" s="9"/>
      <c r="NH885" s="9"/>
      <c r="NI885" s="9"/>
      <c r="NJ885" s="9"/>
      <c r="NK885" s="9"/>
      <c r="NL885" s="9"/>
      <c r="NM885" s="9"/>
      <c r="NN885" s="9"/>
      <c r="NO885" s="9"/>
      <c r="NP885" s="9"/>
      <c r="NQ885" s="9"/>
      <c r="NR885" s="9"/>
      <c r="NS885" s="9"/>
      <c r="NT885" s="9"/>
      <c r="NU885" s="9"/>
      <c r="NV885" s="9"/>
      <c r="NW885" s="9"/>
      <c r="NX885" s="9"/>
      <c r="NY885" s="9"/>
      <c r="NZ885" s="9"/>
      <c r="OA885" s="9"/>
      <c r="OB885" s="9"/>
      <c r="OC885" s="9"/>
      <c r="OD885" s="9"/>
      <c r="OE885" s="9"/>
      <c r="OF885" s="9"/>
      <c r="OG885" s="9"/>
      <c r="OH885" s="9"/>
      <c r="OI885" s="9"/>
      <c r="OJ885" s="9"/>
      <c r="OK885" s="9"/>
      <c r="OL885" s="9"/>
      <c r="OM885" s="9"/>
      <c r="ON885" s="9"/>
      <c r="OO885" s="9"/>
      <c r="OP885" s="9"/>
      <c r="OQ885" s="9"/>
      <c r="OR885" s="9"/>
      <c r="OS885" s="9"/>
      <c r="OT885" s="9"/>
      <c r="OU885" s="9"/>
      <c r="OV885" s="9"/>
      <c r="OW885" s="9"/>
      <c r="OX885" s="9"/>
      <c r="OY885" s="9"/>
      <c r="OZ885" s="9"/>
      <c r="PA885" s="9"/>
      <c r="PB885" s="9"/>
      <c r="PC885" s="9"/>
      <c r="PD885" s="9"/>
      <c r="PE885" s="9"/>
      <c r="PF885" s="9"/>
      <c r="PG885" s="9"/>
      <c r="PH885" s="9"/>
      <c r="PI885" s="9"/>
      <c r="PJ885" s="9"/>
      <c r="PK885" s="9"/>
      <c r="PL885" s="9"/>
      <c r="PM885" s="9"/>
      <c r="PN885" s="9"/>
      <c r="PO885" s="9"/>
      <c r="PP885" s="9"/>
      <c r="PQ885" s="9"/>
      <c r="PR885" s="9"/>
      <c r="PS885" s="9"/>
      <c r="PT885" s="9"/>
      <c r="PU885" s="9"/>
      <c r="PV885" s="9"/>
      <c r="PW885" s="9"/>
      <c r="PX885" s="9"/>
      <c r="PY885" s="9"/>
      <c r="PZ885" s="9"/>
      <c r="QA885" s="9"/>
      <c r="QB885" s="9"/>
      <c r="QC885" s="9"/>
      <c r="QD885" s="9"/>
      <c r="QE885" s="9"/>
      <c r="QF885" s="9"/>
      <c r="QG885" s="9"/>
      <c r="QH885" s="9"/>
      <c r="QI885" s="9"/>
      <c r="QJ885" s="9"/>
      <c r="QK885" s="9"/>
      <c r="QL885" s="9"/>
      <c r="QM885" s="9"/>
      <c r="QN885" s="9"/>
      <c r="QO885" s="9"/>
      <c r="QP885" s="9"/>
      <c r="QQ885" s="9"/>
      <c r="QR885" s="9"/>
      <c r="QS885" s="9"/>
      <c r="QT885" s="9"/>
      <c r="QU885" s="9"/>
      <c r="QV885" s="9"/>
      <c r="QW885" s="9"/>
      <c r="QX885" s="9"/>
      <c r="QY885" s="9"/>
      <c r="QZ885" s="9"/>
      <c r="RA885" s="9"/>
      <c r="RB885" s="9"/>
      <c r="RC885" s="9"/>
      <c r="RD885" s="9"/>
      <c r="RE885" s="9"/>
      <c r="RF885" s="9"/>
      <c r="RG885" s="9"/>
      <c r="RH885" s="9"/>
      <c r="RI885" s="9"/>
      <c r="RJ885" s="9"/>
      <c r="RK885" s="9"/>
      <c r="RL885" s="9"/>
      <c r="RM885" s="9"/>
      <c r="RN885" s="9"/>
      <c r="RO885" s="9"/>
      <c r="RP885" s="9"/>
      <c r="RQ885" s="9"/>
      <c r="RR885" s="9"/>
      <c r="RS885" s="9"/>
      <c r="RT885" s="9"/>
      <c r="RU885" s="9"/>
      <c r="RV885" s="9"/>
      <c r="RW885" s="9"/>
      <c r="RX885" s="9"/>
      <c r="RY885" s="9"/>
      <c r="RZ885" s="9"/>
      <c r="SA885" s="9"/>
      <c r="SB885" s="9"/>
      <c r="SC885" s="9"/>
      <c r="SD885" s="9"/>
      <c r="SE885" s="9"/>
      <c r="SF885" s="9"/>
      <c r="SG885" s="9"/>
      <c r="SH885" s="9"/>
      <c r="SI885" s="9"/>
      <c r="SJ885" s="9"/>
      <c r="SK885" s="9"/>
      <c r="SL885" s="9"/>
      <c r="SM885" s="9"/>
      <c r="SN885" s="9"/>
      <c r="SO885" s="9"/>
      <c r="SP885" s="9"/>
      <c r="SQ885" s="9"/>
      <c r="SR885" s="9"/>
      <c r="SS885" s="9"/>
      <c r="ST885" s="9"/>
      <c r="SU885" s="9"/>
      <c r="SV885" s="9"/>
      <c r="SW885" s="9"/>
      <c r="SX885" s="9"/>
      <c r="SY885" s="9"/>
      <c r="SZ885" s="9"/>
      <c r="TA885" s="9"/>
      <c r="TB885" s="9"/>
      <c r="TC885" s="9"/>
      <c r="TD885" s="9"/>
      <c r="TE885" s="9"/>
      <c r="TF885" s="9"/>
      <c r="TG885" s="9"/>
      <c r="TH885" s="9"/>
      <c r="TI885" s="9"/>
      <c r="TJ885" s="9"/>
      <c r="TK885" s="9"/>
      <c r="TL885" s="9"/>
      <c r="TM885" s="9"/>
      <c r="TN885" s="9"/>
      <c r="TO885" s="9"/>
      <c r="TP885" s="9"/>
      <c r="TQ885" s="9"/>
      <c r="TR885" s="9"/>
      <c r="TS885" s="9"/>
      <c r="TT885" s="9"/>
      <c r="TU885" s="9"/>
      <c r="TV885" s="9"/>
      <c r="TW885" s="9"/>
      <c r="TX885" s="9"/>
      <c r="TY885" s="9"/>
      <c r="TZ885" s="9"/>
      <c r="UA885" s="9"/>
      <c r="UB885" s="9"/>
      <c r="UC885" s="9"/>
      <c r="UD885" s="9"/>
      <c r="UE885" s="9"/>
      <c r="UF885" s="9"/>
      <c r="UG885" s="9"/>
      <c r="UH885" s="9"/>
      <c r="UI885" s="9"/>
      <c r="UJ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  <c r="HO886" s="9"/>
      <c r="HP886" s="9"/>
      <c r="HQ886" s="9"/>
      <c r="HR886" s="9"/>
      <c r="HS886" s="9"/>
      <c r="HT886" s="9"/>
      <c r="HU886" s="9"/>
      <c r="HV886" s="9"/>
      <c r="HW886" s="9"/>
      <c r="HX886" s="9"/>
      <c r="HY886" s="9"/>
      <c r="HZ886" s="9"/>
      <c r="IA886" s="9"/>
      <c r="IB886" s="9"/>
      <c r="IC886" s="9"/>
      <c r="ID886" s="9"/>
      <c r="IE886" s="9"/>
      <c r="IF886" s="9"/>
      <c r="IG886" s="9"/>
      <c r="IH886" s="9"/>
      <c r="II886" s="9"/>
      <c r="IJ886" s="9"/>
      <c r="IK886" s="9"/>
      <c r="IL886" s="9"/>
      <c r="IM886" s="9"/>
      <c r="IN886" s="9"/>
      <c r="IO886" s="9"/>
      <c r="IP886" s="9"/>
      <c r="IQ886" s="9"/>
      <c r="IR886" s="9"/>
      <c r="IS886" s="9"/>
      <c r="IT886" s="9"/>
      <c r="IU886" s="9"/>
      <c r="IV886" s="9"/>
      <c r="IW886" s="9"/>
      <c r="IX886" s="9"/>
      <c r="IY886" s="9"/>
      <c r="IZ886" s="9"/>
      <c r="JA886" s="9"/>
      <c r="JB886" s="9"/>
      <c r="JC886" s="9"/>
      <c r="JD886" s="9"/>
      <c r="JE886" s="9"/>
      <c r="JF886" s="9"/>
      <c r="JG886" s="9"/>
      <c r="JH886" s="9"/>
      <c r="JI886" s="9"/>
      <c r="JJ886" s="9"/>
      <c r="JK886" s="9"/>
      <c r="JL886" s="9"/>
      <c r="JM886" s="9"/>
      <c r="JN886" s="9"/>
      <c r="JO886" s="9"/>
      <c r="JP886" s="9"/>
      <c r="JQ886" s="9"/>
      <c r="JR886" s="9"/>
      <c r="JS886" s="9"/>
      <c r="JT886" s="9"/>
      <c r="JU886" s="9"/>
      <c r="JV886" s="9"/>
      <c r="JW886" s="9"/>
      <c r="JX886" s="9"/>
      <c r="JY886" s="9"/>
      <c r="JZ886" s="9"/>
      <c r="KA886" s="9"/>
      <c r="KB886" s="9"/>
      <c r="KC886" s="9"/>
      <c r="KD886" s="9"/>
      <c r="KE886" s="9"/>
      <c r="KF886" s="9"/>
      <c r="KG886" s="9"/>
      <c r="KH886" s="9"/>
      <c r="KI886" s="9"/>
      <c r="KJ886" s="9"/>
      <c r="KK886" s="9"/>
      <c r="KL886" s="9"/>
      <c r="KM886" s="9"/>
      <c r="KN886" s="9"/>
      <c r="KO886" s="9"/>
      <c r="KP886" s="9"/>
      <c r="KQ886" s="9"/>
      <c r="KR886" s="9"/>
      <c r="KS886" s="9"/>
      <c r="KT886" s="9"/>
      <c r="KU886" s="9"/>
      <c r="KV886" s="9"/>
      <c r="KW886" s="9"/>
      <c r="KX886" s="9"/>
      <c r="KY886" s="9"/>
      <c r="KZ886" s="9"/>
      <c r="LA886" s="9"/>
      <c r="LB886" s="9"/>
      <c r="LC886" s="9"/>
      <c r="LD886" s="9"/>
      <c r="LE886" s="9"/>
      <c r="LF886" s="9"/>
      <c r="LG886" s="9"/>
      <c r="LH886" s="9"/>
      <c r="LI886" s="9"/>
      <c r="LJ886" s="9"/>
      <c r="LK886" s="9"/>
      <c r="LL886" s="9"/>
      <c r="LM886" s="9"/>
      <c r="LN886" s="9"/>
      <c r="LO886" s="9"/>
      <c r="LP886" s="9"/>
      <c r="LQ886" s="9"/>
      <c r="LR886" s="9"/>
      <c r="LS886" s="9"/>
      <c r="LT886" s="9"/>
      <c r="LU886" s="9"/>
      <c r="LV886" s="9"/>
      <c r="LW886" s="9"/>
      <c r="LX886" s="9"/>
      <c r="LY886" s="9"/>
      <c r="LZ886" s="9"/>
      <c r="MA886" s="9"/>
      <c r="MB886" s="9"/>
      <c r="MC886" s="9"/>
      <c r="MD886" s="9"/>
      <c r="ME886" s="9"/>
      <c r="MF886" s="9"/>
      <c r="MG886" s="9"/>
      <c r="MH886" s="9"/>
      <c r="MI886" s="9"/>
      <c r="MJ886" s="9"/>
      <c r="MK886" s="9"/>
      <c r="ML886" s="9"/>
      <c r="MM886" s="9"/>
      <c r="MN886" s="9"/>
      <c r="MO886" s="9"/>
      <c r="MP886" s="9"/>
      <c r="MQ886" s="9"/>
      <c r="MR886" s="9"/>
      <c r="MS886" s="9"/>
      <c r="MT886" s="9"/>
      <c r="MU886" s="9"/>
      <c r="MV886" s="9"/>
      <c r="MW886" s="9"/>
      <c r="MX886" s="9"/>
      <c r="MY886" s="9"/>
      <c r="MZ886" s="9"/>
      <c r="NA886" s="9"/>
      <c r="NB886" s="9"/>
      <c r="NC886" s="9"/>
      <c r="ND886" s="9"/>
      <c r="NE886" s="9"/>
      <c r="NF886" s="9"/>
      <c r="NG886" s="9"/>
      <c r="NH886" s="9"/>
      <c r="NI886" s="9"/>
      <c r="NJ886" s="9"/>
      <c r="NK886" s="9"/>
      <c r="NL886" s="9"/>
      <c r="NM886" s="9"/>
      <c r="NN886" s="9"/>
      <c r="NO886" s="9"/>
      <c r="NP886" s="9"/>
      <c r="NQ886" s="9"/>
      <c r="NR886" s="9"/>
      <c r="NS886" s="9"/>
      <c r="NT886" s="9"/>
      <c r="NU886" s="9"/>
      <c r="NV886" s="9"/>
      <c r="NW886" s="9"/>
      <c r="NX886" s="9"/>
      <c r="NY886" s="9"/>
      <c r="NZ886" s="9"/>
      <c r="OA886" s="9"/>
      <c r="OB886" s="9"/>
      <c r="OC886" s="9"/>
      <c r="OD886" s="9"/>
      <c r="OE886" s="9"/>
      <c r="OF886" s="9"/>
      <c r="OG886" s="9"/>
      <c r="OH886" s="9"/>
      <c r="OI886" s="9"/>
      <c r="OJ886" s="9"/>
      <c r="OK886" s="9"/>
      <c r="OL886" s="9"/>
      <c r="OM886" s="9"/>
      <c r="ON886" s="9"/>
      <c r="OO886" s="9"/>
      <c r="OP886" s="9"/>
      <c r="OQ886" s="9"/>
      <c r="OR886" s="9"/>
      <c r="OS886" s="9"/>
      <c r="OT886" s="9"/>
      <c r="OU886" s="9"/>
      <c r="OV886" s="9"/>
      <c r="OW886" s="9"/>
      <c r="OX886" s="9"/>
      <c r="OY886" s="9"/>
      <c r="OZ886" s="9"/>
      <c r="PA886" s="9"/>
      <c r="PB886" s="9"/>
      <c r="PC886" s="9"/>
      <c r="PD886" s="9"/>
      <c r="PE886" s="9"/>
      <c r="PF886" s="9"/>
      <c r="PG886" s="9"/>
      <c r="PH886" s="9"/>
      <c r="PI886" s="9"/>
      <c r="PJ886" s="9"/>
      <c r="PK886" s="9"/>
      <c r="PL886" s="9"/>
      <c r="PM886" s="9"/>
      <c r="PN886" s="9"/>
      <c r="PO886" s="9"/>
      <c r="PP886" s="9"/>
      <c r="PQ886" s="9"/>
      <c r="PR886" s="9"/>
      <c r="PS886" s="9"/>
      <c r="PT886" s="9"/>
      <c r="PU886" s="9"/>
      <c r="PV886" s="9"/>
      <c r="PW886" s="9"/>
      <c r="PX886" s="9"/>
      <c r="PY886" s="9"/>
      <c r="PZ886" s="9"/>
      <c r="QA886" s="9"/>
      <c r="QB886" s="9"/>
      <c r="QC886" s="9"/>
      <c r="QD886" s="9"/>
      <c r="QE886" s="9"/>
      <c r="QF886" s="9"/>
      <c r="QG886" s="9"/>
      <c r="QH886" s="9"/>
      <c r="QI886" s="9"/>
      <c r="QJ886" s="9"/>
      <c r="QK886" s="9"/>
      <c r="QL886" s="9"/>
      <c r="QM886" s="9"/>
      <c r="QN886" s="9"/>
      <c r="QO886" s="9"/>
      <c r="QP886" s="9"/>
      <c r="QQ886" s="9"/>
      <c r="QR886" s="9"/>
      <c r="QS886" s="9"/>
      <c r="QT886" s="9"/>
      <c r="QU886" s="9"/>
      <c r="QV886" s="9"/>
      <c r="QW886" s="9"/>
      <c r="QX886" s="9"/>
      <c r="QY886" s="9"/>
      <c r="QZ886" s="9"/>
      <c r="RA886" s="9"/>
      <c r="RB886" s="9"/>
      <c r="RC886" s="9"/>
      <c r="RD886" s="9"/>
      <c r="RE886" s="9"/>
      <c r="RF886" s="9"/>
      <c r="RG886" s="9"/>
      <c r="RH886" s="9"/>
      <c r="RI886" s="9"/>
      <c r="RJ886" s="9"/>
      <c r="RK886" s="9"/>
      <c r="RL886" s="9"/>
      <c r="RM886" s="9"/>
      <c r="RN886" s="9"/>
      <c r="RO886" s="9"/>
      <c r="RP886" s="9"/>
      <c r="RQ886" s="9"/>
      <c r="RR886" s="9"/>
      <c r="RS886" s="9"/>
      <c r="RT886" s="9"/>
      <c r="RU886" s="9"/>
      <c r="RV886" s="9"/>
      <c r="RW886" s="9"/>
      <c r="RX886" s="9"/>
      <c r="RY886" s="9"/>
      <c r="RZ886" s="9"/>
      <c r="SA886" s="9"/>
      <c r="SB886" s="9"/>
      <c r="SC886" s="9"/>
      <c r="SD886" s="9"/>
      <c r="SE886" s="9"/>
      <c r="SF886" s="9"/>
      <c r="SG886" s="9"/>
      <c r="SH886" s="9"/>
      <c r="SI886" s="9"/>
      <c r="SJ886" s="9"/>
      <c r="SK886" s="9"/>
      <c r="SL886" s="9"/>
      <c r="SM886" s="9"/>
      <c r="SN886" s="9"/>
      <c r="SO886" s="9"/>
      <c r="SP886" s="9"/>
      <c r="SQ886" s="9"/>
      <c r="SR886" s="9"/>
      <c r="SS886" s="9"/>
      <c r="ST886" s="9"/>
      <c r="SU886" s="9"/>
      <c r="SV886" s="9"/>
      <c r="SW886" s="9"/>
      <c r="SX886" s="9"/>
      <c r="SY886" s="9"/>
      <c r="SZ886" s="9"/>
      <c r="TA886" s="9"/>
      <c r="TB886" s="9"/>
      <c r="TC886" s="9"/>
      <c r="TD886" s="9"/>
      <c r="TE886" s="9"/>
      <c r="TF886" s="9"/>
      <c r="TG886" s="9"/>
      <c r="TH886" s="9"/>
      <c r="TI886" s="9"/>
      <c r="TJ886" s="9"/>
      <c r="TK886" s="9"/>
      <c r="TL886" s="9"/>
      <c r="TM886" s="9"/>
      <c r="TN886" s="9"/>
      <c r="TO886" s="9"/>
      <c r="TP886" s="9"/>
      <c r="TQ886" s="9"/>
      <c r="TR886" s="9"/>
      <c r="TS886" s="9"/>
      <c r="TT886" s="9"/>
      <c r="TU886" s="9"/>
      <c r="TV886" s="9"/>
      <c r="TW886" s="9"/>
      <c r="TX886" s="9"/>
      <c r="TY886" s="9"/>
      <c r="TZ886" s="9"/>
      <c r="UA886" s="9"/>
      <c r="UB886" s="9"/>
      <c r="UC886" s="9"/>
      <c r="UD886" s="9"/>
      <c r="UE886" s="9"/>
      <c r="UF886" s="9"/>
      <c r="UG886" s="9"/>
      <c r="UH886" s="9"/>
      <c r="UI886" s="9"/>
      <c r="UJ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  <c r="GA887" s="9"/>
      <c r="GB887" s="9"/>
      <c r="GC887" s="9"/>
      <c r="GD887" s="9"/>
      <c r="GE887" s="9"/>
      <c r="GF887" s="9"/>
      <c r="GG887" s="9"/>
      <c r="GH887" s="9"/>
      <c r="GI887" s="9"/>
      <c r="GJ887" s="9"/>
      <c r="GK887" s="9"/>
      <c r="GL887" s="9"/>
      <c r="GM887" s="9"/>
      <c r="GN887" s="9"/>
      <c r="GO887" s="9"/>
      <c r="GP887" s="9"/>
      <c r="GQ887" s="9"/>
      <c r="GR887" s="9"/>
      <c r="GS887" s="9"/>
      <c r="GT887" s="9"/>
      <c r="GU887" s="9"/>
      <c r="GV887" s="9"/>
      <c r="GW887" s="9"/>
      <c r="GX887" s="9"/>
      <c r="GY887" s="9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  <c r="HO887" s="9"/>
      <c r="HP887" s="9"/>
      <c r="HQ887" s="9"/>
      <c r="HR887" s="9"/>
      <c r="HS887" s="9"/>
      <c r="HT887" s="9"/>
      <c r="HU887" s="9"/>
      <c r="HV887" s="9"/>
      <c r="HW887" s="9"/>
      <c r="HX887" s="9"/>
      <c r="HY887" s="9"/>
      <c r="HZ887" s="9"/>
      <c r="IA887" s="9"/>
      <c r="IB887" s="9"/>
      <c r="IC887" s="9"/>
      <c r="ID887" s="9"/>
      <c r="IE887" s="9"/>
      <c r="IF887" s="9"/>
      <c r="IG887" s="9"/>
      <c r="IH887" s="9"/>
      <c r="II887" s="9"/>
      <c r="IJ887" s="9"/>
      <c r="IK887" s="9"/>
      <c r="IL887" s="9"/>
      <c r="IM887" s="9"/>
      <c r="IN887" s="9"/>
      <c r="IO887" s="9"/>
      <c r="IP887" s="9"/>
      <c r="IQ887" s="9"/>
      <c r="IR887" s="9"/>
      <c r="IS887" s="9"/>
      <c r="IT887" s="9"/>
      <c r="IU887" s="9"/>
      <c r="IV887" s="9"/>
      <c r="IW887" s="9"/>
      <c r="IX887" s="9"/>
      <c r="IY887" s="9"/>
      <c r="IZ887" s="9"/>
      <c r="JA887" s="9"/>
      <c r="JB887" s="9"/>
      <c r="JC887" s="9"/>
      <c r="JD887" s="9"/>
      <c r="JE887" s="9"/>
      <c r="JF887" s="9"/>
      <c r="JG887" s="9"/>
      <c r="JH887" s="9"/>
      <c r="JI887" s="9"/>
      <c r="JJ887" s="9"/>
      <c r="JK887" s="9"/>
      <c r="JL887" s="9"/>
      <c r="JM887" s="9"/>
      <c r="JN887" s="9"/>
      <c r="JO887" s="9"/>
      <c r="JP887" s="9"/>
      <c r="JQ887" s="9"/>
      <c r="JR887" s="9"/>
      <c r="JS887" s="9"/>
      <c r="JT887" s="9"/>
      <c r="JU887" s="9"/>
      <c r="JV887" s="9"/>
      <c r="JW887" s="9"/>
      <c r="JX887" s="9"/>
      <c r="JY887" s="9"/>
      <c r="JZ887" s="9"/>
      <c r="KA887" s="9"/>
      <c r="KB887" s="9"/>
      <c r="KC887" s="9"/>
      <c r="KD887" s="9"/>
      <c r="KE887" s="9"/>
      <c r="KF887" s="9"/>
      <c r="KG887" s="9"/>
      <c r="KH887" s="9"/>
      <c r="KI887" s="9"/>
      <c r="KJ887" s="9"/>
      <c r="KK887" s="9"/>
      <c r="KL887" s="9"/>
      <c r="KM887" s="9"/>
      <c r="KN887" s="9"/>
      <c r="KO887" s="9"/>
      <c r="KP887" s="9"/>
      <c r="KQ887" s="9"/>
      <c r="KR887" s="9"/>
      <c r="KS887" s="9"/>
      <c r="KT887" s="9"/>
      <c r="KU887" s="9"/>
      <c r="KV887" s="9"/>
      <c r="KW887" s="9"/>
      <c r="KX887" s="9"/>
      <c r="KY887" s="9"/>
      <c r="KZ887" s="9"/>
      <c r="LA887" s="9"/>
      <c r="LB887" s="9"/>
      <c r="LC887" s="9"/>
      <c r="LD887" s="9"/>
      <c r="LE887" s="9"/>
      <c r="LF887" s="9"/>
      <c r="LG887" s="9"/>
      <c r="LH887" s="9"/>
      <c r="LI887" s="9"/>
      <c r="LJ887" s="9"/>
      <c r="LK887" s="9"/>
      <c r="LL887" s="9"/>
      <c r="LM887" s="9"/>
      <c r="LN887" s="9"/>
      <c r="LO887" s="9"/>
      <c r="LP887" s="9"/>
      <c r="LQ887" s="9"/>
      <c r="LR887" s="9"/>
      <c r="LS887" s="9"/>
      <c r="LT887" s="9"/>
      <c r="LU887" s="9"/>
      <c r="LV887" s="9"/>
      <c r="LW887" s="9"/>
      <c r="LX887" s="9"/>
      <c r="LY887" s="9"/>
      <c r="LZ887" s="9"/>
      <c r="MA887" s="9"/>
      <c r="MB887" s="9"/>
      <c r="MC887" s="9"/>
      <c r="MD887" s="9"/>
      <c r="ME887" s="9"/>
      <c r="MF887" s="9"/>
      <c r="MG887" s="9"/>
      <c r="MH887" s="9"/>
      <c r="MI887" s="9"/>
      <c r="MJ887" s="9"/>
      <c r="MK887" s="9"/>
      <c r="ML887" s="9"/>
      <c r="MM887" s="9"/>
      <c r="MN887" s="9"/>
      <c r="MO887" s="9"/>
      <c r="MP887" s="9"/>
      <c r="MQ887" s="9"/>
      <c r="MR887" s="9"/>
      <c r="MS887" s="9"/>
      <c r="MT887" s="9"/>
      <c r="MU887" s="9"/>
      <c r="MV887" s="9"/>
      <c r="MW887" s="9"/>
      <c r="MX887" s="9"/>
      <c r="MY887" s="9"/>
      <c r="MZ887" s="9"/>
      <c r="NA887" s="9"/>
      <c r="NB887" s="9"/>
      <c r="NC887" s="9"/>
      <c r="ND887" s="9"/>
      <c r="NE887" s="9"/>
      <c r="NF887" s="9"/>
      <c r="NG887" s="9"/>
      <c r="NH887" s="9"/>
      <c r="NI887" s="9"/>
      <c r="NJ887" s="9"/>
      <c r="NK887" s="9"/>
      <c r="NL887" s="9"/>
      <c r="NM887" s="9"/>
      <c r="NN887" s="9"/>
      <c r="NO887" s="9"/>
      <c r="NP887" s="9"/>
      <c r="NQ887" s="9"/>
      <c r="NR887" s="9"/>
      <c r="NS887" s="9"/>
      <c r="NT887" s="9"/>
      <c r="NU887" s="9"/>
      <c r="NV887" s="9"/>
      <c r="NW887" s="9"/>
      <c r="NX887" s="9"/>
      <c r="NY887" s="9"/>
      <c r="NZ887" s="9"/>
      <c r="OA887" s="9"/>
      <c r="OB887" s="9"/>
      <c r="OC887" s="9"/>
      <c r="OD887" s="9"/>
      <c r="OE887" s="9"/>
      <c r="OF887" s="9"/>
      <c r="OG887" s="9"/>
      <c r="OH887" s="9"/>
      <c r="OI887" s="9"/>
      <c r="OJ887" s="9"/>
      <c r="OK887" s="9"/>
      <c r="OL887" s="9"/>
      <c r="OM887" s="9"/>
      <c r="ON887" s="9"/>
      <c r="OO887" s="9"/>
      <c r="OP887" s="9"/>
      <c r="OQ887" s="9"/>
      <c r="OR887" s="9"/>
      <c r="OS887" s="9"/>
      <c r="OT887" s="9"/>
      <c r="OU887" s="9"/>
      <c r="OV887" s="9"/>
      <c r="OW887" s="9"/>
      <c r="OX887" s="9"/>
      <c r="OY887" s="9"/>
      <c r="OZ887" s="9"/>
      <c r="PA887" s="9"/>
      <c r="PB887" s="9"/>
      <c r="PC887" s="9"/>
      <c r="PD887" s="9"/>
      <c r="PE887" s="9"/>
      <c r="PF887" s="9"/>
      <c r="PG887" s="9"/>
      <c r="PH887" s="9"/>
      <c r="PI887" s="9"/>
      <c r="PJ887" s="9"/>
      <c r="PK887" s="9"/>
      <c r="PL887" s="9"/>
      <c r="PM887" s="9"/>
      <c r="PN887" s="9"/>
      <c r="PO887" s="9"/>
      <c r="PP887" s="9"/>
      <c r="PQ887" s="9"/>
      <c r="PR887" s="9"/>
      <c r="PS887" s="9"/>
      <c r="PT887" s="9"/>
      <c r="PU887" s="9"/>
      <c r="PV887" s="9"/>
      <c r="PW887" s="9"/>
      <c r="PX887" s="9"/>
      <c r="PY887" s="9"/>
      <c r="PZ887" s="9"/>
      <c r="QA887" s="9"/>
      <c r="QB887" s="9"/>
      <c r="QC887" s="9"/>
      <c r="QD887" s="9"/>
      <c r="QE887" s="9"/>
      <c r="QF887" s="9"/>
      <c r="QG887" s="9"/>
      <c r="QH887" s="9"/>
      <c r="QI887" s="9"/>
      <c r="QJ887" s="9"/>
      <c r="QK887" s="9"/>
      <c r="QL887" s="9"/>
      <c r="QM887" s="9"/>
      <c r="QN887" s="9"/>
      <c r="QO887" s="9"/>
      <c r="QP887" s="9"/>
      <c r="QQ887" s="9"/>
      <c r="QR887" s="9"/>
      <c r="QS887" s="9"/>
      <c r="QT887" s="9"/>
      <c r="QU887" s="9"/>
      <c r="QV887" s="9"/>
      <c r="QW887" s="9"/>
      <c r="QX887" s="9"/>
      <c r="QY887" s="9"/>
      <c r="QZ887" s="9"/>
      <c r="RA887" s="9"/>
      <c r="RB887" s="9"/>
      <c r="RC887" s="9"/>
      <c r="RD887" s="9"/>
      <c r="RE887" s="9"/>
      <c r="RF887" s="9"/>
      <c r="RG887" s="9"/>
      <c r="RH887" s="9"/>
      <c r="RI887" s="9"/>
      <c r="RJ887" s="9"/>
      <c r="RK887" s="9"/>
      <c r="RL887" s="9"/>
      <c r="RM887" s="9"/>
      <c r="RN887" s="9"/>
      <c r="RO887" s="9"/>
      <c r="RP887" s="9"/>
      <c r="RQ887" s="9"/>
      <c r="RR887" s="9"/>
      <c r="RS887" s="9"/>
      <c r="RT887" s="9"/>
      <c r="RU887" s="9"/>
      <c r="RV887" s="9"/>
      <c r="RW887" s="9"/>
      <c r="RX887" s="9"/>
      <c r="RY887" s="9"/>
      <c r="RZ887" s="9"/>
      <c r="SA887" s="9"/>
      <c r="SB887" s="9"/>
      <c r="SC887" s="9"/>
      <c r="SD887" s="9"/>
      <c r="SE887" s="9"/>
      <c r="SF887" s="9"/>
      <c r="SG887" s="9"/>
      <c r="SH887" s="9"/>
      <c r="SI887" s="9"/>
      <c r="SJ887" s="9"/>
      <c r="SK887" s="9"/>
      <c r="SL887" s="9"/>
      <c r="SM887" s="9"/>
      <c r="SN887" s="9"/>
      <c r="SO887" s="9"/>
      <c r="SP887" s="9"/>
      <c r="SQ887" s="9"/>
      <c r="SR887" s="9"/>
      <c r="SS887" s="9"/>
      <c r="ST887" s="9"/>
      <c r="SU887" s="9"/>
      <c r="SV887" s="9"/>
      <c r="SW887" s="9"/>
      <c r="SX887" s="9"/>
      <c r="SY887" s="9"/>
      <c r="SZ887" s="9"/>
      <c r="TA887" s="9"/>
      <c r="TB887" s="9"/>
      <c r="TC887" s="9"/>
      <c r="TD887" s="9"/>
      <c r="TE887" s="9"/>
      <c r="TF887" s="9"/>
      <c r="TG887" s="9"/>
      <c r="TH887" s="9"/>
      <c r="TI887" s="9"/>
      <c r="TJ887" s="9"/>
      <c r="TK887" s="9"/>
      <c r="TL887" s="9"/>
      <c r="TM887" s="9"/>
      <c r="TN887" s="9"/>
      <c r="TO887" s="9"/>
      <c r="TP887" s="9"/>
      <c r="TQ887" s="9"/>
      <c r="TR887" s="9"/>
      <c r="TS887" s="9"/>
      <c r="TT887" s="9"/>
      <c r="TU887" s="9"/>
      <c r="TV887" s="9"/>
      <c r="TW887" s="9"/>
      <c r="TX887" s="9"/>
      <c r="TY887" s="9"/>
      <c r="TZ887" s="9"/>
      <c r="UA887" s="9"/>
      <c r="UB887" s="9"/>
      <c r="UC887" s="9"/>
      <c r="UD887" s="9"/>
      <c r="UE887" s="9"/>
      <c r="UF887" s="9"/>
      <c r="UG887" s="9"/>
      <c r="UH887" s="9"/>
      <c r="UI887" s="9"/>
      <c r="UJ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9"/>
      <c r="FS888" s="9"/>
      <c r="FT888" s="9"/>
      <c r="FU888" s="9"/>
      <c r="FV888" s="9"/>
      <c r="FW888" s="9"/>
      <c r="FX888" s="9"/>
      <c r="FY888" s="9"/>
      <c r="FZ888" s="9"/>
      <c r="GA888" s="9"/>
      <c r="GB888" s="9"/>
      <c r="GC888" s="9"/>
      <c r="GD888" s="9"/>
      <c r="GE888" s="9"/>
      <c r="GF888" s="9"/>
      <c r="GG888" s="9"/>
      <c r="GH888" s="9"/>
      <c r="GI888" s="9"/>
      <c r="GJ888" s="9"/>
      <c r="GK888" s="9"/>
      <c r="GL888" s="9"/>
      <c r="GM888" s="9"/>
      <c r="GN888" s="9"/>
      <c r="GO888" s="9"/>
      <c r="GP888" s="9"/>
      <c r="GQ888" s="9"/>
      <c r="GR888" s="9"/>
      <c r="GS888" s="9"/>
      <c r="GT888" s="9"/>
      <c r="GU888" s="9"/>
      <c r="GV888" s="9"/>
      <c r="GW888" s="9"/>
      <c r="GX888" s="9"/>
      <c r="GY888" s="9"/>
      <c r="GZ888" s="9"/>
      <c r="HA888" s="9"/>
      <c r="HB888" s="9"/>
      <c r="HC888" s="9"/>
      <c r="HD888" s="9"/>
      <c r="HE888" s="9"/>
      <c r="HF888" s="9"/>
      <c r="HG888" s="9"/>
      <c r="HH888" s="9"/>
      <c r="HI888" s="9"/>
      <c r="HJ888" s="9"/>
      <c r="HK888" s="9"/>
      <c r="HL888" s="9"/>
      <c r="HM888" s="9"/>
      <c r="HN888" s="9"/>
      <c r="HO888" s="9"/>
      <c r="HP888" s="9"/>
      <c r="HQ888" s="9"/>
      <c r="HR888" s="9"/>
      <c r="HS888" s="9"/>
      <c r="HT888" s="9"/>
      <c r="HU888" s="9"/>
      <c r="HV888" s="9"/>
      <c r="HW888" s="9"/>
      <c r="HX888" s="9"/>
      <c r="HY888" s="9"/>
      <c r="HZ888" s="9"/>
      <c r="IA888" s="9"/>
      <c r="IB888" s="9"/>
      <c r="IC888" s="9"/>
      <c r="ID888" s="9"/>
      <c r="IE888" s="9"/>
      <c r="IF888" s="9"/>
      <c r="IG888" s="9"/>
      <c r="IH888" s="9"/>
      <c r="II888" s="9"/>
      <c r="IJ888" s="9"/>
      <c r="IK888" s="9"/>
      <c r="IL888" s="9"/>
      <c r="IM888" s="9"/>
      <c r="IN888" s="9"/>
      <c r="IO888" s="9"/>
      <c r="IP888" s="9"/>
      <c r="IQ888" s="9"/>
      <c r="IR888" s="9"/>
      <c r="IS888" s="9"/>
      <c r="IT888" s="9"/>
      <c r="IU888" s="9"/>
      <c r="IV888" s="9"/>
      <c r="IW888" s="9"/>
      <c r="IX888" s="9"/>
      <c r="IY888" s="9"/>
      <c r="IZ888" s="9"/>
      <c r="JA888" s="9"/>
      <c r="JB888" s="9"/>
      <c r="JC888" s="9"/>
      <c r="JD888" s="9"/>
      <c r="JE888" s="9"/>
      <c r="JF888" s="9"/>
      <c r="JG888" s="9"/>
      <c r="JH888" s="9"/>
      <c r="JI888" s="9"/>
      <c r="JJ888" s="9"/>
      <c r="JK888" s="9"/>
      <c r="JL888" s="9"/>
      <c r="JM888" s="9"/>
      <c r="JN888" s="9"/>
      <c r="JO888" s="9"/>
      <c r="JP888" s="9"/>
      <c r="JQ888" s="9"/>
      <c r="JR888" s="9"/>
      <c r="JS888" s="9"/>
      <c r="JT888" s="9"/>
      <c r="JU888" s="9"/>
      <c r="JV888" s="9"/>
      <c r="JW888" s="9"/>
      <c r="JX888" s="9"/>
      <c r="JY888" s="9"/>
      <c r="JZ888" s="9"/>
      <c r="KA888" s="9"/>
      <c r="KB888" s="9"/>
      <c r="KC888" s="9"/>
      <c r="KD888" s="9"/>
      <c r="KE888" s="9"/>
      <c r="KF888" s="9"/>
      <c r="KG888" s="9"/>
      <c r="KH888" s="9"/>
      <c r="KI888" s="9"/>
      <c r="KJ888" s="9"/>
      <c r="KK888" s="9"/>
      <c r="KL888" s="9"/>
      <c r="KM888" s="9"/>
      <c r="KN888" s="9"/>
      <c r="KO888" s="9"/>
      <c r="KP888" s="9"/>
      <c r="KQ888" s="9"/>
      <c r="KR888" s="9"/>
      <c r="KS888" s="9"/>
      <c r="KT888" s="9"/>
      <c r="KU888" s="9"/>
      <c r="KV888" s="9"/>
      <c r="KW888" s="9"/>
      <c r="KX888" s="9"/>
      <c r="KY888" s="9"/>
      <c r="KZ888" s="9"/>
      <c r="LA888" s="9"/>
      <c r="LB888" s="9"/>
      <c r="LC888" s="9"/>
      <c r="LD888" s="9"/>
      <c r="LE888" s="9"/>
      <c r="LF888" s="9"/>
      <c r="LG888" s="9"/>
      <c r="LH888" s="9"/>
      <c r="LI888" s="9"/>
      <c r="LJ888" s="9"/>
      <c r="LK888" s="9"/>
      <c r="LL888" s="9"/>
      <c r="LM888" s="9"/>
      <c r="LN888" s="9"/>
      <c r="LO888" s="9"/>
      <c r="LP888" s="9"/>
      <c r="LQ888" s="9"/>
      <c r="LR888" s="9"/>
      <c r="LS888" s="9"/>
      <c r="LT888" s="9"/>
      <c r="LU888" s="9"/>
      <c r="LV888" s="9"/>
      <c r="LW888" s="9"/>
      <c r="LX888" s="9"/>
      <c r="LY888" s="9"/>
      <c r="LZ888" s="9"/>
      <c r="MA888" s="9"/>
      <c r="MB888" s="9"/>
      <c r="MC888" s="9"/>
      <c r="MD888" s="9"/>
      <c r="ME888" s="9"/>
      <c r="MF888" s="9"/>
      <c r="MG888" s="9"/>
      <c r="MH888" s="9"/>
      <c r="MI888" s="9"/>
      <c r="MJ888" s="9"/>
      <c r="MK888" s="9"/>
      <c r="ML888" s="9"/>
      <c r="MM888" s="9"/>
      <c r="MN888" s="9"/>
      <c r="MO888" s="9"/>
      <c r="MP888" s="9"/>
      <c r="MQ888" s="9"/>
      <c r="MR888" s="9"/>
      <c r="MS888" s="9"/>
      <c r="MT888" s="9"/>
      <c r="MU888" s="9"/>
      <c r="MV888" s="9"/>
      <c r="MW888" s="9"/>
      <c r="MX888" s="9"/>
      <c r="MY888" s="9"/>
      <c r="MZ888" s="9"/>
      <c r="NA888" s="9"/>
      <c r="NB888" s="9"/>
      <c r="NC888" s="9"/>
      <c r="ND888" s="9"/>
      <c r="NE888" s="9"/>
      <c r="NF888" s="9"/>
      <c r="NG888" s="9"/>
      <c r="NH888" s="9"/>
      <c r="NI888" s="9"/>
      <c r="NJ888" s="9"/>
      <c r="NK888" s="9"/>
      <c r="NL888" s="9"/>
      <c r="NM888" s="9"/>
      <c r="NN888" s="9"/>
      <c r="NO888" s="9"/>
      <c r="NP888" s="9"/>
      <c r="NQ888" s="9"/>
      <c r="NR888" s="9"/>
      <c r="NS888" s="9"/>
      <c r="NT888" s="9"/>
      <c r="NU888" s="9"/>
      <c r="NV888" s="9"/>
      <c r="NW888" s="9"/>
      <c r="NX888" s="9"/>
      <c r="NY888" s="9"/>
      <c r="NZ888" s="9"/>
      <c r="OA888" s="9"/>
      <c r="OB888" s="9"/>
      <c r="OC888" s="9"/>
      <c r="OD888" s="9"/>
      <c r="OE888" s="9"/>
      <c r="OF888" s="9"/>
      <c r="OG888" s="9"/>
      <c r="OH888" s="9"/>
      <c r="OI888" s="9"/>
      <c r="OJ888" s="9"/>
      <c r="OK888" s="9"/>
      <c r="OL888" s="9"/>
      <c r="OM888" s="9"/>
      <c r="ON888" s="9"/>
      <c r="OO888" s="9"/>
      <c r="OP888" s="9"/>
      <c r="OQ888" s="9"/>
      <c r="OR888" s="9"/>
      <c r="OS888" s="9"/>
      <c r="OT888" s="9"/>
      <c r="OU888" s="9"/>
      <c r="OV888" s="9"/>
      <c r="OW888" s="9"/>
      <c r="OX888" s="9"/>
      <c r="OY888" s="9"/>
      <c r="OZ888" s="9"/>
      <c r="PA888" s="9"/>
      <c r="PB888" s="9"/>
      <c r="PC888" s="9"/>
      <c r="PD888" s="9"/>
      <c r="PE888" s="9"/>
      <c r="PF888" s="9"/>
      <c r="PG888" s="9"/>
      <c r="PH888" s="9"/>
      <c r="PI888" s="9"/>
      <c r="PJ888" s="9"/>
      <c r="PK888" s="9"/>
      <c r="PL888" s="9"/>
      <c r="PM888" s="9"/>
      <c r="PN888" s="9"/>
      <c r="PO888" s="9"/>
      <c r="PP888" s="9"/>
      <c r="PQ888" s="9"/>
      <c r="PR888" s="9"/>
      <c r="PS888" s="9"/>
      <c r="PT888" s="9"/>
      <c r="PU888" s="9"/>
      <c r="PV888" s="9"/>
      <c r="PW888" s="9"/>
      <c r="PX888" s="9"/>
      <c r="PY888" s="9"/>
      <c r="PZ888" s="9"/>
      <c r="QA888" s="9"/>
      <c r="QB888" s="9"/>
      <c r="QC888" s="9"/>
      <c r="QD888" s="9"/>
      <c r="QE888" s="9"/>
      <c r="QF888" s="9"/>
      <c r="QG888" s="9"/>
      <c r="QH888" s="9"/>
      <c r="QI888" s="9"/>
      <c r="QJ888" s="9"/>
      <c r="QK888" s="9"/>
      <c r="QL888" s="9"/>
      <c r="QM888" s="9"/>
      <c r="QN888" s="9"/>
      <c r="QO888" s="9"/>
      <c r="QP888" s="9"/>
      <c r="QQ888" s="9"/>
      <c r="QR888" s="9"/>
      <c r="QS888" s="9"/>
      <c r="QT888" s="9"/>
      <c r="QU888" s="9"/>
      <c r="QV888" s="9"/>
      <c r="QW888" s="9"/>
      <c r="QX888" s="9"/>
      <c r="QY888" s="9"/>
      <c r="QZ888" s="9"/>
      <c r="RA888" s="9"/>
      <c r="RB888" s="9"/>
      <c r="RC888" s="9"/>
      <c r="RD888" s="9"/>
      <c r="RE888" s="9"/>
      <c r="RF888" s="9"/>
      <c r="RG888" s="9"/>
      <c r="RH888" s="9"/>
      <c r="RI888" s="9"/>
      <c r="RJ888" s="9"/>
      <c r="RK888" s="9"/>
      <c r="RL888" s="9"/>
      <c r="RM888" s="9"/>
      <c r="RN888" s="9"/>
      <c r="RO888" s="9"/>
      <c r="RP888" s="9"/>
      <c r="RQ888" s="9"/>
      <c r="RR888" s="9"/>
      <c r="RS888" s="9"/>
      <c r="RT888" s="9"/>
      <c r="RU888" s="9"/>
      <c r="RV888" s="9"/>
      <c r="RW888" s="9"/>
      <c r="RX888" s="9"/>
      <c r="RY888" s="9"/>
      <c r="RZ888" s="9"/>
      <c r="SA888" s="9"/>
      <c r="SB888" s="9"/>
      <c r="SC888" s="9"/>
      <c r="SD888" s="9"/>
      <c r="SE888" s="9"/>
      <c r="SF888" s="9"/>
      <c r="SG888" s="9"/>
      <c r="SH888" s="9"/>
      <c r="SI888" s="9"/>
      <c r="SJ888" s="9"/>
      <c r="SK888" s="9"/>
      <c r="SL888" s="9"/>
      <c r="SM888" s="9"/>
      <c r="SN888" s="9"/>
      <c r="SO888" s="9"/>
      <c r="SP888" s="9"/>
      <c r="SQ888" s="9"/>
      <c r="SR888" s="9"/>
      <c r="SS888" s="9"/>
      <c r="ST888" s="9"/>
      <c r="SU888" s="9"/>
      <c r="SV888" s="9"/>
      <c r="SW888" s="9"/>
      <c r="SX888" s="9"/>
      <c r="SY888" s="9"/>
      <c r="SZ888" s="9"/>
      <c r="TA888" s="9"/>
      <c r="TB888" s="9"/>
      <c r="TC888" s="9"/>
      <c r="TD888" s="9"/>
      <c r="TE888" s="9"/>
      <c r="TF888" s="9"/>
      <c r="TG888" s="9"/>
      <c r="TH888" s="9"/>
      <c r="TI888" s="9"/>
      <c r="TJ888" s="9"/>
      <c r="TK888" s="9"/>
      <c r="TL888" s="9"/>
      <c r="TM888" s="9"/>
      <c r="TN888" s="9"/>
      <c r="TO888" s="9"/>
      <c r="TP888" s="9"/>
      <c r="TQ888" s="9"/>
      <c r="TR888" s="9"/>
      <c r="TS888" s="9"/>
      <c r="TT888" s="9"/>
      <c r="TU888" s="9"/>
      <c r="TV888" s="9"/>
      <c r="TW888" s="9"/>
      <c r="TX888" s="9"/>
      <c r="TY888" s="9"/>
      <c r="TZ888" s="9"/>
      <c r="UA888" s="9"/>
      <c r="UB888" s="9"/>
      <c r="UC888" s="9"/>
      <c r="UD888" s="9"/>
      <c r="UE888" s="9"/>
      <c r="UF888" s="9"/>
      <c r="UG888" s="9"/>
      <c r="UH888" s="9"/>
      <c r="UI888" s="9"/>
      <c r="UJ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9"/>
      <c r="GH889" s="9"/>
      <c r="GI889" s="9"/>
      <c r="GJ889" s="9"/>
      <c r="GK889" s="9"/>
      <c r="GL889" s="9"/>
      <c r="GM889" s="9"/>
      <c r="GN889" s="9"/>
      <c r="GO889" s="9"/>
      <c r="GP889" s="9"/>
      <c r="GQ889" s="9"/>
      <c r="GR889" s="9"/>
      <c r="GS889" s="9"/>
      <c r="GT889" s="9"/>
      <c r="GU889" s="9"/>
      <c r="GV889" s="9"/>
      <c r="GW889" s="9"/>
      <c r="GX889" s="9"/>
      <c r="GY889" s="9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  <c r="HO889" s="9"/>
      <c r="HP889" s="9"/>
      <c r="HQ889" s="9"/>
      <c r="HR889" s="9"/>
      <c r="HS889" s="9"/>
      <c r="HT889" s="9"/>
      <c r="HU889" s="9"/>
      <c r="HV889" s="9"/>
      <c r="HW889" s="9"/>
      <c r="HX889" s="9"/>
      <c r="HY889" s="9"/>
      <c r="HZ889" s="9"/>
      <c r="IA889" s="9"/>
      <c r="IB889" s="9"/>
      <c r="IC889" s="9"/>
      <c r="ID889" s="9"/>
      <c r="IE889" s="9"/>
      <c r="IF889" s="9"/>
      <c r="IG889" s="9"/>
      <c r="IH889" s="9"/>
      <c r="II889" s="9"/>
      <c r="IJ889" s="9"/>
      <c r="IK889" s="9"/>
      <c r="IL889" s="9"/>
      <c r="IM889" s="9"/>
      <c r="IN889" s="9"/>
      <c r="IO889" s="9"/>
      <c r="IP889" s="9"/>
      <c r="IQ889" s="9"/>
      <c r="IR889" s="9"/>
      <c r="IS889" s="9"/>
      <c r="IT889" s="9"/>
      <c r="IU889" s="9"/>
      <c r="IV889" s="9"/>
      <c r="IW889" s="9"/>
      <c r="IX889" s="9"/>
      <c r="IY889" s="9"/>
      <c r="IZ889" s="9"/>
      <c r="JA889" s="9"/>
      <c r="JB889" s="9"/>
      <c r="JC889" s="9"/>
      <c r="JD889" s="9"/>
      <c r="JE889" s="9"/>
      <c r="JF889" s="9"/>
      <c r="JG889" s="9"/>
      <c r="JH889" s="9"/>
      <c r="JI889" s="9"/>
      <c r="JJ889" s="9"/>
      <c r="JK889" s="9"/>
      <c r="JL889" s="9"/>
      <c r="JM889" s="9"/>
      <c r="JN889" s="9"/>
      <c r="JO889" s="9"/>
      <c r="JP889" s="9"/>
      <c r="JQ889" s="9"/>
      <c r="JR889" s="9"/>
      <c r="JS889" s="9"/>
      <c r="JT889" s="9"/>
      <c r="JU889" s="9"/>
      <c r="JV889" s="9"/>
      <c r="JW889" s="9"/>
      <c r="JX889" s="9"/>
      <c r="JY889" s="9"/>
      <c r="JZ889" s="9"/>
      <c r="KA889" s="9"/>
      <c r="KB889" s="9"/>
      <c r="KC889" s="9"/>
      <c r="KD889" s="9"/>
      <c r="KE889" s="9"/>
      <c r="KF889" s="9"/>
      <c r="KG889" s="9"/>
      <c r="KH889" s="9"/>
      <c r="KI889" s="9"/>
      <c r="KJ889" s="9"/>
      <c r="KK889" s="9"/>
      <c r="KL889" s="9"/>
      <c r="KM889" s="9"/>
      <c r="KN889" s="9"/>
      <c r="KO889" s="9"/>
      <c r="KP889" s="9"/>
      <c r="KQ889" s="9"/>
      <c r="KR889" s="9"/>
      <c r="KS889" s="9"/>
      <c r="KT889" s="9"/>
      <c r="KU889" s="9"/>
      <c r="KV889" s="9"/>
      <c r="KW889" s="9"/>
      <c r="KX889" s="9"/>
      <c r="KY889" s="9"/>
      <c r="KZ889" s="9"/>
      <c r="LA889" s="9"/>
      <c r="LB889" s="9"/>
      <c r="LC889" s="9"/>
      <c r="LD889" s="9"/>
      <c r="LE889" s="9"/>
      <c r="LF889" s="9"/>
      <c r="LG889" s="9"/>
      <c r="LH889" s="9"/>
      <c r="LI889" s="9"/>
      <c r="LJ889" s="9"/>
      <c r="LK889" s="9"/>
      <c r="LL889" s="9"/>
      <c r="LM889" s="9"/>
      <c r="LN889" s="9"/>
      <c r="LO889" s="9"/>
      <c r="LP889" s="9"/>
      <c r="LQ889" s="9"/>
      <c r="LR889" s="9"/>
      <c r="LS889" s="9"/>
      <c r="LT889" s="9"/>
      <c r="LU889" s="9"/>
      <c r="LV889" s="9"/>
      <c r="LW889" s="9"/>
      <c r="LX889" s="9"/>
      <c r="LY889" s="9"/>
      <c r="LZ889" s="9"/>
      <c r="MA889" s="9"/>
      <c r="MB889" s="9"/>
      <c r="MC889" s="9"/>
      <c r="MD889" s="9"/>
      <c r="ME889" s="9"/>
      <c r="MF889" s="9"/>
      <c r="MG889" s="9"/>
      <c r="MH889" s="9"/>
      <c r="MI889" s="9"/>
      <c r="MJ889" s="9"/>
      <c r="MK889" s="9"/>
      <c r="ML889" s="9"/>
      <c r="MM889" s="9"/>
      <c r="MN889" s="9"/>
      <c r="MO889" s="9"/>
      <c r="MP889" s="9"/>
      <c r="MQ889" s="9"/>
      <c r="MR889" s="9"/>
      <c r="MS889" s="9"/>
      <c r="MT889" s="9"/>
      <c r="MU889" s="9"/>
      <c r="MV889" s="9"/>
      <c r="MW889" s="9"/>
      <c r="MX889" s="9"/>
      <c r="MY889" s="9"/>
      <c r="MZ889" s="9"/>
      <c r="NA889" s="9"/>
      <c r="NB889" s="9"/>
      <c r="NC889" s="9"/>
      <c r="ND889" s="9"/>
      <c r="NE889" s="9"/>
      <c r="NF889" s="9"/>
      <c r="NG889" s="9"/>
      <c r="NH889" s="9"/>
      <c r="NI889" s="9"/>
      <c r="NJ889" s="9"/>
      <c r="NK889" s="9"/>
      <c r="NL889" s="9"/>
      <c r="NM889" s="9"/>
      <c r="NN889" s="9"/>
      <c r="NO889" s="9"/>
      <c r="NP889" s="9"/>
      <c r="NQ889" s="9"/>
      <c r="NR889" s="9"/>
      <c r="NS889" s="9"/>
      <c r="NT889" s="9"/>
      <c r="NU889" s="9"/>
      <c r="NV889" s="9"/>
      <c r="NW889" s="9"/>
      <c r="NX889" s="9"/>
      <c r="NY889" s="9"/>
      <c r="NZ889" s="9"/>
      <c r="OA889" s="9"/>
      <c r="OB889" s="9"/>
      <c r="OC889" s="9"/>
      <c r="OD889" s="9"/>
      <c r="OE889" s="9"/>
      <c r="OF889" s="9"/>
      <c r="OG889" s="9"/>
      <c r="OH889" s="9"/>
      <c r="OI889" s="9"/>
      <c r="OJ889" s="9"/>
      <c r="OK889" s="9"/>
      <c r="OL889" s="9"/>
      <c r="OM889" s="9"/>
      <c r="ON889" s="9"/>
      <c r="OO889" s="9"/>
      <c r="OP889" s="9"/>
      <c r="OQ889" s="9"/>
      <c r="OR889" s="9"/>
      <c r="OS889" s="9"/>
      <c r="OT889" s="9"/>
      <c r="OU889" s="9"/>
      <c r="OV889" s="9"/>
      <c r="OW889" s="9"/>
      <c r="OX889" s="9"/>
      <c r="OY889" s="9"/>
      <c r="OZ889" s="9"/>
      <c r="PA889" s="9"/>
      <c r="PB889" s="9"/>
      <c r="PC889" s="9"/>
      <c r="PD889" s="9"/>
      <c r="PE889" s="9"/>
      <c r="PF889" s="9"/>
      <c r="PG889" s="9"/>
      <c r="PH889" s="9"/>
      <c r="PI889" s="9"/>
      <c r="PJ889" s="9"/>
      <c r="PK889" s="9"/>
      <c r="PL889" s="9"/>
      <c r="PM889" s="9"/>
      <c r="PN889" s="9"/>
      <c r="PO889" s="9"/>
      <c r="PP889" s="9"/>
      <c r="PQ889" s="9"/>
      <c r="PR889" s="9"/>
      <c r="PS889" s="9"/>
      <c r="PT889" s="9"/>
      <c r="PU889" s="9"/>
      <c r="PV889" s="9"/>
      <c r="PW889" s="9"/>
      <c r="PX889" s="9"/>
      <c r="PY889" s="9"/>
      <c r="PZ889" s="9"/>
      <c r="QA889" s="9"/>
      <c r="QB889" s="9"/>
      <c r="QC889" s="9"/>
      <c r="QD889" s="9"/>
      <c r="QE889" s="9"/>
      <c r="QF889" s="9"/>
      <c r="QG889" s="9"/>
      <c r="QH889" s="9"/>
      <c r="QI889" s="9"/>
      <c r="QJ889" s="9"/>
      <c r="QK889" s="9"/>
      <c r="QL889" s="9"/>
      <c r="QM889" s="9"/>
      <c r="QN889" s="9"/>
      <c r="QO889" s="9"/>
      <c r="QP889" s="9"/>
      <c r="QQ889" s="9"/>
      <c r="QR889" s="9"/>
      <c r="QS889" s="9"/>
      <c r="QT889" s="9"/>
      <c r="QU889" s="9"/>
      <c r="QV889" s="9"/>
      <c r="QW889" s="9"/>
      <c r="QX889" s="9"/>
      <c r="QY889" s="9"/>
      <c r="QZ889" s="9"/>
      <c r="RA889" s="9"/>
      <c r="RB889" s="9"/>
      <c r="RC889" s="9"/>
      <c r="RD889" s="9"/>
      <c r="RE889" s="9"/>
      <c r="RF889" s="9"/>
      <c r="RG889" s="9"/>
      <c r="RH889" s="9"/>
      <c r="RI889" s="9"/>
      <c r="RJ889" s="9"/>
      <c r="RK889" s="9"/>
      <c r="RL889" s="9"/>
      <c r="RM889" s="9"/>
      <c r="RN889" s="9"/>
      <c r="RO889" s="9"/>
      <c r="RP889" s="9"/>
      <c r="RQ889" s="9"/>
      <c r="RR889" s="9"/>
      <c r="RS889" s="9"/>
      <c r="RT889" s="9"/>
      <c r="RU889" s="9"/>
      <c r="RV889" s="9"/>
      <c r="RW889" s="9"/>
      <c r="RX889" s="9"/>
      <c r="RY889" s="9"/>
      <c r="RZ889" s="9"/>
      <c r="SA889" s="9"/>
      <c r="SB889" s="9"/>
      <c r="SC889" s="9"/>
      <c r="SD889" s="9"/>
      <c r="SE889" s="9"/>
      <c r="SF889" s="9"/>
      <c r="SG889" s="9"/>
      <c r="SH889" s="9"/>
      <c r="SI889" s="9"/>
      <c r="SJ889" s="9"/>
      <c r="SK889" s="9"/>
      <c r="SL889" s="9"/>
      <c r="SM889" s="9"/>
      <c r="SN889" s="9"/>
      <c r="SO889" s="9"/>
      <c r="SP889" s="9"/>
      <c r="SQ889" s="9"/>
      <c r="SR889" s="9"/>
      <c r="SS889" s="9"/>
      <c r="ST889" s="9"/>
      <c r="SU889" s="9"/>
      <c r="SV889" s="9"/>
      <c r="SW889" s="9"/>
      <c r="SX889" s="9"/>
      <c r="SY889" s="9"/>
      <c r="SZ889" s="9"/>
      <c r="TA889" s="9"/>
      <c r="TB889" s="9"/>
      <c r="TC889" s="9"/>
      <c r="TD889" s="9"/>
      <c r="TE889" s="9"/>
      <c r="TF889" s="9"/>
      <c r="TG889" s="9"/>
      <c r="TH889" s="9"/>
      <c r="TI889" s="9"/>
      <c r="TJ889" s="9"/>
      <c r="TK889" s="9"/>
      <c r="TL889" s="9"/>
      <c r="TM889" s="9"/>
      <c r="TN889" s="9"/>
      <c r="TO889" s="9"/>
      <c r="TP889" s="9"/>
      <c r="TQ889" s="9"/>
      <c r="TR889" s="9"/>
      <c r="TS889" s="9"/>
      <c r="TT889" s="9"/>
      <c r="TU889" s="9"/>
      <c r="TV889" s="9"/>
      <c r="TW889" s="9"/>
      <c r="TX889" s="9"/>
      <c r="TY889" s="9"/>
      <c r="TZ889" s="9"/>
      <c r="UA889" s="9"/>
      <c r="UB889" s="9"/>
      <c r="UC889" s="9"/>
      <c r="UD889" s="9"/>
      <c r="UE889" s="9"/>
      <c r="UF889" s="9"/>
      <c r="UG889" s="9"/>
      <c r="UH889" s="9"/>
      <c r="UI889" s="9"/>
      <c r="UJ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9"/>
      <c r="FS890" s="9"/>
      <c r="FT890" s="9"/>
      <c r="FU890" s="9"/>
      <c r="FV890" s="9"/>
      <c r="FW890" s="9"/>
      <c r="FX890" s="9"/>
      <c r="FY890" s="9"/>
      <c r="FZ890" s="9"/>
      <c r="GA890" s="9"/>
      <c r="GB890" s="9"/>
      <c r="GC890" s="9"/>
      <c r="GD890" s="9"/>
      <c r="GE890" s="9"/>
      <c r="GF890" s="9"/>
      <c r="GG890" s="9"/>
      <c r="GH890" s="9"/>
      <c r="GI890" s="9"/>
      <c r="GJ890" s="9"/>
      <c r="GK890" s="9"/>
      <c r="GL890" s="9"/>
      <c r="GM890" s="9"/>
      <c r="GN890" s="9"/>
      <c r="GO890" s="9"/>
      <c r="GP890" s="9"/>
      <c r="GQ890" s="9"/>
      <c r="GR890" s="9"/>
      <c r="GS890" s="9"/>
      <c r="GT890" s="9"/>
      <c r="GU890" s="9"/>
      <c r="GV890" s="9"/>
      <c r="GW890" s="9"/>
      <c r="GX890" s="9"/>
      <c r="GY890" s="9"/>
      <c r="GZ890" s="9"/>
      <c r="HA890" s="9"/>
      <c r="HB890" s="9"/>
      <c r="HC890" s="9"/>
      <c r="HD890" s="9"/>
      <c r="HE890" s="9"/>
      <c r="HF890" s="9"/>
      <c r="HG890" s="9"/>
      <c r="HH890" s="9"/>
      <c r="HI890" s="9"/>
      <c r="HJ890" s="9"/>
      <c r="HK890" s="9"/>
      <c r="HL890" s="9"/>
      <c r="HM890" s="9"/>
      <c r="HN890" s="9"/>
      <c r="HO890" s="9"/>
      <c r="HP890" s="9"/>
      <c r="HQ890" s="9"/>
      <c r="HR890" s="9"/>
      <c r="HS890" s="9"/>
      <c r="HT890" s="9"/>
      <c r="HU890" s="9"/>
      <c r="HV890" s="9"/>
      <c r="HW890" s="9"/>
      <c r="HX890" s="9"/>
      <c r="HY890" s="9"/>
      <c r="HZ890" s="9"/>
      <c r="IA890" s="9"/>
      <c r="IB890" s="9"/>
      <c r="IC890" s="9"/>
      <c r="ID890" s="9"/>
      <c r="IE890" s="9"/>
      <c r="IF890" s="9"/>
      <c r="IG890" s="9"/>
      <c r="IH890" s="9"/>
      <c r="II890" s="9"/>
      <c r="IJ890" s="9"/>
      <c r="IK890" s="9"/>
      <c r="IL890" s="9"/>
      <c r="IM890" s="9"/>
      <c r="IN890" s="9"/>
      <c r="IO890" s="9"/>
      <c r="IP890" s="9"/>
      <c r="IQ890" s="9"/>
      <c r="IR890" s="9"/>
      <c r="IS890" s="9"/>
      <c r="IT890" s="9"/>
      <c r="IU890" s="9"/>
      <c r="IV890" s="9"/>
      <c r="IW890" s="9"/>
      <c r="IX890" s="9"/>
      <c r="IY890" s="9"/>
      <c r="IZ890" s="9"/>
      <c r="JA890" s="9"/>
      <c r="JB890" s="9"/>
      <c r="JC890" s="9"/>
      <c r="JD890" s="9"/>
      <c r="JE890" s="9"/>
      <c r="JF890" s="9"/>
      <c r="JG890" s="9"/>
      <c r="JH890" s="9"/>
      <c r="JI890" s="9"/>
      <c r="JJ890" s="9"/>
      <c r="JK890" s="9"/>
      <c r="JL890" s="9"/>
      <c r="JM890" s="9"/>
      <c r="JN890" s="9"/>
      <c r="JO890" s="9"/>
      <c r="JP890" s="9"/>
      <c r="JQ890" s="9"/>
      <c r="JR890" s="9"/>
      <c r="JS890" s="9"/>
      <c r="JT890" s="9"/>
      <c r="JU890" s="9"/>
      <c r="JV890" s="9"/>
      <c r="JW890" s="9"/>
      <c r="JX890" s="9"/>
      <c r="JY890" s="9"/>
      <c r="JZ890" s="9"/>
      <c r="KA890" s="9"/>
      <c r="KB890" s="9"/>
      <c r="KC890" s="9"/>
      <c r="KD890" s="9"/>
      <c r="KE890" s="9"/>
      <c r="KF890" s="9"/>
      <c r="KG890" s="9"/>
      <c r="KH890" s="9"/>
      <c r="KI890" s="9"/>
      <c r="KJ890" s="9"/>
      <c r="KK890" s="9"/>
      <c r="KL890" s="9"/>
      <c r="KM890" s="9"/>
      <c r="KN890" s="9"/>
      <c r="KO890" s="9"/>
      <c r="KP890" s="9"/>
      <c r="KQ890" s="9"/>
      <c r="KR890" s="9"/>
      <c r="KS890" s="9"/>
      <c r="KT890" s="9"/>
      <c r="KU890" s="9"/>
      <c r="KV890" s="9"/>
      <c r="KW890" s="9"/>
      <c r="KX890" s="9"/>
      <c r="KY890" s="9"/>
      <c r="KZ890" s="9"/>
      <c r="LA890" s="9"/>
      <c r="LB890" s="9"/>
      <c r="LC890" s="9"/>
      <c r="LD890" s="9"/>
      <c r="LE890" s="9"/>
      <c r="LF890" s="9"/>
      <c r="LG890" s="9"/>
      <c r="LH890" s="9"/>
      <c r="LI890" s="9"/>
      <c r="LJ890" s="9"/>
      <c r="LK890" s="9"/>
      <c r="LL890" s="9"/>
      <c r="LM890" s="9"/>
      <c r="LN890" s="9"/>
      <c r="LO890" s="9"/>
      <c r="LP890" s="9"/>
      <c r="LQ890" s="9"/>
      <c r="LR890" s="9"/>
      <c r="LS890" s="9"/>
      <c r="LT890" s="9"/>
      <c r="LU890" s="9"/>
      <c r="LV890" s="9"/>
      <c r="LW890" s="9"/>
      <c r="LX890" s="9"/>
      <c r="LY890" s="9"/>
      <c r="LZ890" s="9"/>
      <c r="MA890" s="9"/>
      <c r="MB890" s="9"/>
      <c r="MC890" s="9"/>
      <c r="MD890" s="9"/>
      <c r="ME890" s="9"/>
      <c r="MF890" s="9"/>
      <c r="MG890" s="9"/>
      <c r="MH890" s="9"/>
      <c r="MI890" s="9"/>
      <c r="MJ890" s="9"/>
      <c r="MK890" s="9"/>
      <c r="ML890" s="9"/>
      <c r="MM890" s="9"/>
      <c r="MN890" s="9"/>
      <c r="MO890" s="9"/>
      <c r="MP890" s="9"/>
      <c r="MQ890" s="9"/>
      <c r="MR890" s="9"/>
      <c r="MS890" s="9"/>
      <c r="MT890" s="9"/>
      <c r="MU890" s="9"/>
      <c r="MV890" s="9"/>
      <c r="MW890" s="9"/>
      <c r="MX890" s="9"/>
      <c r="MY890" s="9"/>
      <c r="MZ890" s="9"/>
      <c r="NA890" s="9"/>
      <c r="NB890" s="9"/>
      <c r="NC890" s="9"/>
      <c r="ND890" s="9"/>
      <c r="NE890" s="9"/>
      <c r="NF890" s="9"/>
      <c r="NG890" s="9"/>
      <c r="NH890" s="9"/>
      <c r="NI890" s="9"/>
      <c r="NJ890" s="9"/>
      <c r="NK890" s="9"/>
      <c r="NL890" s="9"/>
      <c r="NM890" s="9"/>
      <c r="NN890" s="9"/>
      <c r="NO890" s="9"/>
      <c r="NP890" s="9"/>
      <c r="NQ890" s="9"/>
      <c r="NR890" s="9"/>
      <c r="NS890" s="9"/>
      <c r="NT890" s="9"/>
      <c r="NU890" s="9"/>
      <c r="NV890" s="9"/>
      <c r="NW890" s="9"/>
      <c r="NX890" s="9"/>
      <c r="NY890" s="9"/>
      <c r="NZ890" s="9"/>
      <c r="OA890" s="9"/>
      <c r="OB890" s="9"/>
      <c r="OC890" s="9"/>
      <c r="OD890" s="9"/>
      <c r="OE890" s="9"/>
      <c r="OF890" s="9"/>
      <c r="OG890" s="9"/>
      <c r="OH890" s="9"/>
      <c r="OI890" s="9"/>
      <c r="OJ890" s="9"/>
      <c r="OK890" s="9"/>
      <c r="OL890" s="9"/>
      <c r="OM890" s="9"/>
      <c r="ON890" s="9"/>
      <c r="OO890" s="9"/>
      <c r="OP890" s="9"/>
      <c r="OQ890" s="9"/>
      <c r="OR890" s="9"/>
      <c r="OS890" s="9"/>
      <c r="OT890" s="9"/>
      <c r="OU890" s="9"/>
      <c r="OV890" s="9"/>
      <c r="OW890" s="9"/>
      <c r="OX890" s="9"/>
      <c r="OY890" s="9"/>
      <c r="OZ890" s="9"/>
      <c r="PA890" s="9"/>
      <c r="PB890" s="9"/>
      <c r="PC890" s="9"/>
      <c r="PD890" s="9"/>
      <c r="PE890" s="9"/>
      <c r="PF890" s="9"/>
      <c r="PG890" s="9"/>
      <c r="PH890" s="9"/>
      <c r="PI890" s="9"/>
      <c r="PJ890" s="9"/>
      <c r="PK890" s="9"/>
      <c r="PL890" s="9"/>
      <c r="PM890" s="9"/>
      <c r="PN890" s="9"/>
      <c r="PO890" s="9"/>
      <c r="PP890" s="9"/>
      <c r="PQ890" s="9"/>
      <c r="PR890" s="9"/>
      <c r="PS890" s="9"/>
      <c r="PT890" s="9"/>
      <c r="PU890" s="9"/>
      <c r="PV890" s="9"/>
      <c r="PW890" s="9"/>
      <c r="PX890" s="9"/>
      <c r="PY890" s="9"/>
      <c r="PZ890" s="9"/>
      <c r="QA890" s="9"/>
      <c r="QB890" s="9"/>
      <c r="QC890" s="9"/>
      <c r="QD890" s="9"/>
      <c r="QE890" s="9"/>
      <c r="QF890" s="9"/>
      <c r="QG890" s="9"/>
      <c r="QH890" s="9"/>
      <c r="QI890" s="9"/>
      <c r="QJ890" s="9"/>
      <c r="QK890" s="9"/>
      <c r="QL890" s="9"/>
      <c r="QM890" s="9"/>
      <c r="QN890" s="9"/>
      <c r="QO890" s="9"/>
      <c r="QP890" s="9"/>
      <c r="QQ890" s="9"/>
      <c r="QR890" s="9"/>
      <c r="QS890" s="9"/>
      <c r="QT890" s="9"/>
      <c r="QU890" s="9"/>
      <c r="QV890" s="9"/>
      <c r="QW890" s="9"/>
      <c r="QX890" s="9"/>
      <c r="QY890" s="9"/>
      <c r="QZ890" s="9"/>
      <c r="RA890" s="9"/>
      <c r="RB890" s="9"/>
      <c r="RC890" s="9"/>
      <c r="RD890" s="9"/>
      <c r="RE890" s="9"/>
      <c r="RF890" s="9"/>
      <c r="RG890" s="9"/>
      <c r="RH890" s="9"/>
      <c r="RI890" s="9"/>
      <c r="RJ890" s="9"/>
      <c r="RK890" s="9"/>
      <c r="RL890" s="9"/>
      <c r="RM890" s="9"/>
      <c r="RN890" s="9"/>
      <c r="RO890" s="9"/>
      <c r="RP890" s="9"/>
      <c r="RQ890" s="9"/>
      <c r="RR890" s="9"/>
      <c r="RS890" s="9"/>
      <c r="RT890" s="9"/>
      <c r="RU890" s="9"/>
      <c r="RV890" s="9"/>
      <c r="RW890" s="9"/>
      <c r="RX890" s="9"/>
      <c r="RY890" s="9"/>
      <c r="RZ890" s="9"/>
      <c r="SA890" s="9"/>
      <c r="SB890" s="9"/>
      <c r="SC890" s="9"/>
      <c r="SD890" s="9"/>
      <c r="SE890" s="9"/>
      <c r="SF890" s="9"/>
      <c r="SG890" s="9"/>
      <c r="SH890" s="9"/>
      <c r="SI890" s="9"/>
      <c r="SJ890" s="9"/>
      <c r="SK890" s="9"/>
      <c r="SL890" s="9"/>
      <c r="SM890" s="9"/>
      <c r="SN890" s="9"/>
      <c r="SO890" s="9"/>
      <c r="SP890" s="9"/>
      <c r="SQ890" s="9"/>
      <c r="SR890" s="9"/>
      <c r="SS890" s="9"/>
      <c r="ST890" s="9"/>
      <c r="SU890" s="9"/>
      <c r="SV890" s="9"/>
      <c r="SW890" s="9"/>
      <c r="SX890" s="9"/>
      <c r="SY890" s="9"/>
      <c r="SZ890" s="9"/>
      <c r="TA890" s="9"/>
      <c r="TB890" s="9"/>
      <c r="TC890" s="9"/>
      <c r="TD890" s="9"/>
      <c r="TE890" s="9"/>
      <c r="TF890" s="9"/>
      <c r="TG890" s="9"/>
      <c r="TH890" s="9"/>
      <c r="TI890" s="9"/>
      <c r="TJ890" s="9"/>
      <c r="TK890" s="9"/>
      <c r="TL890" s="9"/>
      <c r="TM890" s="9"/>
      <c r="TN890" s="9"/>
      <c r="TO890" s="9"/>
      <c r="TP890" s="9"/>
      <c r="TQ890" s="9"/>
      <c r="TR890" s="9"/>
      <c r="TS890" s="9"/>
      <c r="TT890" s="9"/>
      <c r="TU890" s="9"/>
      <c r="TV890" s="9"/>
      <c r="TW890" s="9"/>
      <c r="TX890" s="9"/>
      <c r="TY890" s="9"/>
      <c r="TZ890" s="9"/>
      <c r="UA890" s="9"/>
      <c r="UB890" s="9"/>
      <c r="UC890" s="9"/>
      <c r="UD890" s="9"/>
      <c r="UE890" s="9"/>
      <c r="UF890" s="9"/>
      <c r="UG890" s="9"/>
      <c r="UH890" s="9"/>
      <c r="UI890" s="9"/>
      <c r="UJ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9"/>
      <c r="GH891" s="9"/>
      <c r="GI891" s="9"/>
      <c r="GJ891" s="9"/>
      <c r="GK891" s="9"/>
      <c r="GL891" s="9"/>
      <c r="GM891" s="9"/>
      <c r="GN891" s="9"/>
      <c r="GO891" s="9"/>
      <c r="GP891" s="9"/>
      <c r="GQ891" s="9"/>
      <c r="GR891" s="9"/>
      <c r="GS891" s="9"/>
      <c r="GT891" s="9"/>
      <c r="GU891" s="9"/>
      <c r="GV891" s="9"/>
      <c r="GW891" s="9"/>
      <c r="GX891" s="9"/>
      <c r="GY891" s="9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  <c r="HO891" s="9"/>
      <c r="HP891" s="9"/>
      <c r="HQ891" s="9"/>
      <c r="HR891" s="9"/>
      <c r="HS891" s="9"/>
      <c r="HT891" s="9"/>
      <c r="HU891" s="9"/>
      <c r="HV891" s="9"/>
      <c r="HW891" s="9"/>
      <c r="HX891" s="9"/>
      <c r="HY891" s="9"/>
      <c r="HZ891" s="9"/>
      <c r="IA891" s="9"/>
      <c r="IB891" s="9"/>
      <c r="IC891" s="9"/>
      <c r="ID891" s="9"/>
      <c r="IE891" s="9"/>
      <c r="IF891" s="9"/>
      <c r="IG891" s="9"/>
      <c r="IH891" s="9"/>
      <c r="II891" s="9"/>
      <c r="IJ891" s="9"/>
      <c r="IK891" s="9"/>
      <c r="IL891" s="9"/>
      <c r="IM891" s="9"/>
      <c r="IN891" s="9"/>
      <c r="IO891" s="9"/>
      <c r="IP891" s="9"/>
      <c r="IQ891" s="9"/>
      <c r="IR891" s="9"/>
      <c r="IS891" s="9"/>
      <c r="IT891" s="9"/>
      <c r="IU891" s="9"/>
      <c r="IV891" s="9"/>
      <c r="IW891" s="9"/>
      <c r="IX891" s="9"/>
      <c r="IY891" s="9"/>
      <c r="IZ891" s="9"/>
      <c r="JA891" s="9"/>
      <c r="JB891" s="9"/>
      <c r="JC891" s="9"/>
      <c r="JD891" s="9"/>
      <c r="JE891" s="9"/>
      <c r="JF891" s="9"/>
      <c r="JG891" s="9"/>
      <c r="JH891" s="9"/>
      <c r="JI891" s="9"/>
      <c r="JJ891" s="9"/>
      <c r="JK891" s="9"/>
      <c r="JL891" s="9"/>
      <c r="JM891" s="9"/>
      <c r="JN891" s="9"/>
      <c r="JO891" s="9"/>
      <c r="JP891" s="9"/>
      <c r="JQ891" s="9"/>
      <c r="JR891" s="9"/>
      <c r="JS891" s="9"/>
      <c r="JT891" s="9"/>
      <c r="JU891" s="9"/>
      <c r="JV891" s="9"/>
      <c r="JW891" s="9"/>
      <c r="JX891" s="9"/>
      <c r="JY891" s="9"/>
      <c r="JZ891" s="9"/>
      <c r="KA891" s="9"/>
      <c r="KB891" s="9"/>
      <c r="KC891" s="9"/>
      <c r="KD891" s="9"/>
      <c r="KE891" s="9"/>
      <c r="KF891" s="9"/>
      <c r="KG891" s="9"/>
      <c r="KH891" s="9"/>
      <c r="KI891" s="9"/>
      <c r="KJ891" s="9"/>
      <c r="KK891" s="9"/>
      <c r="KL891" s="9"/>
      <c r="KM891" s="9"/>
      <c r="KN891" s="9"/>
      <c r="KO891" s="9"/>
      <c r="KP891" s="9"/>
      <c r="KQ891" s="9"/>
      <c r="KR891" s="9"/>
      <c r="KS891" s="9"/>
      <c r="KT891" s="9"/>
      <c r="KU891" s="9"/>
      <c r="KV891" s="9"/>
      <c r="KW891" s="9"/>
      <c r="KX891" s="9"/>
      <c r="KY891" s="9"/>
      <c r="KZ891" s="9"/>
      <c r="LA891" s="9"/>
      <c r="LB891" s="9"/>
      <c r="LC891" s="9"/>
      <c r="LD891" s="9"/>
      <c r="LE891" s="9"/>
      <c r="LF891" s="9"/>
      <c r="LG891" s="9"/>
      <c r="LH891" s="9"/>
      <c r="LI891" s="9"/>
      <c r="LJ891" s="9"/>
      <c r="LK891" s="9"/>
      <c r="LL891" s="9"/>
      <c r="LM891" s="9"/>
      <c r="LN891" s="9"/>
      <c r="LO891" s="9"/>
      <c r="LP891" s="9"/>
      <c r="LQ891" s="9"/>
      <c r="LR891" s="9"/>
      <c r="LS891" s="9"/>
      <c r="LT891" s="9"/>
      <c r="LU891" s="9"/>
      <c r="LV891" s="9"/>
      <c r="LW891" s="9"/>
      <c r="LX891" s="9"/>
      <c r="LY891" s="9"/>
      <c r="LZ891" s="9"/>
      <c r="MA891" s="9"/>
      <c r="MB891" s="9"/>
      <c r="MC891" s="9"/>
      <c r="MD891" s="9"/>
      <c r="ME891" s="9"/>
      <c r="MF891" s="9"/>
      <c r="MG891" s="9"/>
      <c r="MH891" s="9"/>
      <c r="MI891" s="9"/>
      <c r="MJ891" s="9"/>
      <c r="MK891" s="9"/>
      <c r="ML891" s="9"/>
      <c r="MM891" s="9"/>
      <c r="MN891" s="9"/>
      <c r="MO891" s="9"/>
      <c r="MP891" s="9"/>
      <c r="MQ891" s="9"/>
      <c r="MR891" s="9"/>
      <c r="MS891" s="9"/>
      <c r="MT891" s="9"/>
      <c r="MU891" s="9"/>
      <c r="MV891" s="9"/>
      <c r="MW891" s="9"/>
      <c r="MX891" s="9"/>
      <c r="MY891" s="9"/>
      <c r="MZ891" s="9"/>
      <c r="NA891" s="9"/>
      <c r="NB891" s="9"/>
      <c r="NC891" s="9"/>
      <c r="ND891" s="9"/>
      <c r="NE891" s="9"/>
      <c r="NF891" s="9"/>
      <c r="NG891" s="9"/>
      <c r="NH891" s="9"/>
      <c r="NI891" s="9"/>
      <c r="NJ891" s="9"/>
      <c r="NK891" s="9"/>
      <c r="NL891" s="9"/>
      <c r="NM891" s="9"/>
      <c r="NN891" s="9"/>
      <c r="NO891" s="9"/>
      <c r="NP891" s="9"/>
      <c r="NQ891" s="9"/>
      <c r="NR891" s="9"/>
      <c r="NS891" s="9"/>
      <c r="NT891" s="9"/>
      <c r="NU891" s="9"/>
      <c r="NV891" s="9"/>
      <c r="NW891" s="9"/>
      <c r="NX891" s="9"/>
      <c r="NY891" s="9"/>
      <c r="NZ891" s="9"/>
      <c r="OA891" s="9"/>
      <c r="OB891" s="9"/>
      <c r="OC891" s="9"/>
      <c r="OD891" s="9"/>
      <c r="OE891" s="9"/>
      <c r="OF891" s="9"/>
      <c r="OG891" s="9"/>
      <c r="OH891" s="9"/>
      <c r="OI891" s="9"/>
      <c r="OJ891" s="9"/>
      <c r="OK891" s="9"/>
      <c r="OL891" s="9"/>
      <c r="OM891" s="9"/>
      <c r="ON891" s="9"/>
      <c r="OO891" s="9"/>
      <c r="OP891" s="9"/>
      <c r="OQ891" s="9"/>
      <c r="OR891" s="9"/>
      <c r="OS891" s="9"/>
      <c r="OT891" s="9"/>
      <c r="OU891" s="9"/>
      <c r="OV891" s="9"/>
      <c r="OW891" s="9"/>
      <c r="OX891" s="9"/>
      <c r="OY891" s="9"/>
      <c r="OZ891" s="9"/>
      <c r="PA891" s="9"/>
      <c r="PB891" s="9"/>
      <c r="PC891" s="9"/>
      <c r="PD891" s="9"/>
      <c r="PE891" s="9"/>
      <c r="PF891" s="9"/>
      <c r="PG891" s="9"/>
      <c r="PH891" s="9"/>
      <c r="PI891" s="9"/>
      <c r="PJ891" s="9"/>
      <c r="PK891" s="9"/>
      <c r="PL891" s="9"/>
      <c r="PM891" s="9"/>
      <c r="PN891" s="9"/>
      <c r="PO891" s="9"/>
      <c r="PP891" s="9"/>
      <c r="PQ891" s="9"/>
      <c r="PR891" s="9"/>
      <c r="PS891" s="9"/>
      <c r="PT891" s="9"/>
      <c r="PU891" s="9"/>
      <c r="PV891" s="9"/>
      <c r="PW891" s="9"/>
      <c r="PX891" s="9"/>
      <c r="PY891" s="9"/>
      <c r="PZ891" s="9"/>
      <c r="QA891" s="9"/>
      <c r="QB891" s="9"/>
      <c r="QC891" s="9"/>
      <c r="QD891" s="9"/>
      <c r="QE891" s="9"/>
      <c r="QF891" s="9"/>
      <c r="QG891" s="9"/>
      <c r="QH891" s="9"/>
      <c r="QI891" s="9"/>
      <c r="QJ891" s="9"/>
      <c r="QK891" s="9"/>
      <c r="QL891" s="9"/>
      <c r="QM891" s="9"/>
      <c r="QN891" s="9"/>
      <c r="QO891" s="9"/>
      <c r="QP891" s="9"/>
      <c r="QQ891" s="9"/>
      <c r="QR891" s="9"/>
      <c r="QS891" s="9"/>
      <c r="QT891" s="9"/>
      <c r="QU891" s="9"/>
      <c r="QV891" s="9"/>
      <c r="QW891" s="9"/>
      <c r="QX891" s="9"/>
      <c r="QY891" s="9"/>
      <c r="QZ891" s="9"/>
      <c r="RA891" s="9"/>
      <c r="RB891" s="9"/>
      <c r="RC891" s="9"/>
      <c r="RD891" s="9"/>
      <c r="RE891" s="9"/>
      <c r="RF891" s="9"/>
      <c r="RG891" s="9"/>
      <c r="RH891" s="9"/>
      <c r="RI891" s="9"/>
      <c r="RJ891" s="9"/>
      <c r="RK891" s="9"/>
      <c r="RL891" s="9"/>
      <c r="RM891" s="9"/>
      <c r="RN891" s="9"/>
      <c r="RO891" s="9"/>
      <c r="RP891" s="9"/>
      <c r="RQ891" s="9"/>
      <c r="RR891" s="9"/>
      <c r="RS891" s="9"/>
      <c r="RT891" s="9"/>
      <c r="RU891" s="9"/>
      <c r="RV891" s="9"/>
      <c r="RW891" s="9"/>
      <c r="RX891" s="9"/>
      <c r="RY891" s="9"/>
      <c r="RZ891" s="9"/>
      <c r="SA891" s="9"/>
      <c r="SB891" s="9"/>
      <c r="SC891" s="9"/>
      <c r="SD891" s="9"/>
      <c r="SE891" s="9"/>
      <c r="SF891" s="9"/>
      <c r="SG891" s="9"/>
      <c r="SH891" s="9"/>
      <c r="SI891" s="9"/>
      <c r="SJ891" s="9"/>
      <c r="SK891" s="9"/>
      <c r="SL891" s="9"/>
      <c r="SM891" s="9"/>
      <c r="SN891" s="9"/>
      <c r="SO891" s="9"/>
      <c r="SP891" s="9"/>
      <c r="SQ891" s="9"/>
      <c r="SR891" s="9"/>
      <c r="SS891" s="9"/>
      <c r="ST891" s="9"/>
      <c r="SU891" s="9"/>
      <c r="SV891" s="9"/>
      <c r="SW891" s="9"/>
      <c r="SX891" s="9"/>
      <c r="SY891" s="9"/>
      <c r="SZ891" s="9"/>
      <c r="TA891" s="9"/>
      <c r="TB891" s="9"/>
      <c r="TC891" s="9"/>
      <c r="TD891" s="9"/>
      <c r="TE891" s="9"/>
      <c r="TF891" s="9"/>
      <c r="TG891" s="9"/>
      <c r="TH891" s="9"/>
      <c r="TI891" s="9"/>
      <c r="TJ891" s="9"/>
      <c r="TK891" s="9"/>
      <c r="TL891" s="9"/>
      <c r="TM891" s="9"/>
      <c r="TN891" s="9"/>
      <c r="TO891" s="9"/>
      <c r="TP891" s="9"/>
      <c r="TQ891" s="9"/>
      <c r="TR891" s="9"/>
      <c r="TS891" s="9"/>
      <c r="TT891" s="9"/>
      <c r="TU891" s="9"/>
      <c r="TV891" s="9"/>
      <c r="TW891" s="9"/>
      <c r="TX891" s="9"/>
      <c r="TY891" s="9"/>
      <c r="TZ891" s="9"/>
      <c r="UA891" s="9"/>
      <c r="UB891" s="9"/>
      <c r="UC891" s="9"/>
      <c r="UD891" s="9"/>
      <c r="UE891" s="9"/>
      <c r="UF891" s="9"/>
      <c r="UG891" s="9"/>
      <c r="UH891" s="9"/>
      <c r="UI891" s="9"/>
      <c r="UJ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  <c r="GA892" s="9"/>
      <c r="GB892" s="9"/>
      <c r="GC892" s="9"/>
      <c r="GD892" s="9"/>
      <c r="GE892" s="9"/>
      <c r="GF892" s="9"/>
      <c r="GG892" s="9"/>
      <c r="GH892" s="9"/>
      <c r="GI892" s="9"/>
      <c r="GJ892" s="9"/>
      <c r="GK892" s="9"/>
      <c r="GL892" s="9"/>
      <c r="GM892" s="9"/>
      <c r="GN892" s="9"/>
      <c r="GO892" s="9"/>
      <c r="GP892" s="9"/>
      <c r="GQ892" s="9"/>
      <c r="GR892" s="9"/>
      <c r="GS892" s="9"/>
      <c r="GT892" s="9"/>
      <c r="GU892" s="9"/>
      <c r="GV892" s="9"/>
      <c r="GW892" s="9"/>
      <c r="GX892" s="9"/>
      <c r="GY892" s="9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  <c r="HO892" s="9"/>
      <c r="HP892" s="9"/>
      <c r="HQ892" s="9"/>
      <c r="HR892" s="9"/>
      <c r="HS892" s="9"/>
      <c r="HT892" s="9"/>
      <c r="HU892" s="9"/>
      <c r="HV892" s="9"/>
      <c r="HW892" s="9"/>
      <c r="HX892" s="9"/>
      <c r="HY892" s="9"/>
      <c r="HZ892" s="9"/>
      <c r="IA892" s="9"/>
      <c r="IB892" s="9"/>
      <c r="IC892" s="9"/>
      <c r="ID892" s="9"/>
      <c r="IE892" s="9"/>
      <c r="IF892" s="9"/>
      <c r="IG892" s="9"/>
      <c r="IH892" s="9"/>
      <c r="II892" s="9"/>
      <c r="IJ892" s="9"/>
      <c r="IK892" s="9"/>
      <c r="IL892" s="9"/>
      <c r="IM892" s="9"/>
      <c r="IN892" s="9"/>
      <c r="IO892" s="9"/>
      <c r="IP892" s="9"/>
      <c r="IQ892" s="9"/>
      <c r="IR892" s="9"/>
      <c r="IS892" s="9"/>
      <c r="IT892" s="9"/>
      <c r="IU892" s="9"/>
      <c r="IV892" s="9"/>
      <c r="IW892" s="9"/>
      <c r="IX892" s="9"/>
      <c r="IY892" s="9"/>
      <c r="IZ892" s="9"/>
      <c r="JA892" s="9"/>
      <c r="JB892" s="9"/>
      <c r="JC892" s="9"/>
      <c r="JD892" s="9"/>
      <c r="JE892" s="9"/>
      <c r="JF892" s="9"/>
      <c r="JG892" s="9"/>
      <c r="JH892" s="9"/>
      <c r="JI892" s="9"/>
      <c r="JJ892" s="9"/>
      <c r="JK892" s="9"/>
      <c r="JL892" s="9"/>
      <c r="JM892" s="9"/>
      <c r="JN892" s="9"/>
      <c r="JO892" s="9"/>
      <c r="JP892" s="9"/>
      <c r="JQ892" s="9"/>
      <c r="JR892" s="9"/>
      <c r="JS892" s="9"/>
      <c r="JT892" s="9"/>
      <c r="JU892" s="9"/>
      <c r="JV892" s="9"/>
      <c r="JW892" s="9"/>
      <c r="JX892" s="9"/>
      <c r="JY892" s="9"/>
      <c r="JZ892" s="9"/>
      <c r="KA892" s="9"/>
      <c r="KB892" s="9"/>
      <c r="KC892" s="9"/>
      <c r="KD892" s="9"/>
      <c r="KE892" s="9"/>
      <c r="KF892" s="9"/>
      <c r="KG892" s="9"/>
      <c r="KH892" s="9"/>
      <c r="KI892" s="9"/>
      <c r="KJ892" s="9"/>
      <c r="KK892" s="9"/>
      <c r="KL892" s="9"/>
      <c r="KM892" s="9"/>
      <c r="KN892" s="9"/>
      <c r="KO892" s="9"/>
      <c r="KP892" s="9"/>
      <c r="KQ892" s="9"/>
      <c r="KR892" s="9"/>
      <c r="KS892" s="9"/>
      <c r="KT892" s="9"/>
      <c r="KU892" s="9"/>
      <c r="KV892" s="9"/>
      <c r="KW892" s="9"/>
      <c r="KX892" s="9"/>
      <c r="KY892" s="9"/>
      <c r="KZ892" s="9"/>
      <c r="LA892" s="9"/>
      <c r="LB892" s="9"/>
      <c r="LC892" s="9"/>
      <c r="LD892" s="9"/>
      <c r="LE892" s="9"/>
      <c r="LF892" s="9"/>
      <c r="LG892" s="9"/>
      <c r="LH892" s="9"/>
      <c r="LI892" s="9"/>
      <c r="LJ892" s="9"/>
      <c r="LK892" s="9"/>
      <c r="LL892" s="9"/>
      <c r="LM892" s="9"/>
      <c r="LN892" s="9"/>
      <c r="LO892" s="9"/>
      <c r="LP892" s="9"/>
      <c r="LQ892" s="9"/>
      <c r="LR892" s="9"/>
      <c r="LS892" s="9"/>
      <c r="LT892" s="9"/>
      <c r="LU892" s="9"/>
      <c r="LV892" s="9"/>
      <c r="LW892" s="9"/>
      <c r="LX892" s="9"/>
      <c r="LY892" s="9"/>
      <c r="LZ892" s="9"/>
      <c r="MA892" s="9"/>
      <c r="MB892" s="9"/>
      <c r="MC892" s="9"/>
      <c r="MD892" s="9"/>
      <c r="ME892" s="9"/>
      <c r="MF892" s="9"/>
      <c r="MG892" s="9"/>
      <c r="MH892" s="9"/>
      <c r="MI892" s="9"/>
      <c r="MJ892" s="9"/>
      <c r="MK892" s="9"/>
      <c r="ML892" s="9"/>
      <c r="MM892" s="9"/>
      <c r="MN892" s="9"/>
      <c r="MO892" s="9"/>
      <c r="MP892" s="9"/>
      <c r="MQ892" s="9"/>
      <c r="MR892" s="9"/>
      <c r="MS892" s="9"/>
      <c r="MT892" s="9"/>
      <c r="MU892" s="9"/>
      <c r="MV892" s="9"/>
      <c r="MW892" s="9"/>
      <c r="MX892" s="9"/>
      <c r="MY892" s="9"/>
      <c r="MZ892" s="9"/>
      <c r="NA892" s="9"/>
      <c r="NB892" s="9"/>
      <c r="NC892" s="9"/>
      <c r="ND892" s="9"/>
      <c r="NE892" s="9"/>
      <c r="NF892" s="9"/>
      <c r="NG892" s="9"/>
      <c r="NH892" s="9"/>
      <c r="NI892" s="9"/>
      <c r="NJ892" s="9"/>
      <c r="NK892" s="9"/>
      <c r="NL892" s="9"/>
      <c r="NM892" s="9"/>
      <c r="NN892" s="9"/>
      <c r="NO892" s="9"/>
      <c r="NP892" s="9"/>
      <c r="NQ892" s="9"/>
      <c r="NR892" s="9"/>
      <c r="NS892" s="9"/>
      <c r="NT892" s="9"/>
      <c r="NU892" s="9"/>
      <c r="NV892" s="9"/>
      <c r="NW892" s="9"/>
      <c r="NX892" s="9"/>
      <c r="NY892" s="9"/>
      <c r="NZ892" s="9"/>
      <c r="OA892" s="9"/>
      <c r="OB892" s="9"/>
      <c r="OC892" s="9"/>
      <c r="OD892" s="9"/>
      <c r="OE892" s="9"/>
      <c r="OF892" s="9"/>
      <c r="OG892" s="9"/>
      <c r="OH892" s="9"/>
      <c r="OI892" s="9"/>
      <c r="OJ892" s="9"/>
      <c r="OK892" s="9"/>
      <c r="OL892" s="9"/>
      <c r="OM892" s="9"/>
      <c r="ON892" s="9"/>
      <c r="OO892" s="9"/>
      <c r="OP892" s="9"/>
      <c r="OQ892" s="9"/>
      <c r="OR892" s="9"/>
      <c r="OS892" s="9"/>
      <c r="OT892" s="9"/>
      <c r="OU892" s="9"/>
      <c r="OV892" s="9"/>
      <c r="OW892" s="9"/>
      <c r="OX892" s="9"/>
      <c r="OY892" s="9"/>
      <c r="OZ892" s="9"/>
      <c r="PA892" s="9"/>
      <c r="PB892" s="9"/>
      <c r="PC892" s="9"/>
      <c r="PD892" s="9"/>
      <c r="PE892" s="9"/>
      <c r="PF892" s="9"/>
      <c r="PG892" s="9"/>
      <c r="PH892" s="9"/>
      <c r="PI892" s="9"/>
      <c r="PJ892" s="9"/>
      <c r="PK892" s="9"/>
      <c r="PL892" s="9"/>
      <c r="PM892" s="9"/>
      <c r="PN892" s="9"/>
      <c r="PO892" s="9"/>
      <c r="PP892" s="9"/>
      <c r="PQ892" s="9"/>
      <c r="PR892" s="9"/>
      <c r="PS892" s="9"/>
      <c r="PT892" s="9"/>
      <c r="PU892" s="9"/>
      <c r="PV892" s="9"/>
      <c r="PW892" s="9"/>
      <c r="PX892" s="9"/>
      <c r="PY892" s="9"/>
      <c r="PZ892" s="9"/>
      <c r="QA892" s="9"/>
      <c r="QB892" s="9"/>
      <c r="QC892" s="9"/>
      <c r="QD892" s="9"/>
      <c r="QE892" s="9"/>
      <c r="QF892" s="9"/>
      <c r="QG892" s="9"/>
      <c r="QH892" s="9"/>
      <c r="QI892" s="9"/>
      <c r="QJ892" s="9"/>
      <c r="QK892" s="9"/>
      <c r="QL892" s="9"/>
      <c r="QM892" s="9"/>
      <c r="QN892" s="9"/>
      <c r="QO892" s="9"/>
      <c r="QP892" s="9"/>
      <c r="QQ892" s="9"/>
      <c r="QR892" s="9"/>
      <c r="QS892" s="9"/>
      <c r="QT892" s="9"/>
      <c r="QU892" s="9"/>
      <c r="QV892" s="9"/>
      <c r="QW892" s="9"/>
      <c r="QX892" s="9"/>
      <c r="QY892" s="9"/>
      <c r="QZ892" s="9"/>
      <c r="RA892" s="9"/>
      <c r="RB892" s="9"/>
      <c r="RC892" s="9"/>
      <c r="RD892" s="9"/>
      <c r="RE892" s="9"/>
      <c r="RF892" s="9"/>
      <c r="RG892" s="9"/>
      <c r="RH892" s="9"/>
      <c r="RI892" s="9"/>
      <c r="RJ892" s="9"/>
      <c r="RK892" s="9"/>
      <c r="RL892" s="9"/>
      <c r="RM892" s="9"/>
      <c r="RN892" s="9"/>
      <c r="RO892" s="9"/>
      <c r="RP892" s="9"/>
      <c r="RQ892" s="9"/>
      <c r="RR892" s="9"/>
      <c r="RS892" s="9"/>
      <c r="RT892" s="9"/>
      <c r="RU892" s="9"/>
      <c r="RV892" s="9"/>
      <c r="RW892" s="9"/>
      <c r="RX892" s="9"/>
      <c r="RY892" s="9"/>
      <c r="RZ892" s="9"/>
      <c r="SA892" s="9"/>
      <c r="SB892" s="9"/>
      <c r="SC892" s="9"/>
      <c r="SD892" s="9"/>
      <c r="SE892" s="9"/>
      <c r="SF892" s="9"/>
      <c r="SG892" s="9"/>
      <c r="SH892" s="9"/>
      <c r="SI892" s="9"/>
      <c r="SJ892" s="9"/>
      <c r="SK892" s="9"/>
      <c r="SL892" s="9"/>
      <c r="SM892" s="9"/>
      <c r="SN892" s="9"/>
      <c r="SO892" s="9"/>
      <c r="SP892" s="9"/>
      <c r="SQ892" s="9"/>
      <c r="SR892" s="9"/>
      <c r="SS892" s="9"/>
      <c r="ST892" s="9"/>
      <c r="SU892" s="9"/>
      <c r="SV892" s="9"/>
      <c r="SW892" s="9"/>
      <c r="SX892" s="9"/>
      <c r="SY892" s="9"/>
      <c r="SZ892" s="9"/>
      <c r="TA892" s="9"/>
      <c r="TB892" s="9"/>
      <c r="TC892" s="9"/>
      <c r="TD892" s="9"/>
      <c r="TE892" s="9"/>
      <c r="TF892" s="9"/>
      <c r="TG892" s="9"/>
      <c r="TH892" s="9"/>
      <c r="TI892" s="9"/>
      <c r="TJ892" s="9"/>
      <c r="TK892" s="9"/>
      <c r="TL892" s="9"/>
      <c r="TM892" s="9"/>
      <c r="TN892" s="9"/>
      <c r="TO892" s="9"/>
      <c r="TP892" s="9"/>
      <c r="TQ892" s="9"/>
      <c r="TR892" s="9"/>
      <c r="TS892" s="9"/>
      <c r="TT892" s="9"/>
      <c r="TU892" s="9"/>
      <c r="TV892" s="9"/>
      <c r="TW892" s="9"/>
      <c r="TX892" s="9"/>
      <c r="TY892" s="9"/>
      <c r="TZ892" s="9"/>
      <c r="UA892" s="9"/>
      <c r="UB892" s="9"/>
      <c r="UC892" s="9"/>
      <c r="UD892" s="9"/>
      <c r="UE892" s="9"/>
      <c r="UF892" s="9"/>
      <c r="UG892" s="9"/>
      <c r="UH892" s="9"/>
      <c r="UI892" s="9"/>
      <c r="UJ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9"/>
      <c r="GV893" s="9"/>
      <c r="GW893" s="9"/>
      <c r="GX893" s="9"/>
      <c r="GY893" s="9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  <c r="HO893" s="9"/>
      <c r="HP893" s="9"/>
      <c r="HQ893" s="9"/>
      <c r="HR893" s="9"/>
      <c r="HS893" s="9"/>
      <c r="HT893" s="9"/>
      <c r="HU893" s="9"/>
      <c r="HV893" s="9"/>
      <c r="HW893" s="9"/>
      <c r="HX893" s="9"/>
      <c r="HY893" s="9"/>
      <c r="HZ893" s="9"/>
      <c r="IA893" s="9"/>
      <c r="IB893" s="9"/>
      <c r="IC893" s="9"/>
      <c r="ID893" s="9"/>
      <c r="IE893" s="9"/>
      <c r="IF893" s="9"/>
      <c r="IG893" s="9"/>
      <c r="IH893" s="9"/>
      <c r="II893" s="9"/>
      <c r="IJ893" s="9"/>
      <c r="IK893" s="9"/>
      <c r="IL893" s="9"/>
      <c r="IM893" s="9"/>
      <c r="IN893" s="9"/>
      <c r="IO893" s="9"/>
      <c r="IP893" s="9"/>
      <c r="IQ893" s="9"/>
      <c r="IR893" s="9"/>
      <c r="IS893" s="9"/>
      <c r="IT893" s="9"/>
      <c r="IU893" s="9"/>
      <c r="IV893" s="9"/>
      <c r="IW893" s="9"/>
      <c r="IX893" s="9"/>
      <c r="IY893" s="9"/>
      <c r="IZ893" s="9"/>
      <c r="JA893" s="9"/>
      <c r="JB893" s="9"/>
      <c r="JC893" s="9"/>
      <c r="JD893" s="9"/>
      <c r="JE893" s="9"/>
      <c r="JF893" s="9"/>
      <c r="JG893" s="9"/>
      <c r="JH893" s="9"/>
      <c r="JI893" s="9"/>
      <c r="JJ893" s="9"/>
      <c r="JK893" s="9"/>
      <c r="JL893" s="9"/>
      <c r="JM893" s="9"/>
      <c r="JN893" s="9"/>
      <c r="JO893" s="9"/>
      <c r="JP893" s="9"/>
      <c r="JQ893" s="9"/>
      <c r="JR893" s="9"/>
      <c r="JS893" s="9"/>
      <c r="JT893" s="9"/>
      <c r="JU893" s="9"/>
      <c r="JV893" s="9"/>
      <c r="JW893" s="9"/>
      <c r="JX893" s="9"/>
      <c r="JY893" s="9"/>
      <c r="JZ893" s="9"/>
      <c r="KA893" s="9"/>
      <c r="KB893" s="9"/>
      <c r="KC893" s="9"/>
      <c r="KD893" s="9"/>
      <c r="KE893" s="9"/>
      <c r="KF893" s="9"/>
      <c r="KG893" s="9"/>
      <c r="KH893" s="9"/>
      <c r="KI893" s="9"/>
      <c r="KJ893" s="9"/>
      <c r="KK893" s="9"/>
      <c r="KL893" s="9"/>
      <c r="KM893" s="9"/>
      <c r="KN893" s="9"/>
      <c r="KO893" s="9"/>
      <c r="KP893" s="9"/>
      <c r="KQ893" s="9"/>
      <c r="KR893" s="9"/>
      <c r="KS893" s="9"/>
      <c r="KT893" s="9"/>
      <c r="KU893" s="9"/>
      <c r="KV893" s="9"/>
      <c r="KW893" s="9"/>
      <c r="KX893" s="9"/>
      <c r="KY893" s="9"/>
      <c r="KZ893" s="9"/>
      <c r="LA893" s="9"/>
      <c r="LB893" s="9"/>
      <c r="LC893" s="9"/>
      <c r="LD893" s="9"/>
      <c r="LE893" s="9"/>
      <c r="LF893" s="9"/>
      <c r="LG893" s="9"/>
      <c r="LH893" s="9"/>
      <c r="LI893" s="9"/>
      <c r="LJ893" s="9"/>
      <c r="LK893" s="9"/>
      <c r="LL893" s="9"/>
      <c r="LM893" s="9"/>
      <c r="LN893" s="9"/>
      <c r="LO893" s="9"/>
      <c r="LP893" s="9"/>
      <c r="LQ893" s="9"/>
      <c r="LR893" s="9"/>
      <c r="LS893" s="9"/>
      <c r="LT893" s="9"/>
      <c r="LU893" s="9"/>
      <c r="LV893" s="9"/>
      <c r="LW893" s="9"/>
      <c r="LX893" s="9"/>
      <c r="LY893" s="9"/>
      <c r="LZ893" s="9"/>
      <c r="MA893" s="9"/>
      <c r="MB893" s="9"/>
      <c r="MC893" s="9"/>
      <c r="MD893" s="9"/>
      <c r="ME893" s="9"/>
      <c r="MF893" s="9"/>
      <c r="MG893" s="9"/>
      <c r="MH893" s="9"/>
      <c r="MI893" s="9"/>
      <c r="MJ893" s="9"/>
      <c r="MK893" s="9"/>
      <c r="ML893" s="9"/>
      <c r="MM893" s="9"/>
      <c r="MN893" s="9"/>
      <c r="MO893" s="9"/>
      <c r="MP893" s="9"/>
      <c r="MQ893" s="9"/>
      <c r="MR893" s="9"/>
      <c r="MS893" s="9"/>
      <c r="MT893" s="9"/>
      <c r="MU893" s="9"/>
      <c r="MV893" s="9"/>
      <c r="MW893" s="9"/>
      <c r="MX893" s="9"/>
      <c r="MY893" s="9"/>
      <c r="MZ893" s="9"/>
      <c r="NA893" s="9"/>
      <c r="NB893" s="9"/>
      <c r="NC893" s="9"/>
      <c r="ND893" s="9"/>
      <c r="NE893" s="9"/>
      <c r="NF893" s="9"/>
      <c r="NG893" s="9"/>
      <c r="NH893" s="9"/>
      <c r="NI893" s="9"/>
      <c r="NJ893" s="9"/>
      <c r="NK893" s="9"/>
      <c r="NL893" s="9"/>
      <c r="NM893" s="9"/>
      <c r="NN893" s="9"/>
      <c r="NO893" s="9"/>
      <c r="NP893" s="9"/>
      <c r="NQ893" s="9"/>
      <c r="NR893" s="9"/>
      <c r="NS893" s="9"/>
      <c r="NT893" s="9"/>
      <c r="NU893" s="9"/>
      <c r="NV893" s="9"/>
      <c r="NW893" s="9"/>
      <c r="NX893" s="9"/>
      <c r="NY893" s="9"/>
      <c r="NZ893" s="9"/>
      <c r="OA893" s="9"/>
      <c r="OB893" s="9"/>
      <c r="OC893" s="9"/>
      <c r="OD893" s="9"/>
      <c r="OE893" s="9"/>
      <c r="OF893" s="9"/>
      <c r="OG893" s="9"/>
      <c r="OH893" s="9"/>
      <c r="OI893" s="9"/>
      <c r="OJ893" s="9"/>
      <c r="OK893" s="9"/>
      <c r="OL893" s="9"/>
      <c r="OM893" s="9"/>
      <c r="ON893" s="9"/>
      <c r="OO893" s="9"/>
      <c r="OP893" s="9"/>
      <c r="OQ893" s="9"/>
      <c r="OR893" s="9"/>
      <c r="OS893" s="9"/>
      <c r="OT893" s="9"/>
      <c r="OU893" s="9"/>
      <c r="OV893" s="9"/>
      <c r="OW893" s="9"/>
      <c r="OX893" s="9"/>
      <c r="OY893" s="9"/>
      <c r="OZ893" s="9"/>
      <c r="PA893" s="9"/>
      <c r="PB893" s="9"/>
      <c r="PC893" s="9"/>
      <c r="PD893" s="9"/>
      <c r="PE893" s="9"/>
      <c r="PF893" s="9"/>
      <c r="PG893" s="9"/>
      <c r="PH893" s="9"/>
      <c r="PI893" s="9"/>
      <c r="PJ893" s="9"/>
      <c r="PK893" s="9"/>
      <c r="PL893" s="9"/>
      <c r="PM893" s="9"/>
      <c r="PN893" s="9"/>
      <c r="PO893" s="9"/>
      <c r="PP893" s="9"/>
      <c r="PQ893" s="9"/>
      <c r="PR893" s="9"/>
      <c r="PS893" s="9"/>
      <c r="PT893" s="9"/>
      <c r="PU893" s="9"/>
      <c r="PV893" s="9"/>
      <c r="PW893" s="9"/>
      <c r="PX893" s="9"/>
      <c r="PY893" s="9"/>
      <c r="PZ893" s="9"/>
      <c r="QA893" s="9"/>
      <c r="QB893" s="9"/>
      <c r="QC893" s="9"/>
      <c r="QD893" s="9"/>
      <c r="QE893" s="9"/>
      <c r="QF893" s="9"/>
      <c r="QG893" s="9"/>
      <c r="QH893" s="9"/>
      <c r="QI893" s="9"/>
      <c r="QJ893" s="9"/>
      <c r="QK893" s="9"/>
      <c r="QL893" s="9"/>
      <c r="QM893" s="9"/>
      <c r="QN893" s="9"/>
      <c r="QO893" s="9"/>
      <c r="QP893" s="9"/>
      <c r="QQ893" s="9"/>
      <c r="QR893" s="9"/>
      <c r="QS893" s="9"/>
      <c r="QT893" s="9"/>
      <c r="QU893" s="9"/>
      <c r="QV893" s="9"/>
      <c r="QW893" s="9"/>
      <c r="QX893" s="9"/>
      <c r="QY893" s="9"/>
      <c r="QZ893" s="9"/>
      <c r="RA893" s="9"/>
      <c r="RB893" s="9"/>
      <c r="RC893" s="9"/>
      <c r="RD893" s="9"/>
      <c r="RE893" s="9"/>
      <c r="RF893" s="9"/>
      <c r="RG893" s="9"/>
      <c r="RH893" s="9"/>
      <c r="RI893" s="9"/>
      <c r="RJ893" s="9"/>
      <c r="RK893" s="9"/>
      <c r="RL893" s="9"/>
      <c r="RM893" s="9"/>
      <c r="RN893" s="9"/>
      <c r="RO893" s="9"/>
      <c r="RP893" s="9"/>
      <c r="RQ893" s="9"/>
      <c r="RR893" s="9"/>
      <c r="RS893" s="9"/>
      <c r="RT893" s="9"/>
      <c r="RU893" s="9"/>
      <c r="RV893" s="9"/>
      <c r="RW893" s="9"/>
      <c r="RX893" s="9"/>
      <c r="RY893" s="9"/>
      <c r="RZ893" s="9"/>
      <c r="SA893" s="9"/>
      <c r="SB893" s="9"/>
      <c r="SC893" s="9"/>
      <c r="SD893" s="9"/>
      <c r="SE893" s="9"/>
      <c r="SF893" s="9"/>
      <c r="SG893" s="9"/>
      <c r="SH893" s="9"/>
      <c r="SI893" s="9"/>
      <c r="SJ893" s="9"/>
      <c r="SK893" s="9"/>
      <c r="SL893" s="9"/>
      <c r="SM893" s="9"/>
      <c r="SN893" s="9"/>
      <c r="SO893" s="9"/>
      <c r="SP893" s="9"/>
      <c r="SQ893" s="9"/>
      <c r="SR893" s="9"/>
      <c r="SS893" s="9"/>
      <c r="ST893" s="9"/>
      <c r="SU893" s="9"/>
      <c r="SV893" s="9"/>
      <c r="SW893" s="9"/>
      <c r="SX893" s="9"/>
      <c r="SY893" s="9"/>
      <c r="SZ893" s="9"/>
      <c r="TA893" s="9"/>
      <c r="TB893" s="9"/>
      <c r="TC893" s="9"/>
      <c r="TD893" s="9"/>
      <c r="TE893" s="9"/>
      <c r="TF893" s="9"/>
      <c r="TG893" s="9"/>
      <c r="TH893" s="9"/>
      <c r="TI893" s="9"/>
      <c r="TJ893" s="9"/>
      <c r="TK893" s="9"/>
      <c r="TL893" s="9"/>
      <c r="TM893" s="9"/>
      <c r="TN893" s="9"/>
      <c r="TO893" s="9"/>
      <c r="TP893" s="9"/>
      <c r="TQ893" s="9"/>
      <c r="TR893" s="9"/>
      <c r="TS893" s="9"/>
      <c r="TT893" s="9"/>
      <c r="TU893" s="9"/>
      <c r="TV893" s="9"/>
      <c r="TW893" s="9"/>
      <c r="TX893" s="9"/>
      <c r="TY893" s="9"/>
      <c r="TZ893" s="9"/>
      <c r="UA893" s="9"/>
      <c r="UB893" s="9"/>
      <c r="UC893" s="9"/>
      <c r="UD893" s="9"/>
      <c r="UE893" s="9"/>
      <c r="UF893" s="9"/>
      <c r="UG893" s="9"/>
      <c r="UH893" s="9"/>
      <c r="UI893" s="9"/>
      <c r="UJ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9"/>
      <c r="FP894" s="9"/>
      <c r="FQ894" s="9"/>
      <c r="FR894" s="9"/>
      <c r="FS894" s="9"/>
      <c r="FT894" s="9"/>
      <c r="FU894" s="9"/>
      <c r="FV894" s="9"/>
      <c r="FW894" s="9"/>
      <c r="FX894" s="9"/>
      <c r="FY894" s="9"/>
      <c r="FZ894" s="9"/>
      <c r="GA894" s="9"/>
      <c r="GB894" s="9"/>
      <c r="GC894" s="9"/>
      <c r="GD894" s="9"/>
      <c r="GE894" s="9"/>
      <c r="GF894" s="9"/>
      <c r="GG894" s="9"/>
      <c r="GH894" s="9"/>
      <c r="GI894" s="9"/>
      <c r="GJ894" s="9"/>
      <c r="GK894" s="9"/>
      <c r="GL894" s="9"/>
      <c r="GM894" s="9"/>
      <c r="GN894" s="9"/>
      <c r="GO894" s="9"/>
      <c r="GP894" s="9"/>
      <c r="GQ894" s="9"/>
      <c r="GR894" s="9"/>
      <c r="GS894" s="9"/>
      <c r="GT894" s="9"/>
      <c r="GU894" s="9"/>
      <c r="GV894" s="9"/>
      <c r="GW894" s="9"/>
      <c r="GX894" s="9"/>
      <c r="GY894" s="9"/>
      <c r="GZ894" s="9"/>
      <c r="HA894" s="9"/>
      <c r="HB894" s="9"/>
      <c r="HC894" s="9"/>
      <c r="HD894" s="9"/>
      <c r="HE894" s="9"/>
      <c r="HF894" s="9"/>
      <c r="HG894" s="9"/>
      <c r="HH894" s="9"/>
      <c r="HI894" s="9"/>
      <c r="HJ894" s="9"/>
      <c r="HK894" s="9"/>
      <c r="HL894" s="9"/>
      <c r="HM894" s="9"/>
      <c r="HN894" s="9"/>
      <c r="HO894" s="9"/>
      <c r="HP894" s="9"/>
      <c r="HQ894" s="9"/>
      <c r="HR894" s="9"/>
      <c r="HS894" s="9"/>
      <c r="HT894" s="9"/>
      <c r="HU894" s="9"/>
      <c r="HV894" s="9"/>
      <c r="HW894" s="9"/>
      <c r="HX894" s="9"/>
      <c r="HY894" s="9"/>
      <c r="HZ894" s="9"/>
      <c r="IA894" s="9"/>
      <c r="IB894" s="9"/>
      <c r="IC894" s="9"/>
      <c r="ID894" s="9"/>
      <c r="IE894" s="9"/>
      <c r="IF894" s="9"/>
      <c r="IG894" s="9"/>
      <c r="IH894" s="9"/>
      <c r="II894" s="9"/>
      <c r="IJ894" s="9"/>
      <c r="IK894" s="9"/>
      <c r="IL894" s="9"/>
      <c r="IM894" s="9"/>
      <c r="IN894" s="9"/>
      <c r="IO894" s="9"/>
      <c r="IP894" s="9"/>
      <c r="IQ894" s="9"/>
      <c r="IR894" s="9"/>
      <c r="IS894" s="9"/>
      <c r="IT894" s="9"/>
      <c r="IU894" s="9"/>
      <c r="IV894" s="9"/>
      <c r="IW894" s="9"/>
      <c r="IX894" s="9"/>
      <c r="IY894" s="9"/>
      <c r="IZ894" s="9"/>
      <c r="JA894" s="9"/>
      <c r="JB894" s="9"/>
      <c r="JC894" s="9"/>
      <c r="JD894" s="9"/>
      <c r="JE894" s="9"/>
      <c r="JF894" s="9"/>
      <c r="JG894" s="9"/>
      <c r="JH894" s="9"/>
      <c r="JI894" s="9"/>
      <c r="JJ894" s="9"/>
      <c r="JK894" s="9"/>
      <c r="JL894" s="9"/>
      <c r="JM894" s="9"/>
      <c r="JN894" s="9"/>
      <c r="JO894" s="9"/>
      <c r="JP894" s="9"/>
      <c r="JQ894" s="9"/>
      <c r="JR894" s="9"/>
      <c r="JS894" s="9"/>
      <c r="JT894" s="9"/>
      <c r="JU894" s="9"/>
      <c r="JV894" s="9"/>
      <c r="JW894" s="9"/>
      <c r="JX894" s="9"/>
      <c r="JY894" s="9"/>
      <c r="JZ894" s="9"/>
      <c r="KA894" s="9"/>
      <c r="KB894" s="9"/>
      <c r="KC894" s="9"/>
      <c r="KD894" s="9"/>
      <c r="KE894" s="9"/>
      <c r="KF894" s="9"/>
      <c r="KG894" s="9"/>
      <c r="KH894" s="9"/>
      <c r="KI894" s="9"/>
      <c r="KJ894" s="9"/>
      <c r="KK894" s="9"/>
      <c r="KL894" s="9"/>
      <c r="KM894" s="9"/>
      <c r="KN894" s="9"/>
      <c r="KO894" s="9"/>
      <c r="KP894" s="9"/>
      <c r="KQ894" s="9"/>
      <c r="KR894" s="9"/>
      <c r="KS894" s="9"/>
      <c r="KT894" s="9"/>
      <c r="KU894" s="9"/>
      <c r="KV894" s="9"/>
      <c r="KW894" s="9"/>
      <c r="KX894" s="9"/>
      <c r="KY894" s="9"/>
      <c r="KZ894" s="9"/>
      <c r="LA894" s="9"/>
      <c r="LB894" s="9"/>
      <c r="LC894" s="9"/>
      <c r="LD894" s="9"/>
      <c r="LE894" s="9"/>
      <c r="LF894" s="9"/>
      <c r="LG894" s="9"/>
      <c r="LH894" s="9"/>
      <c r="LI894" s="9"/>
      <c r="LJ894" s="9"/>
      <c r="LK894" s="9"/>
      <c r="LL894" s="9"/>
      <c r="LM894" s="9"/>
      <c r="LN894" s="9"/>
      <c r="LO894" s="9"/>
      <c r="LP894" s="9"/>
      <c r="LQ894" s="9"/>
      <c r="LR894" s="9"/>
      <c r="LS894" s="9"/>
      <c r="LT894" s="9"/>
      <c r="LU894" s="9"/>
      <c r="LV894" s="9"/>
      <c r="LW894" s="9"/>
      <c r="LX894" s="9"/>
      <c r="LY894" s="9"/>
      <c r="LZ894" s="9"/>
      <c r="MA894" s="9"/>
      <c r="MB894" s="9"/>
      <c r="MC894" s="9"/>
      <c r="MD894" s="9"/>
      <c r="ME894" s="9"/>
      <c r="MF894" s="9"/>
      <c r="MG894" s="9"/>
      <c r="MH894" s="9"/>
      <c r="MI894" s="9"/>
      <c r="MJ894" s="9"/>
      <c r="MK894" s="9"/>
      <c r="ML894" s="9"/>
      <c r="MM894" s="9"/>
      <c r="MN894" s="9"/>
      <c r="MO894" s="9"/>
      <c r="MP894" s="9"/>
      <c r="MQ894" s="9"/>
      <c r="MR894" s="9"/>
      <c r="MS894" s="9"/>
      <c r="MT894" s="9"/>
      <c r="MU894" s="9"/>
      <c r="MV894" s="9"/>
      <c r="MW894" s="9"/>
      <c r="MX894" s="9"/>
      <c r="MY894" s="9"/>
      <c r="MZ894" s="9"/>
      <c r="NA894" s="9"/>
      <c r="NB894" s="9"/>
      <c r="NC894" s="9"/>
      <c r="ND894" s="9"/>
      <c r="NE894" s="9"/>
      <c r="NF894" s="9"/>
      <c r="NG894" s="9"/>
      <c r="NH894" s="9"/>
      <c r="NI894" s="9"/>
      <c r="NJ894" s="9"/>
      <c r="NK894" s="9"/>
      <c r="NL894" s="9"/>
      <c r="NM894" s="9"/>
      <c r="NN894" s="9"/>
      <c r="NO894" s="9"/>
      <c r="NP894" s="9"/>
      <c r="NQ894" s="9"/>
      <c r="NR894" s="9"/>
      <c r="NS894" s="9"/>
      <c r="NT894" s="9"/>
      <c r="NU894" s="9"/>
      <c r="NV894" s="9"/>
      <c r="NW894" s="9"/>
      <c r="NX894" s="9"/>
      <c r="NY894" s="9"/>
      <c r="NZ894" s="9"/>
      <c r="OA894" s="9"/>
      <c r="OB894" s="9"/>
      <c r="OC894" s="9"/>
      <c r="OD894" s="9"/>
      <c r="OE894" s="9"/>
      <c r="OF894" s="9"/>
      <c r="OG894" s="9"/>
      <c r="OH894" s="9"/>
      <c r="OI894" s="9"/>
      <c r="OJ894" s="9"/>
      <c r="OK894" s="9"/>
      <c r="OL894" s="9"/>
      <c r="OM894" s="9"/>
      <c r="ON894" s="9"/>
      <c r="OO894" s="9"/>
      <c r="OP894" s="9"/>
      <c r="OQ894" s="9"/>
      <c r="OR894" s="9"/>
      <c r="OS894" s="9"/>
      <c r="OT894" s="9"/>
      <c r="OU894" s="9"/>
      <c r="OV894" s="9"/>
      <c r="OW894" s="9"/>
      <c r="OX894" s="9"/>
      <c r="OY894" s="9"/>
      <c r="OZ894" s="9"/>
      <c r="PA894" s="9"/>
      <c r="PB894" s="9"/>
      <c r="PC894" s="9"/>
      <c r="PD894" s="9"/>
      <c r="PE894" s="9"/>
      <c r="PF894" s="9"/>
      <c r="PG894" s="9"/>
      <c r="PH894" s="9"/>
      <c r="PI894" s="9"/>
      <c r="PJ894" s="9"/>
      <c r="PK894" s="9"/>
      <c r="PL894" s="9"/>
      <c r="PM894" s="9"/>
      <c r="PN894" s="9"/>
      <c r="PO894" s="9"/>
      <c r="PP894" s="9"/>
      <c r="PQ894" s="9"/>
      <c r="PR894" s="9"/>
      <c r="PS894" s="9"/>
      <c r="PT894" s="9"/>
      <c r="PU894" s="9"/>
      <c r="PV894" s="9"/>
      <c r="PW894" s="9"/>
      <c r="PX894" s="9"/>
      <c r="PY894" s="9"/>
      <c r="PZ894" s="9"/>
      <c r="QA894" s="9"/>
      <c r="QB894" s="9"/>
      <c r="QC894" s="9"/>
      <c r="QD894" s="9"/>
      <c r="QE894" s="9"/>
      <c r="QF894" s="9"/>
      <c r="QG894" s="9"/>
      <c r="QH894" s="9"/>
      <c r="QI894" s="9"/>
      <c r="QJ894" s="9"/>
      <c r="QK894" s="9"/>
      <c r="QL894" s="9"/>
      <c r="QM894" s="9"/>
      <c r="QN894" s="9"/>
      <c r="QO894" s="9"/>
      <c r="QP894" s="9"/>
      <c r="QQ894" s="9"/>
      <c r="QR894" s="9"/>
      <c r="QS894" s="9"/>
      <c r="QT894" s="9"/>
      <c r="QU894" s="9"/>
      <c r="QV894" s="9"/>
      <c r="QW894" s="9"/>
      <c r="QX894" s="9"/>
      <c r="QY894" s="9"/>
      <c r="QZ894" s="9"/>
      <c r="RA894" s="9"/>
      <c r="RB894" s="9"/>
      <c r="RC894" s="9"/>
      <c r="RD894" s="9"/>
      <c r="RE894" s="9"/>
      <c r="RF894" s="9"/>
      <c r="RG894" s="9"/>
      <c r="RH894" s="9"/>
      <c r="RI894" s="9"/>
      <c r="RJ894" s="9"/>
      <c r="RK894" s="9"/>
      <c r="RL894" s="9"/>
      <c r="RM894" s="9"/>
      <c r="RN894" s="9"/>
      <c r="RO894" s="9"/>
      <c r="RP894" s="9"/>
      <c r="RQ894" s="9"/>
      <c r="RR894" s="9"/>
      <c r="RS894" s="9"/>
      <c r="RT894" s="9"/>
      <c r="RU894" s="9"/>
      <c r="RV894" s="9"/>
      <c r="RW894" s="9"/>
      <c r="RX894" s="9"/>
      <c r="RY894" s="9"/>
      <c r="RZ894" s="9"/>
      <c r="SA894" s="9"/>
      <c r="SB894" s="9"/>
      <c r="SC894" s="9"/>
      <c r="SD894" s="9"/>
      <c r="SE894" s="9"/>
      <c r="SF894" s="9"/>
      <c r="SG894" s="9"/>
      <c r="SH894" s="9"/>
      <c r="SI894" s="9"/>
      <c r="SJ894" s="9"/>
      <c r="SK894" s="9"/>
      <c r="SL894" s="9"/>
      <c r="SM894" s="9"/>
      <c r="SN894" s="9"/>
      <c r="SO894" s="9"/>
      <c r="SP894" s="9"/>
      <c r="SQ894" s="9"/>
      <c r="SR894" s="9"/>
      <c r="SS894" s="9"/>
      <c r="ST894" s="9"/>
      <c r="SU894" s="9"/>
      <c r="SV894" s="9"/>
      <c r="SW894" s="9"/>
      <c r="SX894" s="9"/>
      <c r="SY894" s="9"/>
      <c r="SZ894" s="9"/>
      <c r="TA894" s="9"/>
      <c r="TB894" s="9"/>
      <c r="TC894" s="9"/>
      <c r="TD894" s="9"/>
      <c r="TE894" s="9"/>
      <c r="TF894" s="9"/>
      <c r="TG894" s="9"/>
      <c r="TH894" s="9"/>
      <c r="TI894" s="9"/>
      <c r="TJ894" s="9"/>
      <c r="TK894" s="9"/>
      <c r="TL894" s="9"/>
      <c r="TM894" s="9"/>
      <c r="TN894" s="9"/>
      <c r="TO894" s="9"/>
      <c r="TP894" s="9"/>
      <c r="TQ894" s="9"/>
      <c r="TR894" s="9"/>
      <c r="TS894" s="9"/>
      <c r="TT894" s="9"/>
      <c r="TU894" s="9"/>
      <c r="TV894" s="9"/>
      <c r="TW894" s="9"/>
      <c r="TX894" s="9"/>
      <c r="TY894" s="9"/>
      <c r="TZ894" s="9"/>
      <c r="UA894" s="9"/>
      <c r="UB894" s="9"/>
      <c r="UC894" s="9"/>
      <c r="UD894" s="9"/>
      <c r="UE894" s="9"/>
      <c r="UF894" s="9"/>
      <c r="UG894" s="9"/>
      <c r="UH894" s="9"/>
      <c r="UI894" s="9"/>
      <c r="UJ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  <c r="HZ895" s="9"/>
      <c r="IA895" s="9"/>
      <c r="IB895" s="9"/>
      <c r="IC895" s="9"/>
      <c r="ID895" s="9"/>
      <c r="IE895" s="9"/>
      <c r="IF895" s="9"/>
      <c r="IG895" s="9"/>
      <c r="IH895" s="9"/>
      <c r="II895" s="9"/>
      <c r="IJ895" s="9"/>
      <c r="IK895" s="9"/>
      <c r="IL895" s="9"/>
      <c r="IM895" s="9"/>
      <c r="IN895" s="9"/>
      <c r="IO895" s="9"/>
      <c r="IP895" s="9"/>
      <c r="IQ895" s="9"/>
      <c r="IR895" s="9"/>
      <c r="IS895" s="9"/>
      <c r="IT895" s="9"/>
      <c r="IU895" s="9"/>
      <c r="IV895" s="9"/>
      <c r="IW895" s="9"/>
      <c r="IX895" s="9"/>
      <c r="IY895" s="9"/>
      <c r="IZ895" s="9"/>
      <c r="JA895" s="9"/>
      <c r="JB895" s="9"/>
      <c r="JC895" s="9"/>
      <c r="JD895" s="9"/>
      <c r="JE895" s="9"/>
      <c r="JF895" s="9"/>
      <c r="JG895" s="9"/>
      <c r="JH895" s="9"/>
      <c r="JI895" s="9"/>
      <c r="JJ895" s="9"/>
      <c r="JK895" s="9"/>
      <c r="JL895" s="9"/>
      <c r="JM895" s="9"/>
      <c r="JN895" s="9"/>
      <c r="JO895" s="9"/>
      <c r="JP895" s="9"/>
      <c r="JQ895" s="9"/>
      <c r="JR895" s="9"/>
      <c r="JS895" s="9"/>
      <c r="JT895" s="9"/>
      <c r="JU895" s="9"/>
      <c r="JV895" s="9"/>
      <c r="JW895" s="9"/>
      <c r="JX895" s="9"/>
      <c r="JY895" s="9"/>
      <c r="JZ895" s="9"/>
      <c r="KA895" s="9"/>
      <c r="KB895" s="9"/>
      <c r="KC895" s="9"/>
      <c r="KD895" s="9"/>
      <c r="KE895" s="9"/>
      <c r="KF895" s="9"/>
      <c r="KG895" s="9"/>
      <c r="KH895" s="9"/>
      <c r="KI895" s="9"/>
      <c r="KJ895" s="9"/>
      <c r="KK895" s="9"/>
      <c r="KL895" s="9"/>
      <c r="KM895" s="9"/>
      <c r="KN895" s="9"/>
      <c r="KO895" s="9"/>
      <c r="KP895" s="9"/>
      <c r="KQ895" s="9"/>
      <c r="KR895" s="9"/>
      <c r="KS895" s="9"/>
      <c r="KT895" s="9"/>
      <c r="KU895" s="9"/>
      <c r="KV895" s="9"/>
      <c r="KW895" s="9"/>
      <c r="KX895" s="9"/>
      <c r="KY895" s="9"/>
      <c r="KZ895" s="9"/>
      <c r="LA895" s="9"/>
      <c r="LB895" s="9"/>
      <c r="LC895" s="9"/>
      <c r="LD895" s="9"/>
      <c r="LE895" s="9"/>
      <c r="LF895" s="9"/>
      <c r="LG895" s="9"/>
      <c r="LH895" s="9"/>
      <c r="LI895" s="9"/>
      <c r="LJ895" s="9"/>
      <c r="LK895" s="9"/>
      <c r="LL895" s="9"/>
      <c r="LM895" s="9"/>
      <c r="LN895" s="9"/>
      <c r="LO895" s="9"/>
      <c r="LP895" s="9"/>
      <c r="LQ895" s="9"/>
      <c r="LR895" s="9"/>
      <c r="LS895" s="9"/>
      <c r="LT895" s="9"/>
      <c r="LU895" s="9"/>
      <c r="LV895" s="9"/>
      <c r="LW895" s="9"/>
      <c r="LX895" s="9"/>
      <c r="LY895" s="9"/>
      <c r="LZ895" s="9"/>
      <c r="MA895" s="9"/>
      <c r="MB895" s="9"/>
      <c r="MC895" s="9"/>
      <c r="MD895" s="9"/>
      <c r="ME895" s="9"/>
      <c r="MF895" s="9"/>
      <c r="MG895" s="9"/>
      <c r="MH895" s="9"/>
      <c r="MI895" s="9"/>
      <c r="MJ895" s="9"/>
      <c r="MK895" s="9"/>
      <c r="ML895" s="9"/>
      <c r="MM895" s="9"/>
      <c r="MN895" s="9"/>
      <c r="MO895" s="9"/>
      <c r="MP895" s="9"/>
      <c r="MQ895" s="9"/>
      <c r="MR895" s="9"/>
      <c r="MS895" s="9"/>
      <c r="MT895" s="9"/>
      <c r="MU895" s="9"/>
      <c r="MV895" s="9"/>
      <c r="MW895" s="9"/>
      <c r="MX895" s="9"/>
      <c r="MY895" s="9"/>
      <c r="MZ895" s="9"/>
      <c r="NA895" s="9"/>
      <c r="NB895" s="9"/>
      <c r="NC895" s="9"/>
      <c r="ND895" s="9"/>
      <c r="NE895" s="9"/>
      <c r="NF895" s="9"/>
      <c r="NG895" s="9"/>
      <c r="NH895" s="9"/>
      <c r="NI895" s="9"/>
      <c r="NJ895" s="9"/>
      <c r="NK895" s="9"/>
      <c r="NL895" s="9"/>
      <c r="NM895" s="9"/>
      <c r="NN895" s="9"/>
      <c r="NO895" s="9"/>
      <c r="NP895" s="9"/>
      <c r="NQ895" s="9"/>
      <c r="NR895" s="9"/>
      <c r="NS895" s="9"/>
      <c r="NT895" s="9"/>
      <c r="NU895" s="9"/>
      <c r="NV895" s="9"/>
      <c r="NW895" s="9"/>
      <c r="NX895" s="9"/>
      <c r="NY895" s="9"/>
      <c r="NZ895" s="9"/>
      <c r="OA895" s="9"/>
      <c r="OB895" s="9"/>
      <c r="OC895" s="9"/>
      <c r="OD895" s="9"/>
      <c r="OE895" s="9"/>
      <c r="OF895" s="9"/>
      <c r="OG895" s="9"/>
      <c r="OH895" s="9"/>
      <c r="OI895" s="9"/>
      <c r="OJ895" s="9"/>
      <c r="OK895" s="9"/>
      <c r="OL895" s="9"/>
      <c r="OM895" s="9"/>
      <c r="ON895" s="9"/>
      <c r="OO895" s="9"/>
      <c r="OP895" s="9"/>
      <c r="OQ895" s="9"/>
      <c r="OR895" s="9"/>
      <c r="OS895" s="9"/>
      <c r="OT895" s="9"/>
      <c r="OU895" s="9"/>
      <c r="OV895" s="9"/>
      <c r="OW895" s="9"/>
      <c r="OX895" s="9"/>
      <c r="OY895" s="9"/>
      <c r="OZ895" s="9"/>
      <c r="PA895" s="9"/>
      <c r="PB895" s="9"/>
      <c r="PC895" s="9"/>
      <c r="PD895" s="9"/>
      <c r="PE895" s="9"/>
      <c r="PF895" s="9"/>
      <c r="PG895" s="9"/>
      <c r="PH895" s="9"/>
      <c r="PI895" s="9"/>
      <c r="PJ895" s="9"/>
      <c r="PK895" s="9"/>
      <c r="PL895" s="9"/>
      <c r="PM895" s="9"/>
      <c r="PN895" s="9"/>
      <c r="PO895" s="9"/>
      <c r="PP895" s="9"/>
      <c r="PQ895" s="9"/>
      <c r="PR895" s="9"/>
      <c r="PS895" s="9"/>
      <c r="PT895" s="9"/>
      <c r="PU895" s="9"/>
      <c r="PV895" s="9"/>
      <c r="PW895" s="9"/>
      <c r="PX895" s="9"/>
      <c r="PY895" s="9"/>
      <c r="PZ895" s="9"/>
      <c r="QA895" s="9"/>
      <c r="QB895" s="9"/>
      <c r="QC895" s="9"/>
      <c r="QD895" s="9"/>
      <c r="QE895" s="9"/>
      <c r="QF895" s="9"/>
      <c r="QG895" s="9"/>
      <c r="QH895" s="9"/>
      <c r="QI895" s="9"/>
      <c r="QJ895" s="9"/>
      <c r="QK895" s="9"/>
      <c r="QL895" s="9"/>
      <c r="QM895" s="9"/>
      <c r="QN895" s="9"/>
      <c r="QO895" s="9"/>
      <c r="QP895" s="9"/>
      <c r="QQ895" s="9"/>
      <c r="QR895" s="9"/>
      <c r="QS895" s="9"/>
      <c r="QT895" s="9"/>
      <c r="QU895" s="9"/>
      <c r="QV895" s="9"/>
      <c r="QW895" s="9"/>
      <c r="QX895" s="9"/>
      <c r="QY895" s="9"/>
      <c r="QZ895" s="9"/>
      <c r="RA895" s="9"/>
      <c r="RB895" s="9"/>
      <c r="RC895" s="9"/>
      <c r="RD895" s="9"/>
      <c r="RE895" s="9"/>
      <c r="RF895" s="9"/>
      <c r="RG895" s="9"/>
      <c r="RH895" s="9"/>
      <c r="RI895" s="9"/>
      <c r="RJ895" s="9"/>
      <c r="RK895" s="9"/>
      <c r="RL895" s="9"/>
      <c r="RM895" s="9"/>
      <c r="RN895" s="9"/>
      <c r="RO895" s="9"/>
      <c r="RP895" s="9"/>
      <c r="RQ895" s="9"/>
      <c r="RR895" s="9"/>
      <c r="RS895" s="9"/>
      <c r="RT895" s="9"/>
      <c r="RU895" s="9"/>
      <c r="RV895" s="9"/>
      <c r="RW895" s="9"/>
      <c r="RX895" s="9"/>
      <c r="RY895" s="9"/>
      <c r="RZ895" s="9"/>
      <c r="SA895" s="9"/>
      <c r="SB895" s="9"/>
      <c r="SC895" s="9"/>
      <c r="SD895" s="9"/>
      <c r="SE895" s="9"/>
      <c r="SF895" s="9"/>
      <c r="SG895" s="9"/>
      <c r="SH895" s="9"/>
      <c r="SI895" s="9"/>
      <c r="SJ895" s="9"/>
      <c r="SK895" s="9"/>
      <c r="SL895" s="9"/>
      <c r="SM895" s="9"/>
      <c r="SN895" s="9"/>
      <c r="SO895" s="9"/>
      <c r="SP895" s="9"/>
      <c r="SQ895" s="9"/>
      <c r="SR895" s="9"/>
      <c r="SS895" s="9"/>
      <c r="ST895" s="9"/>
      <c r="SU895" s="9"/>
      <c r="SV895" s="9"/>
      <c r="SW895" s="9"/>
      <c r="SX895" s="9"/>
      <c r="SY895" s="9"/>
      <c r="SZ895" s="9"/>
      <c r="TA895" s="9"/>
      <c r="TB895" s="9"/>
      <c r="TC895" s="9"/>
      <c r="TD895" s="9"/>
      <c r="TE895" s="9"/>
      <c r="TF895" s="9"/>
      <c r="TG895" s="9"/>
      <c r="TH895" s="9"/>
      <c r="TI895" s="9"/>
      <c r="TJ895" s="9"/>
      <c r="TK895" s="9"/>
      <c r="TL895" s="9"/>
      <c r="TM895" s="9"/>
      <c r="TN895" s="9"/>
      <c r="TO895" s="9"/>
      <c r="TP895" s="9"/>
      <c r="TQ895" s="9"/>
      <c r="TR895" s="9"/>
      <c r="TS895" s="9"/>
      <c r="TT895" s="9"/>
      <c r="TU895" s="9"/>
      <c r="TV895" s="9"/>
      <c r="TW895" s="9"/>
      <c r="TX895" s="9"/>
      <c r="TY895" s="9"/>
      <c r="TZ895" s="9"/>
      <c r="UA895" s="9"/>
      <c r="UB895" s="9"/>
      <c r="UC895" s="9"/>
      <c r="UD895" s="9"/>
      <c r="UE895" s="9"/>
      <c r="UF895" s="9"/>
      <c r="UG895" s="9"/>
      <c r="UH895" s="9"/>
      <c r="UI895" s="9"/>
      <c r="UJ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9"/>
      <c r="GK896" s="9"/>
      <c r="GL896" s="9"/>
      <c r="GM896" s="9"/>
      <c r="GN896" s="9"/>
      <c r="GO896" s="9"/>
      <c r="GP896" s="9"/>
      <c r="GQ896" s="9"/>
      <c r="GR896" s="9"/>
      <c r="GS896" s="9"/>
      <c r="GT896" s="9"/>
      <c r="GU896" s="9"/>
      <c r="GV896" s="9"/>
      <c r="GW896" s="9"/>
      <c r="GX896" s="9"/>
      <c r="GY896" s="9"/>
      <c r="GZ896" s="9"/>
      <c r="HA896" s="9"/>
      <c r="HB896" s="9"/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  <c r="HO896" s="9"/>
      <c r="HP896" s="9"/>
      <c r="HQ896" s="9"/>
      <c r="HR896" s="9"/>
      <c r="HS896" s="9"/>
      <c r="HT896" s="9"/>
      <c r="HU896" s="9"/>
      <c r="HV896" s="9"/>
      <c r="HW896" s="9"/>
      <c r="HX896" s="9"/>
      <c r="HY896" s="9"/>
      <c r="HZ896" s="9"/>
      <c r="IA896" s="9"/>
      <c r="IB896" s="9"/>
      <c r="IC896" s="9"/>
      <c r="ID896" s="9"/>
      <c r="IE896" s="9"/>
      <c r="IF896" s="9"/>
      <c r="IG896" s="9"/>
      <c r="IH896" s="9"/>
      <c r="II896" s="9"/>
      <c r="IJ896" s="9"/>
      <c r="IK896" s="9"/>
      <c r="IL896" s="9"/>
      <c r="IM896" s="9"/>
      <c r="IN896" s="9"/>
      <c r="IO896" s="9"/>
      <c r="IP896" s="9"/>
      <c r="IQ896" s="9"/>
      <c r="IR896" s="9"/>
      <c r="IS896" s="9"/>
      <c r="IT896" s="9"/>
      <c r="IU896" s="9"/>
      <c r="IV896" s="9"/>
      <c r="IW896" s="9"/>
      <c r="IX896" s="9"/>
      <c r="IY896" s="9"/>
      <c r="IZ896" s="9"/>
      <c r="JA896" s="9"/>
      <c r="JB896" s="9"/>
      <c r="JC896" s="9"/>
      <c r="JD896" s="9"/>
      <c r="JE896" s="9"/>
      <c r="JF896" s="9"/>
      <c r="JG896" s="9"/>
      <c r="JH896" s="9"/>
      <c r="JI896" s="9"/>
      <c r="JJ896" s="9"/>
      <c r="JK896" s="9"/>
      <c r="JL896" s="9"/>
      <c r="JM896" s="9"/>
      <c r="JN896" s="9"/>
      <c r="JO896" s="9"/>
      <c r="JP896" s="9"/>
      <c r="JQ896" s="9"/>
      <c r="JR896" s="9"/>
      <c r="JS896" s="9"/>
      <c r="JT896" s="9"/>
      <c r="JU896" s="9"/>
      <c r="JV896" s="9"/>
      <c r="JW896" s="9"/>
      <c r="JX896" s="9"/>
      <c r="JY896" s="9"/>
      <c r="JZ896" s="9"/>
      <c r="KA896" s="9"/>
      <c r="KB896" s="9"/>
      <c r="KC896" s="9"/>
      <c r="KD896" s="9"/>
      <c r="KE896" s="9"/>
      <c r="KF896" s="9"/>
      <c r="KG896" s="9"/>
      <c r="KH896" s="9"/>
      <c r="KI896" s="9"/>
      <c r="KJ896" s="9"/>
      <c r="KK896" s="9"/>
      <c r="KL896" s="9"/>
      <c r="KM896" s="9"/>
      <c r="KN896" s="9"/>
      <c r="KO896" s="9"/>
      <c r="KP896" s="9"/>
      <c r="KQ896" s="9"/>
      <c r="KR896" s="9"/>
      <c r="KS896" s="9"/>
      <c r="KT896" s="9"/>
      <c r="KU896" s="9"/>
      <c r="KV896" s="9"/>
      <c r="KW896" s="9"/>
      <c r="KX896" s="9"/>
      <c r="KY896" s="9"/>
      <c r="KZ896" s="9"/>
      <c r="LA896" s="9"/>
      <c r="LB896" s="9"/>
      <c r="LC896" s="9"/>
      <c r="LD896" s="9"/>
      <c r="LE896" s="9"/>
      <c r="LF896" s="9"/>
      <c r="LG896" s="9"/>
      <c r="LH896" s="9"/>
      <c r="LI896" s="9"/>
      <c r="LJ896" s="9"/>
      <c r="LK896" s="9"/>
      <c r="LL896" s="9"/>
      <c r="LM896" s="9"/>
      <c r="LN896" s="9"/>
      <c r="LO896" s="9"/>
      <c r="LP896" s="9"/>
      <c r="LQ896" s="9"/>
      <c r="LR896" s="9"/>
      <c r="LS896" s="9"/>
      <c r="LT896" s="9"/>
      <c r="LU896" s="9"/>
      <c r="LV896" s="9"/>
      <c r="LW896" s="9"/>
      <c r="LX896" s="9"/>
      <c r="LY896" s="9"/>
      <c r="LZ896" s="9"/>
      <c r="MA896" s="9"/>
      <c r="MB896" s="9"/>
      <c r="MC896" s="9"/>
      <c r="MD896" s="9"/>
      <c r="ME896" s="9"/>
      <c r="MF896" s="9"/>
      <c r="MG896" s="9"/>
      <c r="MH896" s="9"/>
      <c r="MI896" s="9"/>
      <c r="MJ896" s="9"/>
      <c r="MK896" s="9"/>
      <c r="ML896" s="9"/>
      <c r="MM896" s="9"/>
      <c r="MN896" s="9"/>
      <c r="MO896" s="9"/>
      <c r="MP896" s="9"/>
      <c r="MQ896" s="9"/>
      <c r="MR896" s="9"/>
      <c r="MS896" s="9"/>
      <c r="MT896" s="9"/>
      <c r="MU896" s="9"/>
      <c r="MV896" s="9"/>
      <c r="MW896" s="9"/>
      <c r="MX896" s="9"/>
      <c r="MY896" s="9"/>
      <c r="MZ896" s="9"/>
      <c r="NA896" s="9"/>
      <c r="NB896" s="9"/>
      <c r="NC896" s="9"/>
      <c r="ND896" s="9"/>
      <c r="NE896" s="9"/>
      <c r="NF896" s="9"/>
      <c r="NG896" s="9"/>
      <c r="NH896" s="9"/>
      <c r="NI896" s="9"/>
      <c r="NJ896" s="9"/>
      <c r="NK896" s="9"/>
      <c r="NL896" s="9"/>
      <c r="NM896" s="9"/>
      <c r="NN896" s="9"/>
      <c r="NO896" s="9"/>
      <c r="NP896" s="9"/>
      <c r="NQ896" s="9"/>
      <c r="NR896" s="9"/>
      <c r="NS896" s="9"/>
      <c r="NT896" s="9"/>
      <c r="NU896" s="9"/>
      <c r="NV896" s="9"/>
      <c r="NW896" s="9"/>
      <c r="NX896" s="9"/>
      <c r="NY896" s="9"/>
      <c r="NZ896" s="9"/>
      <c r="OA896" s="9"/>
      <c r="OB896" s="9"/>
      <c r="OC896" s="9"/>
      <c r="OD896" s="9"/>
      <c r="OE896" s="9"/>
      <c r="OF896" s="9"/>
      <c r="OG896" s="9"/>
      <c r="OH896" s="9"/>
      <c r="OI896" s="9"/>
      <c r="OJ896" s="9"/>
      <c r="OK896" s="9"/>
      <c r="OL896" s="9"/>
      <c r="OM896" s="9"/>
      <c r="ON896" s="9"/>
      <c r="OO896" s="9"/>
      <c r="OP896" s="9"/>
      <c r="OQ896" s="9"/>
      <c r="OR896" s="9"/>
      <c r="OS896" s="9"/>
      <c r="OT896" s="9"/>
      <c r="OU896" s="9"/>
      <c r="OV896" s="9"/>
      <c r="OW896" s="9"/>
      <c r="OX896" s="9"/>
      <c r="OY896" s="9"/>
      <c r="OZ896" s="9"/>
      <c r="PA896" s="9"/>
      <c r="PB896" s="9"/>
      <c r="PC896" s="9"/>
      <c r="PD896" s="9"/>
      <c r="PE896" s="9"/>
      <c r="PF896" s="9"/>
      <c r="PG896" s="9"/>
      <c r="PH896" s="9"/>
      <c r="PI896" s="9"/>
      <c r="PJ896" s="9"/>
      <c r="PK896" s="9"/>
      <c r="PL896" s="9"/>
      <c r="PM896" s="9"/>
      <c r="PN896" s="9"/>
      <c r="PO896" s="9"/>
      <c r="PP896" s="9"/>
      <c r="PQ896" s="9"/>
      <c r="PR896" s="9"/>
      <c r="PS896" s="9"/>
      <c r="PT896" s="9"/>
      <c r="PU896" s="9"/>
      <c r="PV896" s="9"/>
      <c r="PW896" s="9"/>
      <c r="PX896" s="9"/>
      <c r="PY896" s="9"/>
      <c r="PZ896" s="9"/>
      <c r="QA896" s="9"/>
      <c r="QB896" s="9"/>
      <c r="QC896" s="9"/>
      <c r="QD896" s="9"/>
      <c r="QE896" s="9"/>
      <c r="QF896" s="9"/>
      <c r="QG896" s="9"/>
      <c r="QH896" s="9"/>
      <c r="QI896" s="9"/>
      <c r="QJ896" s="9"/>
      <c r="QK896" s="9"/>
      <c r="QL896" s="9"/>
      <c r="QM896" s="9"/>
      <c r="QN896" s="9"/>
      <c r="QO896" s="9"/>
      <c r="QP896" s="9"/>
      <c r="QQ896" s="9"/>
      <c r="QR896" s="9"/>
      <c r="QS896" s="9"/>
      <c r="QT896" s="9"/>
      <c r="QU896" s="9"/>
      <c r="QV896" s="9"/>
      <c r="QW896" s="9"/>
      <c r="QX896" s="9"/>
      <c r="QY896" s="9"/>
      <c r="QZ896" s="9"/>
      <c r="RA896" s="9"/>
      <c r="RB896" s="9"/>
      <c r="RC896" s="9"/>
      <c r="RD896" s="9"/>
      <c r="RE896" s="9"/>
      <c r="RF896" s="9"/>
      <c r="RG896" s="9"/>
      <c r="RH896" s="9"/>
      <c r="RI896" s="9"/>
      <c r="RJ896" s="9"/>
      <c r="RK896" s="9"/>
      <c r="RL896" s="9"/>
      <c r="RM896" s="9"/>
      <c r="RN896" s="9"/>
      <c r="RO896" s="9"/>
      <c r="RP896" s="9"/>
      <c r="RQ896" s="9"/>
      <c r="RR896" s="9"/>
      <c r="RS896" s="9"/>
      <c r="RT896" s="9"/>
      <c r="RU896" s="9"/>
      <c r="RV896" s="9"/>
      <c r="RW896" s="9"/>
      <c r="RX896" s="9"/>
      <c r="RY896" s="9"/>
      <c r="RZ896" s="9"/>
      <c r="SA896" s="9"/>
      <c r="SB896" s="9"/>
      <c r="SC896" s="9"/>
      <c r="SD896" s="9"/>
      <c r="SE896" s="9"/>
      <c r="SF896" s="9"/>
      <c r="SG896" s="9"/>
      <c r="SH896" s="9"/>
      <c r="SI896" s="9"/>
      <c r="SJ896" s="9"/>
      <c r="SK896" s="9"/>
      <c r="SL896" s="9"/>
      <c r="SM896" s="9"/>
      <c r="SN896" s="9"/>
      <c r="SO896" s="9"/>
      <c r="SP896" s="9"/>
      <c r="SQ896" s="9"/>
      <c r="SR896" s="9"/>
      <c r="SS896" s="9"/>
      <c r="ST896" s="9"/>
      <c r="SU896" s="9"/>
      <c r="SV896" s="9"/>
      <c r="SW896" s="9"/>
      <c r="SX896" s="9"/>
      <c r="SY896" s="9"/>
      <c r="SZ896" s="9"/>
      <c r="TA896" s="9"/>
      <c r="TB896" s="9"/>
      <c r="TC896" s="9"/>
      <c r="TD896" s="9"/>
      <c r="TE896" s="9"/>
      <c r="TF896" s="9"/>
      <c r="TG896" s="9"/>
      <c r="TH896" s="9"/>
      <c r="TI896" s="9"/>
      <c r="TJ896" s="9"/>
      <c r="TK896" s="9"/>
      <c r="TL896" s="9"/>
      <c r="TM896" s="9"/>
      <c r="TN896" s="9"/>
      <c r="TO896" s="9"/>
      <c r="TP896" s="9"/>
      <c r="TQ896" s="9"/>
      <c r="TR896" s="9"/>
      <c r="TS896" s="9"/>
      <c r="TT896" s="9"/>
      <c r="TU896" s="9"/>
      <c r="TV896" s="9"/>
      <c r="TW896" s="9"/>
      <c r="TX896" s="9"/>
      <c r="TY896" s="9"/>
      <c r="TZ896" s="9"/>
      <c r="UA896" s="9"/>
      <c r="UB896" s="9"/>
      <c r="UC896" s="9"/>
      <c r="UD896" s="9"/>
      <c r="UE896" s="9"/>
      <c r="UF896" s="9"/>
      <c r="UG896" s="9"/>
      <c r="UH896" s="9"/>
      <c r="UI896" s="9"/>
      <c r="UJ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9"/>
      <c r="IA897" s="9"/>
      <c r="IB897" s="9"/>
      <c r="IC897" s="9"/>
      <c r="ID897" s="9"/>
      <c r="IE897" s="9"/>
      <c r="IF897" s="9"/>
      <c r="IG897" s="9"/>
      <c r="IH897" s="9"/>
      <c r="II897" s="9"/>
      <c r="IJ897" s="9"/>
      <c r="IK897" s="9"/>
      <c r="IL897" s="9"/>
      <c r="IM897" s="9"/>
      <c r="IN897" s="9"/>
      <c r="IO897" s="9"/>
      <c r="IP897" s="9"/>
      <c r="IQ897" s="9"/>
      <c r="IR897" s="9"/>
      <c r="IS897" s="9"/>
      <c r="IT897" s="9"/>
      <c r="IU897" s="9"/>
      <c r="IV897" s="9"/>
      <c r="IW897" s="9"/>
      <c r="IX897" s="9"/>
      <c r="IY897" s="9"/>
      <c r="IZ897" s="9"/>
      <c r="JA897" s="9"/>
      <c r="JB897" s="9"/>
      <c r="JC897" s="9"/>
      <c r="JD897" s="9"/>
      <c r="JE897" s="9"/>
      <c r="JF897" s="9"/>
      <c r="JG897" s="9"/>
      <c r="JH897" s="9"/>
      <c r="JI897" s="9"/>
      <c r="JJ897" s="9"/>
      <c r="JK897" s="9"/>
      <c r="JL897" s="9"/>
      <c r="JM897" s="9"/>
      <c r="JN897" s="9"/>
      <c r="JO897" s="9"/>
      <c r="JP897" s="9"/>
      <c r="JQ897" s="9"/>
      <c r="JR897" s="9"/>
      <c r="JS897" s="9"/>
      <c r="JT897" s="9"/>
      <c r="JU897" s="9"/>
      <c r="JV897" s="9"/>
      <c r="JW897" s="9"/>
      <c r="JX897" s="9"/>
      <c r="JY897" s="9"/>
      <c r="JZ897" s="9"/>
      <c r="KA897" s="9"/>
      <c r="KB897" s="9"/>
      <c r="KC897" s="9"/>
      <c r="KD897" s="9"/>
      <c r="KE897" s="9"/>
      <c r="KF897" s="9"/>
      <c r="KG897" s="9"/>
      <c r="KH897" s="9"/>
      <c r="KI897" s="9"/>
      <c r="KJ897" s="9"/>
      <c r="KK897" s="9"/>
      <c r="KL897" s="9"/>
      <c r="KM897" s="9"/>
      <c r="KN897" s="9"/>
      <c r="KO897" s="9"/>
      <c r="KP897" s="9"/>
      <c r="KQ897" s="9"/>
      <c r="KR897" s="9"/>
      <c r="KS897" s="9"/>
      <c r="KT897" s="9"/>
      <c r="KU897" s="9"/>
      <c r="KV897" s="9"/>
      <c r="KW897" s="9"/>
      <c r="KX897" s="9"/>
      <c r="KY897" s="9"/>
      <c r="KZ897" s="9"/>
      <c r="LA897" s="9"/>
      <c r="LB897" s="9"/>
      <c r="LC897" s="9"/>
      <c r="LD897" s="9"/>
      <c r="LE897" s="9"/>
      <c r="LF897" s="9"/>
      <c r="LG897" s="9"/>
      <c r="LH897" s="9"/>
      <c r="LI897" s="9"/>
      <c r="LJ897" s="9"/>
      <c r="LK897" s="9"/>
      <c r="LL897" s="9"/>
      <c r="LM897" s="9"/>
      <c r="LN897" s="9"/>
      <c r="LO897" s="9"/>
      <c r="LP897" s="9"/>
      <c r="LQ897" s="9"/>
      <c r="LR897" s="9"/>
      <c r="LS897" s="9"/>
      <c r="LT897" s="9"/>
      <c r="LU897" s="9"/>
      <c r="LV897" s="9"/>
      <c r="LW897" s="9"/>
      <c r="LX897" s="9"/>
      <c r="LY897" s="9"/>
      <c r="LZ897" s="9"/>
      <c r="MA897" s="9"/>
      <c r="MB897" s="9"/>
      <c r="MC897" s="9"/>
      <c r="MD897" s="9"/>
      <c r="ME897" s="9"/>
      <c r="MF897" s="9"/>
      <c r="MG897" s="9"/>
      <c r="MH897" s="9"/>
      <c r="MI897" s="9"/>
      <c r="MJ897" s="9"/>
      <c r="MK897" s="9"/>
      <c r="ML897" s="9"/>
      <c r="MM897" s="9"/>
      <c r="MN897" s="9"/>
      <c r="MO897" s="9"/>
      <c r="MP897" s="9"/>
      <c r="MQ897" s="9"/>
      <c r="MR897" s="9"/>
      <c r="MS897" s="9"/>
      <c r="MT897" s="9"/>
      <c r="MU897" s="9"/>
      <c r="MV897" s="9"/>
      <c r="MW897" s="9"/>
      <c r="MX897" s="9"/>
      <c r="MY897" s="9"/>
      <c r="MZ897" s="9"/>
      <c r="NA897" s="9"/>
      <c r="NB897" s="9"/>
      <c r="NC897" s="9"/>
      <c r="ND897" s="9"/>
      <c r="NE897" s="9"/>
      <c r="NF897" s="9"/>
      <c r="NG897" s="9"/>
      <c r="NH897" s="9"/>
      <c r="NI897" s="9"/>
      <c r="NJ897" s="9"/>
      <c r="NK897" s="9"/>
      <c r="NL897" s="9"/>
      <c r="NM897" s="9"/>
      <c r="NN897" s="9"/>
      <c r="NO897" s="9"/>
      <c r="NP897" s="9"/>
      <c r="NQ897" s="9"/>
      <c r="NR897" s="9"/>
      <c r="NS897" s="9"/>
      <c r="NT897" s="9"/>
      <c r="NU897" s="9"/>
      <c r="NV897" s="9"/>
      <c r="NW897" s="9"/>
      <c r="NX897" s="9"/>
      <c r="NY897" s="9"/>
      <c r="NZ897" s="9"/>
      <c r="OA897" s="9"/>
      <c r="OB897" s="9"/>
      <c r="OC897" s="9"/>
      <c r="OD897" s="9"/>
      <c r="OE897" s="9"/>
      <c r="OF897" s="9"/>
      <c r="OG897" s="9"/>
      <c r="OH897" s="9"/>
      <c r="OI897" s="9"/>
      <c r="OJ897" s="9"/>
      <c r="OK897" s="9"/>
      <c r="OL897" s="9"/>
      <c r="OM897" s="9"/>
      <c r="ON897" s="9"/>
      <c r="OO897" s="9"/>
      <c r="OP897" s="9"/>
      <c r="OQ897" s="9"/>
      <c r="OR897" s="9"/>
      <c r="OS897" s="9"/>
      <c r="OT897" s="9"/>
      <c r="OU897" s="9"/>
      <c r="OV897" s="9"/>
      <c r="OW897" s="9"/>
      <c r="OX897" s="9"/>
      <c r="OY897" s="9"/>
      <c r="OZ897" s="9"/>
      <c r="PA897" s="9"/>
      <c r="PB897" s="9"/>
      <c r="PC897" s="9"/>
      <c r="PD897" s="9"/>
      <c r="PE897" s="9"/>
      <c r="PF897" s="9"/>
      <c r="PG897" s="9"/>
      <c r="PH897" s="9"/>
      <c r="PI897" s="9"/>
      <c r="PJ897" s="9"/>
      <c r="PK897" s="9"/>
      <c r="PL897" s="9"/>
      <c r="PM897" s="9"/>
      <c r="PN897" s="9"/>
      <c r="PO897" s="9"/>
      <c r="PP897" s="9"/>
      <c r="PQ897" s="9"/>
      <c r="PR897" s="9"/>
      <c r="PS897" s="9"/>
      <c r="PT897" s="9"/>
      <c r="PU897" s="9"/>
      <c r="PV897" s="9"/>
      <c r="PW897" s="9"/>
      <c r="PX897" s="9"/>
      <c r="PY897" s="9"/>
      <c r="PZ897" s="9"/>
      <c r="QA897" s="9"/>
      <c r="QB897" s="9"/>
      <c r="QC897" s="9"/>
      <c r="QD897" s="9"/>
      <c r="QE897" s="9"/>
      <c r="QF897" s="9"/>
      <c r="QG897" s="9"/>
      <c r="QH897" s="9"/>
      <c r="QI897" s="9"/>
      <c r="QJ897" s="9"/>
      <c r="QK897" s="9"/>
      <c r="QL897" s="9"/>
      <c r="QM897" s="9"/>
      <c r="QN897" s="9"/>
      <c r="QO897" s="9"/>
      <c r="QP897" s="9"/>
      <c r="QQ897" s="9"/>
      <c r="QR897" s="9"/>
      <c r="QS897" s="9"/>
      <c r="QT897" s="9"/>
      <c r="QU897" s="9"/>
      <c r="QV897" s="9"/>
      <c r="QW897" s="9"/>
      <c r="QX897" s="9"/>
      <c r="QY897" s="9"/>
      <c r="QZ897" s="9"/>
      <c r="RA897" s="9"/>
      <c r="RB897" s="9"/>
      <c r="RC897" s="9"/>
      <c r="RD897" s="9"/>
      <c r="RE897" s="9"/>
      <c r="RF897" s="9"/>
      <c r="RG897" s="9"/>
      <c r="RH897" s="9"/>
      <c r="RI897" s="9"/>
      <c r="RJ897" s="9"/>
      <c r="RK897" s="9"/>
      <c r="RL897" s="9"/>
      <c r="RM897" s="9"/>
      <c r="RN897" s="9"/>
      <c r="RO897" s="9"/>
      <c r="RP897" s="9"/>
      <c r="RQ897" s="9"/>
      <c r="RR897" s="9"/>
      <c r="RS897" s="9"/>
      <c r="RT897" s="9"/>
      <c r="RU897" s="9"/>
      <c r="RV897" s="9"/>
      <c r="RW897" s="9"/>
      <c r="RX897" s="9"/>
      <c r="RY897" s="9"/>
      <c r="RZ897" s="9"/>
      <c r="SA897" s="9"/>
      <c r="SB897" s="9"/>
      <c r="SC897" s="9"/>
      <c r="SD897" s="9"/>
      <c r="SE897" s="9"/>
      <c r="SF897" s="9"/>
      <c r="SG897" s="9"/>
      <c r="SH897" s="9"/>
      <c r="SI897" s="9"/>
      <c r="SJ897" s="9"/>
      <c r="SK897" s="9"/>
      <c r="SL897" s="9"/>
      <c r="SM897" s="9"/>
      <c r="SN897" s="9"/>
      <c r="SO897" s="9"/>
      <c r="SP897" s="9"/>
      <c r="SQ897" s="9"/>
      <c r="SR897" s="9"/>
      <c r="SS897" s="9"/>
      <c r="ST897" s="9"/>
      <c r="SU897" s="9"/>
      <c r="SV897" s="9"/>
      <c r="SW897" s="9"/>
      <c r="SX897" s="9"/>
      <c r="SY897" s="9"/>
      <c r="SZ897" s="9"/>
      <c r="TA897" s="9"/>
      <c r="TB897" s="9"/>
      <c r="TC897" s="9"/>
      <c r="TD897" s="9"/>
      <c r="TE897" s="9"/>
      <c r="TF897" s="9"/>
      <c r="TG897" s="9"/>
      <c r="TH897" s="9"/>
      <c r="TI897" s="9"/>
      <c r="TJ897" s="9"/>
      <c r="TK897" s="9"/>
      <c r="TL897" s="9"/>
      <c r="TM897" s="9"/>
      <c r="TN897" s="9"/>
      <c r="TO897" s="9"/>
      <c r="TP897" s="9"/>
      <c r="TQ897" s="9"/>
      <c r="TR897" s="9"/>
      <c r="TS897" s="9"/>
      <c r="TT897" s="9"/>
      <c r="TU897" s="9"/>
      <c r="TV897" s="9"/>
      <c r="TW897" s="9"/>
      <c r="TX897" s="9"/>
      <c r="TY897" s="9"/>
      <c r="TZ897" s="9"/>
      <c r="UA897" s="9"/>
      <c r="UB897" s="9"/>
      <c r="UC897" s="9"/>
      <c r="UD897" s="9"/>
      <c r="UE897" s="9"/>
      <c r="UF897" s="9"/>
      <c r="UG897" s="9"/>
      <c r="UH897" s="9"/>
      <c r="UI897" s="9"/>
      <c r="UJ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9"/>
      <c r="GV898" s="9"/>
      <c r="GW898" s="9"/>
      <c r="GX898" s="9"/>
      <c r="GY898" s="9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  <c r="HO898" s="9"/>
      <c r="HP898" s="9"/>
      <c r="HQ898" s="9"/>
      <c r="HR898" s="9"/>
      <c r="HS898" s="9"/>
      <c r="HT898" s="9"/>
      <c r="HU898" s="9"/>
      <c r="HV898" s="9"/>
      <c r="HW898" s="9"/>
      <c r="HX898" s="9"/>
      <c r="HY898" s="9"/>
      <c r="HZ898" s="9"/>
      <c r="IA898" s="9"/>
      <c r="IB898" s="9"/>
      <c r="IC898" s="9"/>
      <c r="ID898" s="9"/>
      <c r="IE898" s="9"/>
      <c r="IF898" s="9"/>
      <c r="IG898" s="9"/>
      <c r="IH898" s="9"/>
      <c r="II898" s="9"/>
      <c r="IJ898" s="9"/>
      <c r="IK898" s="9"/>
      <c r="IL898" s="9"/>
      <c r="IM898" s="9"/>
      <c r="IN898" s="9"/>
      <c r="IO898" s="9"/>
      <c r="IP898" s="9"/>
      <c r="IQ898" s="9"/>
      <c r="IR898" s="9"/>
      <c r="IS898" s="9"/>
      <c r="IT898" s="9"/>
      <c r="IU898" s="9"/>
      <c r="IV898" s="9"/>
      <c r="IW898" s="9"/>
      <c r="IX898" s="9"/>
      <c r="IY898" s="9"/>
      <c r="IZ898" s="9"/>
      <c r="JA898" s="9"/>
      <c r="JB898" s="9"/>
      <c r="JC898" s="9"/>
      <c r="JD898" s="9"/>
      <c r="JE898" s="9"/>
      <c r="JF898" s="9"/>
      <c r="JG898" s="9"/>
      <c r="JH898" s="9"/>
      <c r="JI898" s="9"/>
      <c r="JJ898" s="9"/>
      <c r="JK898" s="9"/>
      <c r="JL898" s="9"/>
      <c r="JM898" s="9"/>
      <c r="JN898" s="9"/>
      <c r="JO898" s="9"/>
      <c r="JP898" s="9"/>
      <c r="JQ898" s="9"/>
      <c r="JR898" s="9"/>
      <c r="JS898" s="9"/>
      <c r="JT898" s="9"/>
      <c r="JU898" s="9"/>
      <c r="JV898" s="9"/>
      <c r="JW898" s="9"/>
      <c r="JX898" s="9"/>
      <c r="JY898" s="9"/>
      <c r="JZ898" s="9"/>
      <c r="KA898" s="9"/>
      <c r="KB898" s="9"/>
      <c r="KC898" s="9"/>
      <c r="KD898" s="9"/>
      <c r="KE898" s="9"/>
      <c r="KF898" s="9"/>
      <c r="KG898" s="9"/>
      <c r="KH898" s="9"/>
      <c r="KI898" s="9"/>
      <c r="KJ898" s="9"/>
      <c r="KK898" s="9"/>
      <c r="KL898" s="9"/>
      <c r="KM898" s="9"/>
      <c r="KN898" s="9"/>
      <c r="KO898" s="9"/>
      <c r="KP898" s="9"/>
      <c r="KQ898" s="9"/>
      <c r="KR898" s="9"/>
      <c r="KS898" s="9"/>
      <c r="KT898" s="9"/>
      <c r="KU898" s="9"/>
      <c r="KV898" s="9"/>
      <c r="KW898" s="9"/>
      <c r="KX898" s="9"/>
      <c r="KY898" s="9"/>
      <c r="KZ898" s="9"/>
      <c r="LA898" s="9"/>
      <c r="LB898" s="9"/>
      <c r="LC898" s="9"/>
      <c r="LD898" s="9"/>
      <c r="LE898" s="9"/>
      <c r="LF898" s="9"/>
      <c r="LG898" s="9"/>
      <c r="LH898" s="9"/>
      <c r="LI898" s="9"/>
      <c r="LJ898" s="9"/>
      <c r="LK898" s="9"/>
      <c r="LL898" s="9"/>
      <c r="LM898" s="9"/>
      <c r="LN898" s="9"/>
      <c r="LO898" s="9"/>
      <c r="LP898" s="9"/>
      <c r="LQ898" s="9"/>
      <c r="LR898" s="9"/>
      <c r="LS898" s="9"/>
      <c r="LT898" s="9"/>
      <c r="LU898" s="9"/>
      <c r="LV898" s="9"/>
      <c r="LW898" s="9"/>
      <c r="LX898" s="9"/>
      <c r="LY898" s="9"/>
      <c r="LZ898" s="9"/>
      <c r="MA898" s="9"/>
      <c r="MB898" s="9"/>
      <c r="MC898" s="9"/>
      <c r="MD898" s="9"/>
      <c r="ME898" s="9"/>
      <c r="MF898" s="9"/>
      <c r="MG898" s="9"/>
      <c r="MH898" s="9"/>
      <c r="MI898" s="9"/>
      <c r="MJ898" s="9"/>
      <c r="MK898" s="9"/>
      <c r="ML898" s="9"/>
      <c r="MM898" s="9"/>
      <c r="MN898" s="9"/>
      <c r="MO898" s="9"/>
      <c r="MP898" s="9"/>
      <c r="MQ898" s="9"/>
      <c r="MR898" s="9"/>
      <c r="MS898" s="9"/>
      <c r="MT898" s="9"/>
      <c r="MU898" s="9"/>
      <c r="MV898" s="9"/>
      <c r="MW898" s="9"/>
      <c r="MX898" s="9"/>
      <c r="MY898" s="9"/>
      <c r="MZ898" s="9"/>
      <c r="NA898" s="9"/>
      <c r="NB898" s="9"/>
      <c r="NC898" s="9"/>
      <c r="ND898" s="9"/>
      <c r="NE898" s="9"/>
      <c r="NF898" s="9"/>
      <c r="NG898" s="9"/>
      <c r="NH898" s="9"/>
      <c r="NI898" s="9"/>
      <c r="NJ898" s="9"/>
      <c r="NK898" s="9"/>
      <c r="NL898" s="9"/>
      <c r="NM898" s="9"/>
      <c r="NN898" s="9"/>
      <c r="NO898" s="9"/>
      <c r="NP898" s="9"/>
      <c r="NQ898" s="9"/>
      <c r="NR898" s="9"/>
      <c r="NS898" s="9"/>
      <c r="NT898" s="9"/>
      <c r="NU898" s="9"/>
      <c r="NV898" s="9"/>
      <c r="NW898" s="9"/>
      <c r="NX898" s="9"/>
      <c r="NY898" s="9"/>
      <c r="NZ898" s="9"/>
      <c r="OA898" s="9"/>
      <c r="OB898" s="9"/>
      <c r="OC898" s="9"/>
      <c r="OD898" s="9"/>
      <c r="OE898" s="9"/>
      <c r="OF898" s="9"/>
      <c r="OG898" s="9"/>
      <c r="OH898" s="9"/>
      <c r="OI898" s="9"/>
      <c r="OJ898" s="9"/>
      <c r="OK898" s="9"/>
      <c r="OL898" s="9"/>
      <c r="OM898" s="9"/>
      <c r="ON898" s="9"/>
      <c r="OO898" s="9"/>
      <c r="OP898" s="9"/>
      <c r="OQ898" s="9"/>
      <c r="OR898" s="9"/>
      <c r="OS898" s="9"/>
      <c r="OT898" s="9"/>
      <c r="OU898" s="9"/>
      <c r="OV898" s="9"/>
      <c r="OW898" s="9"/>
      <c r="OX898" s="9"/>
      <c r="OY898" s="9"/>
      <c r="OZ898" s="9"/>
      <c r="PA898" s="9"/>
      <c r="PB898" s="9"/>
      <c r="PC898" s="9"/>
      <c r="PD898" s="9"/>
      <c r="PE898" s="9"/>
      <c r="PF898" s="9"/>
      <c r="PG898" s="9"/>
      <c r="PH898" s="9"/>
      <c r="PI898" s="9"/>
      <c r="PJ898" s="9"/>
      <c r="PK898" s="9"/>
      <c r="PL898" s="9"/>
      <c r="PM898" s="9"/>
      <c r="PN898" s="9"/>
      <c r="PO898" s="9"/>
      <c r="PP898" s="9"/>
      <c r="PQ898" s="9"/>
      <c r="PR898" s="9"/>
      <c r="PS898" s="9"/>
      <c r="PT898" s="9"/>
      <c r="PU898" s="9"/>
      <c r="PV898" s="9"/>
      <c r="PW898" s="9"/>
      <c r="PX898" s="9"/>
      <c r="PY898" s="9"/>
      <c r="PZ898" s="9"/>
      <c r="QA898" s="9"/>
      <c r="QB898" s="9"/>
      <c r="QC898" s="9"/>
      <c r="QD898" s="9"/>
      <c r="QE898" s="9"/>
      <c r="QF898" s="9"/>
      <c r="QG898" s="9"/>
      <c r="QH898" s="9"/>
      <c r="QI898" s="9"/>
      <c r="QJ898" s="9"/>
      <c r="QK898" s="9"/>
      <c r="QL898" s="9"/>
      <c r="QM898" s="9"/>
      <c r="QN898" s="9"/>
      <c r="QO898" s="9"/>
      <c r="QP898" s="9"/>
      <c r="QQ898" s="9"/>
      <c r="QR898" s="9"/>
      <c r="QS898" s="9"/>
      <c r="QT898" s="9"/>
      <c r="QU898" s="9"/>
      <c r="QV898" s="9"/>
      <c r="QW898" s="9"/>
      <c r="QX898" s="9"/>
      <c r="QY898" s="9"/>
      <c r="QZ898" s="9"/>
      <c r="RA898" s="9"/>
      <c r="RB898" s="9"/>
      <c r="RC898" s="9"/>
      <c r="RD898" s="9"/>
      <c r="RE898" s="9"/>
      <c r="RF898" s="9"/>
      <c r="RG898" s="9"/>
      <c r="RH898" s="9"/>
      <c r="RI898" s="9"/>
      <c r="RJ898" s="9"/>
      <c r="RK898" s="9"/>
      <c r="RL898" s="9"/>
      <c r="RM898" s="9"/>
      <c r="RN898" s="9"/>
      <c r="RO898" s="9"/>
      <c r="RP898" s="9"/>
      <c r="RQ898" s="9"/>
      <c r="RR898" s="9"/>
      <c r="RS898" s="9"/>
      <c r="RT898" s="9"/>
      <c r="RU898" s="9"/>
      <c r="RV898" s="9"/>
      <c r="RW898" s="9"/>
      <c r="RX898" s="9"/>
      <c r="RY898" s="9"/>
      <c r="RZ898" s="9"/>
      <c r="SA898" s="9"/>
      <c r="SB898" s="9"/>
      <c r="SC898" s="9"/>
      <c r="SD898" s="9"/>
      <c r="SE898" s="9"/>
      <c r="SF898" s="9"/>
      <c r="SG898" s="9"/>
      <c r="SH898" s="9"/>
      <c r="SI898" s="9"/>
      <c r="SJ898" s="9"/>
      <c r="SK898" s="9"/>
      <c r="SL898" s="9"/>
      <c r="SM898" s="9"/>
      <c r="SN898" s="9"/>
      <c r="SO898" s="9"/>
      <c r="SP898" s="9"/>
      <c r="SQ898" s="9"/>
      <c r="SR898" s="9"/>
      <c r="SS898" s="9"/>
      <c r="ST898" s="9"/>
      <c r="SU898" s="9"/>
      <c r="SV898" s="9"/>
      <c r="SW898" s="9"/>
      <c r="SX898" s="9"/>
      <c r="SY898" s="9"/>
      <c r="SZ898" s="9"/>
      <c r="TA898" s="9"/>
      <c r="TB898" s="9"/>
      <c r="TC898" s="9"/>
      <c r="TD898" s="9"/>
      <c r="TE898" s="9"/>
      <c r="TF898" s="9"/>
      <c r="TG898" s="9"/>
      <c r="TH898" s="9"/>
      <c r="TI898" s="9"/>
      <c r="TJ898" s="9"/>
      <c r="TK898" s="9"/>
      <c r="TL898" s="9"/>
      <c r="TM898" s="9"/>
      <c r="TN898" s="9"/>
      <c r="TO898" s="9"/>
      <c r="TP898" s="9"/>
      <c r="TQ898" s="9"/>
      <c r="TR898" s="9"/>
      <c r="TS898" s="9"/>
      <c r="TT898" s="9"/>
      <c r="TU898" s="9"/>
      <c r="TV898" s="9"/>
      <c r="TW898" s="9"/>
      <c r="TX898" s="9"/>
      <c r="TY898" s="9"/>
      <c r="TZ898" s="9"/>
      <c r="UA898" s="9"/>
      <c r="UB898" s="9"/>
      <c r="UC898" s="9"/>
      <c r="UD898" s="9"/>
      <c r="UE898" s="9"/>
      <c r="UF898" s="9"/>
      <c r="UG898" s="9"/>
      <c r="UH898" s="9"/>
      <c r="UI898" s="9"/>
      <c r="UJ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  <c r="GA899" s="9"/>
      <c r="GB899" s="9"/>
      <c r="GC899" s="9"/>
      <c r="GD899" s="9"/>
      <c r="GE899" s="9"/>
      <c r="GF899" s="9"/>
      <c r="GG899" s="9"/>
      <c r="GH899" s="9"/>
      <c r="GI899" s="9"/>
      <c r="GJ899" s="9"/>
      <c r="GK899" s="9"/>
      <c r="GL899" s="9"/>
      <c r="GM899" s="9"/>
      <c r="GN899" s="9"/>
      <c r="GO899" s="9"/>
      <c r="GP899" s="9"/>
      <c r="GQ899" s="9"/>
      <c r="GR899" s="9"/>
      <c r="GS899" s="9"/>
      <c r="GT899" s="9"/>
      <c r="GU899" s="9"/>
      <c r="GV899" s="9"/>
      <c r="GW899" s="9"/>
      <c r="GX899" s="9"/>
      <c r="GY899" s="9"/>
      <c r="GZ899" s="9"/>
      <c r="HA899" s="9"/>
      <c r="HB899" s="9"/>
      <c r="HC899" s="9"/>
      <c r="HD899" s="9"/>
      <c r="HE899" s="9"/>
      <c r="HF899" s="9"/>
      <c r="HG899" s="9"/>
      <c r="HH899" s="9"/>
      <c r="HI899" s="9"/>
      <c r="HJ899" s="9"/>
      <c r="HK899" s="9"/>
      <c r="HL899" s="9"/>
      <c r="HM899" s="9"/>
      <c r="HN899" s="9"/>
      <c r="HO899" s="9"/>
      <c r="HP899" s="9"/>
      <c r="HQ899" s="9"/>
      <c r="HR899" s="9"/>
      <c r="HS899" s="9"/>
      <c r="HT899" s="9"/>
      <c r="HU899" s="9"/>
      <c r="HV899" s="9"/>
      <c r="HW899" s="9"/>
      <c r="HX899" s="9"/>
      <c r="HY899" s="9"/>
      <c r="HZ899" s="9"/>
      <c r="IA899" s="9"/>
      <c r="IB899" s="9"/>
      <c r="IC899" s="9"/>
      <c r="ID899" s="9"/>
      <c r="IE899" s="9"/>
      <c r="IF899" s="9"/>
      <c r="IG899" s="9"/>
      <c r="IH899" s="9"/>
      <c r="II899" s="9"/>
      <c r="IJ899" s="9"/>
      <c r="IK899" s="9"/>
      <c r="IL899" s="9"/>
      <c r="IM899" s="9"/>
      <c r="IN899" s="9"/>
      <c r="IO899" s="9"/>
      <c r="IP899" s="9"/>
      <c r="IQ899" s="9"/>
      <c r="IR899" s="9"/>
      <c r="IS899" s="9"/>
      <c r="IT899" s="9"/>
      <c r="IU899" s="9"/>
      <c r="IV899" s="9"/>
      <c r="IW899" s="9"/>
      <c r="IX899" s="9"/>
      <c r="IY899" s="9"/>
      <c r="IZ899" s="9"/>
      <c r="JA899" s="9"/>
      <c r="JB899" s="9"/>
      <c r="JC899" s="9"/>
      <c r="JD899" s="9"/>
      <c r="JE899" s="9"/>
      <c r="JF899" s="9"/>
      <c r="JG899" s="9"/>
      <c r="JH899" s="9"/>
      <c r="JI899" s="9"/>
      <c r="JJ899" s="9"/>
      <c r="JK899" s="9"/>
      <c r="JL899" s="9"/>
      <c r="JM899" s="9"/>
      <c r="JN899" s="9"/>
      <c r="JO899" s="9"/>
      <c r="JP899" s="9"/>
      <c r="JQ899" s="9"/>
      <c r="JR899" s="9"/>
      <c r="JS899" s="9"/>
      <c r="JT899" s="9"/>
      <c r="JU899" s="9"/>
      <c r="JV899" s="9"/>
      <c r="JW899" s="9"/>
      <c r="JX899" s="9"/>
      <c r="JY899" s="9"/>
      <c r="JZ899" s="9"/>
      <c r="KA899" s="9"/>
      <c r="KB899" s="9"/>
      <c r="KC899" s="9"/>
      <c r="KD899" s="9"/>
      <c r="KE899" s="9"/>
      <c r="KF899" s="9"/>
      <c r="KG899" s="9"/>
      <c r="KH899" s="9"/>
      <c r="KI899" s="9"/>
      <c r="KJ899" s="9"/>
      <c r="KK899" s="9"/>
      <c r="KL899" s="9"/>
      <c r="KM899" s="9"/>
      <c r="KN899" s="9"/>
      <c r="KO899" s="9"/>
      <c r="KP899" s="9"/>
      <c r="KQ899" s="9"/>
      <c r="KR899" s="9"/>
      <c r="KS899" s="9"/>
      <c r="KT899" s="9"/>
      <c r="KU899" s="9"/>
      <c r="KV899" s="9"/>
      <c r="KW899" s="9"/>
      <c r="KX899" s="9"/>
      <c r="KY899" s="9"/>
      <c r="KZ899" s="9"/>
      <c r="LA899" s="9"/>
      <c r="LB899" s="9"/>
      <c r="LC899" s="9"/>
      <c r="LD899" s="9"/>
      <c r="LE899" s="9"/>
      <c r="LF899" s="9"/>
      <c r="LG899" s="9"/>
      <c r="LH899" s="9"/>
      <c r="LI899" s="9"/>
      <c r="LJ899" s="9"/>
      <c r="LK899" s="9"/>
      <c r="LL899" s="9"/>
      <c r="LM899" s="9"/>
      <c r="LN899" s="9"/>
      <c r="LO899" s="9"/>
      <c r="LP899" s="9"/>
      <c r="LQ899" s="9"/>
      <c r="LR899" s="9"/>
      <c r="LS899" s="9"/>
      <c r="LT899" s="9"/>
      <c r="LU899" s="9"/>
      <c r="LV899" s="9"/>
      <c r="LW899" s="9"/>
      <c r="LX899" s="9"/>
      <c r="LY899" s="9"/>
      <c r="LZ899" s="9"/>
      <c r="MA899" s="9"/>
      <c r="MB899" s="9"/>
      <c r="MC899" s="9"/>
      <c r="MD899" s="9"/>
      <c r="ME899" s="9"/>
      <c r="MF899" s="9"/>
      <c r="MG899" s="9"/>
      <c r="MH899" s="9"/>
      <c r="MI899" s="9"/>
      <c r="MJ899" s="9"/>
      <c r="MK899" s="9"/>
      <c r="ML899" s="9"/>
      <c r="MM899" s="9"/>
      <c r="MN899" s="9"/>
      <c r="MO899" s="9"/>
      <c r="MP899" s="9"/>
      <c r="MQ899" s="9"/>
      <c r="MR899" s="9"/>
      <c r="MS899" s="9"/>
      <c r="MT899" s="9"/>
      <c r="MU899" s="9"/>
      <c r="MV899" s="9"/>
      <c r="MW899" s="9"/>
      <c r="MX899" s="9"/>
      <c r="MY899" s="9"/>
      <c r="MZ899" s="9"/>
      <c r="NA899" s="9"/>
      <c r="NB899" s="9"/>
      <c r="NC899" s="9"/>
      <c r="ND899" s="9"/>
      <c r="NE899" s="9"/>
      <c r="NF899" s="9"/>
      <c r="NG899" s="9"/>
      <c r="NH899" s="9"/>
      <c r="NI899" s="9"/>
      <c r="NJ899" s="9"/>
      <c r="NK899" s="9"/>
      <c r="NL899" s="9"/>
      <c r="NM899" s="9"/>
      <c r="NN899" s="9"/>
      <c r="NO899" s="9"/>
      <c r="NP899" s="9"/>
      <c r="NQ899" s="9"/>
      <c r="NR899" s="9"/>
      <c r="NS899" s="9"/>
      <c r="NT899" s="9"/>
      <c r="NU899" s="9"/>
      <c r="NV899" s="9"/>
      <c r="NW899" s="9"/>
      <c r="NX899" s="9"/>
      <c r="NY899" s="9"/>
      <c r="NZ899" s="9"/>
      <c r="OA899" s="9"/>
      <c r="OB899" s="9"/>
      <c r="OC899" s="9"/>
      <c r="OD899" s="9"/>
      <c r="OE899" s="9"/>
      <c r="OF899" s="9"/>
      <c r="OG899" s="9"/>
      <c r="OH899" s="9"/>
      <c r="OI899" s="9"/>
      <c r="OJ899" s="9"/>
      <c r="OK899" s="9"/>
      <c r="OL899" s="9"/>
      <c r="OM899" s="9"/>
      <c r="ON899" s="9"/>
      <c r="OO899" s="9"/>
      <c r="OP899" s="9"/>
      <c r="OQ899" s="9"/>
      <c r="OR899" s="9"/>
      <c r="OS899" s="9"/>
      <c r="OT899" s="9"/>
      <c r="OU899" s="9"/>
      <c r="OV899" s="9"/>
      <c r="OW899" s="9"/>
      <c r="OX899" s="9"/>
      <c r="OY899" s="9"/>
      <c r="OZ899" s="9"/>
      <c r="PA899" s="9"/>
      <c r="PB899" s="9"/>
      <c r="PC899" s="9"/>
      <c r="PD899" s="9"/>
      <c r="PE899" s="9"/>
      <c r="PF899" s="9"/>
      <c r="PG899" s="9"/>
      <c r="PH899" s="9"/>
      <c r="PI899" s="9"/>
      <c r="PJ899" s="9"/>
      <c r="PK899" s="9"/>
      <c r="PL899" s="9"/>
      <c r="PM899" s="9"/>
      <c r="PN899" s="9"/>
      <c r="PO899" s="9"/>
      <c r="PP899" s="9"/>
      <c r="PQ899" s="9"/>
      <c r="PR899" s="9"/>
      <c r="PS899" s="9"/>
      <c r="PT899" s="9"/>
      <c r="PU899" s="9"/>
      <c r="PV899" s="9"/>
      <c r="PW899" s="9"/>
      <c r="PX899" s="9"/>
      <c r="PY899" s="9"/>
      <c r="PZ899" s="9"/>
      <c r="QA899" s="9"/>
      <c r="QB899" s="9"/>
      <c r="QC899" s="9"/>
      <c r="QD899" s="9"/>
      <c r="QE899" s="9"/>
      <c r="QF899" s="9"/>
      <c r="QG899" s="9"/>
      <c r="QH899" s="9"/>
      <c r="QI899" s="9"/>
      <c r="QJ899" s="9"/>
      <c r="QK899" s="9"/>
      <c r="QL899" s="9"/>
      <c r="QM899" s="9"/>
      <c r="QN899" s="9"/>
      <c r="QO899" s="9"/>
      <c r="QP899" s="9"/>
      <c r="QQ899" s="9"/>
      <c r="QR899" s="9"/>
      <c r="QS899" s="9"/>
      <c r="QT899" s="9"/>
      <c r="QU899" s="9"/>
      <c r="QV899" s="9"/>
      <c r="QW899" s="9"/>
      <c r="QX899" s="9"/>
      <c r="QY899" s="9"/>
      <c r="QZ899" s="9"/>
      <c r="RA899" s="9"/>
      <c r="RB899" s="9"/>
      <c r="RC899" s="9"/>
      <c r="RD899" s="9"/>
      <c r="RE899" s="9"/>
      <c r="RF899" s="9"/>
      <c r="RG899" s="9"/>
      <c r="RH899" s="9"/>
      <c r="RI899" s="9"/>
      <c r="RJ899" s="9"/>
      <c r="RK899" s="9"/>
      <c r="RL899" s="9"/>
      <c r="RM899" s="9"/>
      <c r="RN899" s="9"/>
      <c r="RO899" s="9"/>
      <c r="RP899" s="9"/>
      <c r="RQ899" s="9"/>
      <c r="RR899" s="9"/>
      <c r="RS899" s="9"/>
      <c r="RT899" s="9"/>
      <c r="RU899" s="9"/>
      <c r="RV899" s="9"/>
      <c r="RW899" s="9"/>
      <c r="RX899" s="9"/>
      <c r="RY899" s="9"/>
      <c r="RZ899" s="9"/>
      <c r="SA899" s="9"/>
      <c r="SB899" s="9"/>
      <c r="SC899" s="9"/>
      <c r="SD899" s="9"/>
      <c r="SE899" s="9"/>
      <c r="SF899" s="9"/>
      <c r="SG899" s="9"/>
      <c r="SH899" s="9"/>
      <c r="SI899" s="9"/>
      <c r="SJ899" s="9"/>
      <c r="SK899" s="9"/>
      <c r="SL899" s="9"/>
      <c r="SM899" s="9"/>
      <c r="SN899" s="9"/>
      <c r="SO899" s="9"/>
      <c r="SP899" s="9"/>
      <c r="SQ899" s="9"/>
      <c r="SR899" s="9"/>
      <c r="SS899" s="9"/>
      <c r="ST899" s="9"/>
      <c r="SU899" s="9"/>
      <c r="SV899" s="9"/>
      <c r="SW899" s="9"/>
      <c r="SX899" s="9"/>
      <c r="SY899" s="9"/>
      <c r="SZ899" s="9"/>
      <c r="TA899" s="9"/>
      <c r="TB899" s="9"/>
      <c r="TC899" s="9"/>
      <c r="TD899" s="9"/>
      <c r="TE899" s="9"/>
      <c r="TF899" s="9"/>
      <c r="TG899" s="9"/>
      <c r="TH899" s="9"/>
      <c r="TI899" s="9"/>
      <c r="TJ899" s="9"/>
      <c r="TK899" s="9"/>
      <c r="TL899" s="9"/>
      <c r="TM899" s="9"/>
      <c r="TN899" s="9"/>
      <c r="TO899" s="9"/>
      <c r="TP899" s="9"/>
      <c r="TQ899" s="9"/>
      <c r="TR899" s="9"/>
      <c r="TS899" s="9"/>
      <c r="TT899" s="9"/>
      <c r="TU899" s="9"/>
      <c r="TV899" s="9"/>
      <c r="TW899" s="9"/>
      <c r="TX899" s="9"/>
      <c r="TY899" s="9"/>
      <c r="TZ899" s="9"/>
      <c r="UA899" s="9"/>
      <c r="UB899" s="9"/>
      <c r="UC899" s="9"/>
      <c r="UD899" s="9"/>
      <c r="UE899" s="9"/>
      <c r="UF899" s="9"/>
      <c r="UG899" s="9"/>
      <c r="UH899" s="9"/>
      <c r="UI899" s="9"/>
      <c r="UJ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9"/>
      <c r="FS900" s="9"/>
      <c r="FT900" s="9"/>
      <c r="FU900" s="9"/>
      <c r="FV900" s="9"/>
      <c r="FW900" s="9"/>
      <c r="FX900" s="9"/>
      <c r="FY900" s="9"/>
      <c r="FZ900" s="9"/>
      <c r="GA900" s="9"/>
      <c r="GB900" s="9"/>
      <c r="GC900" s="9"/>
      <c r="GD900" s="9"/>
      <c r="GE900" s="9"/>
      <c r="GF900" s="9"/>
      <c r="GG900" s="9"/>
      <c r="GH900" s="9"/>
      <c r="GI900" s="9"/>
      <c r="GJ900" s="9"/>
      <c r="GK900" s="9"/>
      <c r="GL900" s="9"/>
      <c r="GM900" s="9"/>
      <c r="GN900" s="9"/>
      <c r="GO900" s="9"/>
      <c r="GP900" s="9"/>
      <c r="GQ900" s="9"/>
      <c r="GR900" s="9"/>
      <c r="GS900" s="9"/>
      <c r="GT900" s="9"/>
      <c r="GU900" s="9"/>
      <c r="GV900" s="9"/>
      <c r="GW900" s="9"/>
      <c r="GX900" s="9"/>
      <c r="GY900" s="9"/>
      <c r="GZ900" s="9"/>
      <c r="HA900" s="9"/>
      <c r="HB900" s="9"/>
      <c r="HC900" s="9"/>
      <c r="HD900" s="9"/>
      <c r="HE900" s="9"/>
      <c r="HF900" s="9"/>
      <c r="HG900" s="9"/>
      <c r="HH900" s="9"/>
      <c r="HI900" s="9"/>
      <c r="HJ900" s="9"/>
      <c r="HK900" s="9"/>
      <c r="HL900" s="9"/>
      <c r="HM900" s="9"/>
      <c r="HN900" s="9"/>
      <c r="HO900" s="9"/>
      <c r="HP900" s="9"/>
      <c r="HQ900" s="9"/>
      <c r="HR900" s="9"/>
      <c r="HS900" s="9"/>
      <c r="HT900" s="9"/>
      <c r="HU900" s="9"/>
      <c r="HV900" s="9"/>
      <c r="HW900" s="9"/>
      <c r="HX900" s="9"/>
      <c r="HY900" s="9"/>
      <c r="HZ900" s="9"/>
      <c r="IA900" s="9"/>
      <c r="IB900" s="9"/>
      <c r="IC900" s="9"/>
      <c r="ID900" s="9"/>
      <c r="IE900" s="9"/>
      <c r="IF900" s="9"/>
      <c r="IG900" s="9"/>
      <c r="IH900" s="9"/>
      <c r="II900" s="9"/>
      <c r="IJ900" s="9"/>
      <c r="IK900" s="9"/>
      <c r="IL900" s="9"/>
      <c r="IM900" s="9"/>
      <c r="IN900" s="9"/>
      <c r="IO900" s="9"/>
      <c r="IP900" s="9"/>
      <c r="IQ900" s="9"/>
      <c r="IR900" s="9"/>
      <c r="IS900" s="9"/>
      <c r="IT900" s="9"/>
      <c r="IU900" s="9"/>
      <c r="IV900" s="9"/>
      <c r="IW900" s="9"/>
      <c r="IX900" s="9"/>
      <c r="IY900" s="9"/>
      <c r="IZ900" s="9"/>
      <c r="JA900" s="9"/>
      <c r="JB900" s="9"/>
      <c r="JC900" s="9"/>
      <c r="JD900" s="9"/>
      <c r="JE900" s="9"/>
      <c r="JF900" s="9"/>
      <c r="JG900" s="9"/>
      <c r="JH900" s="9"/>
      <c r="JI900" s="9"/>
      <c r="JJ900" s="9"/>
      <c r="JK900" s="9"/>
      <c r="JL900" s="9"/>
      <c r="JM900" s="9"/>
      <c r="JN900" s="9"/>
      <c r="JO900" s="9"/>
      <c r="JP900" s="9"/>
      <c r="JQ900" s="9"/>
      <c r="JR900" s="9"/>
      <c r="JS900" s="9"/>
      <c r="JT900" s="9"/>
      <c r="JU900" s="9"/>
      <c r="JV900" s="9"/>
      <c r="JW900" s="9"/>
      <c r="JX900" s="9"/>
      <c r="JY900" s="9"/>
      <c r="JZ900" s="9"/>
      <c r="KA900" s="9"/>
      <c r="KB900" s="9"/>
      <c r="KC900" s="9"/>
      <c r="KD900" s="9"/>
      <c r="KE900" s="9"/>
      <c r="KF900" s="9"/>
      <c r="KG900" s="9"/>
      <c r="KH900" s="9"/>
      <c r="KI900" s="9"/>
      <c r="KJ900" s="9"/>
      <c r="KK900" s="9"/>
      <c r="KL900" s="9"/>
      <c r="KM900" s="9"/>
      <c r="KN900" s="9"/>
      <c r="KO900" s="9"/>
      <c r="KP900" s="9"/>
      <c r="KQ900" s="9"/>
      <c r="KR900" s="9"/>
      <c r="KS900" s="9"/>
      <c r="KT900" s="9"/>
      <c r="KU900" s="9"/>
      <c r="KV900" s="9"/>
      <c r="KW900" s="9"/>
      <c r="KX900" s="9"/>
      <c r="KY900" s="9"/>
      <c r="KZ900" s="9"/>
      <c r="LA900" s="9"/>
      <c r="LB900" s="9"/>
      <c r="LC900" s="9"/>
      <c r="LD900" s="9"/>
      <c r="LE900" s="9"/>
      <c r="LF900" s="9"/>
      <c r="LG900" s="9"/>
      <c r="LH900" s="9"/>
      <c r="LI900" s="9"/>
      <c r="LJ900" s="9"/>
      <c r="LK900" s="9"/>
      <c r="LL900" s="9"/>
      <c r="LM900" s="9"/>
      <c r="LN900" s="9"/>
      <c r="LO900" s="9"/>
      <c r="LP900" s="9"/>
      <c r="LQ900" s="9"/>
      <c r="LR900" s="9"/>
      <c r="LS900" s="9"/>
      <c r="LT900" s="9"/>
      <c r="LU900" s="9"/>
      <c r="LV900" s="9"/>
      <c r="LW900" s="9"/>
      <c r="LX900" s="9"/>
      <c r="LY900" s="9"/>
      <c r="LZ900" s="9"/>
      <c r="MA900" s="9"/>
      <c r="MB900" s="9"/>
      <c r="MC900" s="9"/>
      <c r="MD900" s="9"/>
      <c r="ME900" s="9"/>
      <c r="MF900" s="9"/>
      <c r="MG900" s="9"/>
      <c r="MH900" s="9"/>
      <c r="MI900" s="9"/>
      <c r="MJ900" s="9"/>
      <c r="MK900" s="9"/>
      <c r="ML900" s="9"/>
      <c r="MM900" s="9"/>
      <c r="MN900" s="9"/>
      <c r="MO900" s="9"/>
      <c r="MP900" s="9"/>
      <c r="MQ900" s="9"/>
      <c r="MR900" s="9"/>
      <c r="MS900" s="9"/>
      <c r="MT900" s="9"/>
      <c r="MU900" s="9"/>
      <c r="MV900" s="9"/>
      <c r="MW900" s="9"/>
      <c r="MX900" s="9"/>
      <c r="MY900" s="9"/>
      <c r="MZ900" s="9"/>
      <c r="NA900" s="9"/>
      <c r="NB900" s="9"/>
      <c r="NC900" s="9"/>
      <c r="ND900" s="9"/>
      <c r="NE900" s="9"/>
      <c r="NF900" s="9"/>
      <c r="NG900" s="9"/>
      <c r="NH900" s="9"/>
      <c r="NI900" s="9"/>
      <c r="NJ900" s="9"/>
      <c r="NK900" s="9"/>
      <c r="NL900" s="9"/>
      <c r="NM900" s="9"/>
      <c r="NN900" s="9"/>
      <c r="NO900" s="9"/>
      <c r="NP900" s="9"/>
      <c r="NQ900" s="9"/>
      <c r="NR900" s="9"/>
      <c r="NS900" s="9"/>
      <c r="NT900" s="9"/>
      <c r="NU900" s="9"/>
      <c r="NV900" s="9"/>
      <c r="NW900" s="9"/>
      <c r="NX900" s="9"/>
      <c r="NY900" s="9"/>
      <c r="NZ900" s="9"/>
      <c r="OA900" s="9"/>
      <c r="OB900" s="9"/>
      <c r="OC900" s="9"/>
      <c r="OD900" s="9"/>
      <c r="OE900" s="9"/>
      <c r="OF900" s="9"/>
      <c r="OG900" s="9"/>
      <c r="OH900" s="9"/>
      <c r="OI900" s="9"/>
      <c r="OJ900" s="9"/>
      <c r="OK900" s="9"/>
      <c r="OL900" s="9"/>
      <c r="OM900" s="9"/>
      <c r="ON900" s="9"/>
      <c r="OO900" s="9"/>
      <c r="OP900" s="9"/>
      <c r="OQ900" s="9"/>
      <c r="OR900" s="9"/>
      <c r="OS900" s="9"/>
      <c r="OT900" s="9"/>
      <c r="OU900" s="9"/>
      <c r="OV900" s="9"/>
      <c r="OW900" s="9"/>
      <c r="OX900" s="9"/>
      <c r="OY900" s="9"/>
      <c r="OZ900" s="9"/>
      <c r="PA900" s="9"/>
      <c r="PB900" s="9"/>
      <c r="PC900" s="9"/>
      <c r="PD900" s="9"/>
      <c r="PE900" s="9"/>
      <c r="PF900" s="9"/>
      <c r="PG900" s="9"/>
      <c r="PH900" s="9"/>
      <c r="PI900" s="9"/>
      <c r="PJ900" s="9"/>
      <c r="PK900" s="9"/>
      <c r="PL900" s="9"/>
      <c r="PM900" s="9"/>
      <c r="PN900" s="9"/>
      <c r="PO900" s="9"/>
      <c r="PP900" s="9"/>
      <c r="PQ900" s="9"/>
      <c r="PR900" s="9"/>
      <c r="PS900" s="9"/>
      <c r="PT900" s="9"/>
      <c r="PU900" s="9"/>
      <c r="PV900" s="9"/>
      <c r="PW900" s="9"/>
      <c r="PX900" s="9"/>
      <c r="PY900" s="9"/>
      <c r="PZ900" s="9"/>
      <c r="QA900" s="9"/>
      <c r="QB900" s="9"/>
      <c r="QC900" s="9"/>
      <c r="QD900" s="9"/>
      <c r="QE900" s="9"/>
      <c r="QF900" s="9"/>
      <c r="QG900" s="9"/>
      <c r="QH900" s="9"/>
      <c r="QI900" s="9"/>
      <c r="QJ900" s="9"/>
      <c r="QK900" s="9"/>
      <c r="QL900" s="9"/>
      <c r="QM900" s="9"/>
      <c r="QN900" s="9"/>
      <c r="QO900" s="9"/>
      <c r="QP900" s="9"/>
      <c r="QQ900" s="9"/>
      <c r="QR900" s="9"/>
      <c r="QS900" s="9"/>
      <c r="QT900" s="9"/>
      <c r="QU900" s="9"/>
      <c r="QV900" s="9"/>
      <c r="QW900" s="9"/>
      <c r="QX900" s="9"/>
      <c r="QY900" s="9"/>
      <c r="QZ900" s="9"/>
      <c r="RA900" s="9"/>
      <c r="RB900" s="9"/>
      <c r="RC900" s="9"/>
      <c r="RD900" s="9"/>
      <c r="RE900" s="9"/>
      <c r="RF900" s="9"/>
      <c r="RG900" s="9"/>
      <c r="RH900" s="9"/>
      <c r="RI900" s="9"/>
      <c r="RJ900" s="9"/>
      <c r="RK900" s="9"/>
      <c r="RL900" s="9"/>
      <c r="RM900" s="9"/>
      <c r="RN900" s="9"/>
      <c r="RO900" s="9"/>
      <c r="RP900" s="9"/>
      <c r="RQ900" s="9"/>
      <c r="RR900" s="9"/>
      <c r="RS900" s="9"/>
      <c r="RT900" s="9"/>
      <c r="RU900" s="9"/>
      <c r="RV900" s="9"/>
      <c r="RW900" s="9"/>
      <c r="RX900" s="9"/>
      <c r="RY900" s="9"/>
      <c r="RZ900" s="9"/>
      <c r="SA900" s="9"/>
      <c r="SB900" s="9"/>
      <c r="SC900" s="9"/>
      <c r="SD900" s="9"/>
      <c r="SE900" s="9"/>
      <c r="SF900" s="9"/>
      <c r="SG900" s="9"/>
      <c r="SH900" s="9"/>
      <c r="SI900" s="9"/>
      <c r="SJ900" s="9"/>
      <c r="SK900" s="9"/>
      <c r="SL900" s="9"/>
      <c r="SM900" s="9"/>
      <c r="SN900" s="9"/>
      <c r="SO900" s="9"/>
      <c r="SP900" s="9"/>
      <c r="SQ900" s="9"/>
      <c r="SR900" s="9"/>
      <c r="SS900" s="9"/>
      <c r="ST900" s="9"/>
      <c r="SU900" s="9"/>
      <c r="SV900" s="9"/>
      <c r="SW900" s="9"/>
      <c r="SX900" s="9"/>
      <c r="SY900" s="9"/>
      <c r="SZ900" s="9"/>
      <c r="TA900" s="9"/>
      <c r="TB900" s="9"/>
      <c r="TC900" s="9"/>
      <c r="TD900" s="9"/>
      <c r="TE900" s="9"/>
      <c r="TF900" s="9"/>
      <c r="TG900" s="9"/>
      <c r="TH900" s="9"/>
      <c r="TI900" s="9"/>
      <c r="TJ900" s="9"/>
      <c r="TK900" s="9"/>
      <c r="TL900" s="9"/>
      <c r="TM900" s="9"/>
      <c r="TN900" s="9"/>
      <c r="TO900" s="9"/>
      <c r="TP900" s="9"/>
      <c r="TQ900" s="9"/>
      <c r="TR900" s="9"/>
      <c r="TS900" s="9"/>
      <c r="TT900" s="9"/>
      <c r="TU900" s="9"/>
      <c r="TV900" s="9"/>
      <c r="TW900" s="9"/>
      <c r="TX900" s="9"/>
      <c r="TY900" s="9"/>
      <c r="TZ900" s="9"/>
      <c r="UA900" s="9"/>
      <c r="UB900" s="9"/>
      <c r="UC900" s="9"/>
      <c r="UD900" s="9"/>
      <c r="UE900" s="9"/>
      <c r="UF900" s="9"/>
      <c r="UG900" s="9"/>
      <c r="UH900" s="9"/>
      <c r="UI900" s="9"/>
      <c r="UJ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9"/>
      <c r="IA901" s="9"/>
      <c r="IB901" s="9"/>
      <c r="IC901" s="9"/>
      <c r="ID901" s="9"/>
      <c r="IE901" s="9"/>
      <c r="IF901" s="9"/>
      <c r="IG901" s="9"/>
      <c r="IH901" s="9"/>
      <c r="II901" s="9"/>
      <c r="IJ901" s="9"/>
      <c r="IK901" s="9"/>
      <c r="IL901" s="9"/>
      <c r="IM901" s="9"/>
      <c r="IN901" s="9"/>
      <c r="IO901" s="9"/>
      <c r="IP901" s="9"/>
      <c r="IQ901" s="9"/>
      <c r="IR901" s="9"/>
      <c r="IS901" s="9"/>
      <c r="IT901" s="9"/>
      <c r="IU901" s="9"/>
      <c r="IV901" s="9"/>
      <c r="IW901" s="9"/>
      <c r="IX901" s="9"/>
      <c r="IY901" s="9"/>
      <c r="IZ901" s="9"/>
      <c r="JA901" s="9"/>
      <c r="JB901" s="9"/>
      <c r="JC901" s="9"/>
      <c r="JD901" s="9"/>
      <c r="JE901" s="9"/>
      <c r="JF901" s="9"/>
      <c r="JG901" s="9"/>
      <c r="JH901" s="9"/>
      <c r="JI901" s="9"/>
      <c r="JJ901" s="9"/>
      <c r="JK901" s="9"/>
      <c r="JL901" s="9"/>
      <c r="JM901" s="9"/>
      <c r="JN901" s="9"/>
      <c r="JO901" s="9"/>
      <c r="JP901" s="9"/>
      <c r="JQ901" s="9"/>
      <c r="JR901" s="9"/>
      <c r="JS901" s="9"/>
      <c r="JT901" s="9"/>
      <c r="JU901" s="9"/>
      <c r="JV901" s="9"/>
      <c r="JW901" s="9"/>
      <c r="JX901" s="9"/>
      <c r="JY901" s="9"/>
      <c r="JZ901" s="9"/>
      <c r="KA901" s="9"/>
      <c r="KB901" s="9"/>
      <c r="KC901" s="9"/>
      <c r="KD901" s="9"/>
      <c r="KE901" s="9"/>
      <c r="KF901" s="9"/>
      <c r="KG901" s="9"/>
      <c r="KH901" s="9"/>
      <c r="KI901" s="9"/>
      <c r="KJ901" s="9"/>
      <c r="KK901" s="9"/>
      <c r="KL901" s="9"/>
      <c r="KM901" s="9"/>
      <c r="KN901" s="9"/>
      <c r="KO901" s="9"/>
      <c r="KP901" s="9"/>
      <c r="KQ901" s="9"/>
      <c r="KR901" s="9"/>
      <c r="KS901" s="9"/>
      <c r="KT901" s="9"/>
      <c r="KU901" s="9"/>
      <c r="KV901" s="9"/>
      <c r="KW901" s="9"/>
      <c r="KX901" s="9"/>
      <c r="KY901" s="9"/>
      <c r="KZ901" s="9"/>
      <c r="LA901" s="9"/>
      <c r="LB901" s="9"/>
      <c r="LC901" s="9"/>
      <c r="LD901" s="9"/>
      <c r="LE901" s="9"/>
      <c r="LF901" s="9"/>
      <c r="LG901" s="9"/>
      <c r="LH901" s="9"/>
      <c r="LI901" s="9"/>
      <c r="LJ901" s="9"/>
      <c r="LK901" s="9"/>
      <c r="LL901" s="9"/>
      <c r="LM901" s="9"/>
      <c r="LN901" s="9"/>
      <c r="LO901" s="9"/>
      <c r="LP901" s="9"/>
      <c r="LQ901" s="9"/>
      <c r="LR901" s="9"/>
      <c r="LS901" s="9"/>
      <c r="LT901" s="9"/>
      <c r="LU901" s="9"/>
      <c r="LV901" s="9"/>
      <c r="LW901" s="9"/>
      <c r="LX901" s="9"/>
      <c r="LY901" s="9"/>
      <c r="LZ901" s="9"/>
      <c r="MA901" s="9"/>
      <c r="MB901" s="9"/>
      <c r="MC901" s="9"/>
      <c r="MD901" s="9"/>
      <c r="ME901" s="9"/>
      <c r="MF901" s="9"/>
      <c r="MG901" s="9"/>
      <c r="MH901" s="9"/>
      <c r="MI901" s="9"/>
      <c r="MJ901" s="9"/>
      <c r="MK901" s="9"/>
      <c r="ML901" s="9"/>
      <c r="MM901" s="9"/>
      <c r="MN901" s="9"/>
      <c r="MO901" s="9"/>
      <c r="MP901" s="9"/>
      <c r="MQ901" s="9"/>
      <c r="MR901" s="9"/>
      <c r="MS901" s="9"/>
      <c r="MT901" s="9"/>
      <c r="MU901" s="9"/>
      <c r="MV901" s="9"/>
      <c r="MW901" s="9"/>
      <c r="MX901" s="9"/>
      <c r="MY901" s="9"/>
      <c r="MZ901" s="9"/>
      <c r="NA901" s="9"/>
      <c r="NB901" s="9"/>
      <c r="NC901" s="9"/>
      <c r="ND901" s="9"/>
      <c r="NE901" s="9"/>
      <c r="NF901" s="9"/>
      <c r="NG901" s="9"/>
      <c r="NH901" s="9"/>
      <c r="NI901" s="9"/>
      <c r="NJ901" s="9"/>
      <c r="NK901" s="9"/>
      <c r="NL901" s="9"/>
      <c r="NM901" s="9"/>
      <c r="NN901" s="9"/>
      <c r="NO901" s="9"/>
      <c r="NP901" s="9"/>
      <c r="NQ901" s="9"/>
      <c r="NR901" s="9"/>
      <c r="NS901" s="9"/>
      <c r="NT901" s="9"/>
      <c r="NU901" s="9"/>
      <c r="NV901" s="9"/>
      <c r="NW901" s="9"/>
      <c r="NX901" s="9"/>
      <c r="NY901" s="9"/>
      <c r="NZ901" s="9"/>
      <c r="OA901" s="9"/>
      <c r="OB901" s="9"/>
      <c r="OC901" s="9"/>
      <c r="OD901" s="9"/>
      <c r="OE901" s="9"/>
      <c r="OF901" s="9"/>
      <c r="OG901" s="9"/>
      <c r="OH901" s="9"/>
      <c r="OI901" s="9"/>
      <c r="OJ901" s="9"/>
      <c r="OK901" s="9"/>
      <c r="OL901" s="9"/>
      <c r="OM901" s="9"/>
      <c r="ON901" s="9"/>
      <c r="OO901" s="9"/>
      <c r="OP901" s="9"/>
      <c r="OQ901" s="9"/>
      <c r="OR901" s="9"/>
      <c r="OS901" s="9"/>
      <c r="OT901" s="9"/>
      <c r="OU901" s="9"/>
      <c r="OV901" s="9"/>
      <c r="OW901" s="9"/>
      <c r="OX901" s="9"/>
      <c r="OY901" s="9"/>
      <c r="OZ901" s="9"/>
      <c r="PA901" s="9"/>
      <c r="PB901" s="9"/>
      <c r="PC901" s="9"/>
      <c r="PD901" s="9"/>
      <c r="PE901" s="9"/>
      <c r="PF901" s="9"/>
      <c r="PG901" s="9"/>
      <c r="PH901" s="9"/>
      <c r="PI901" s="9"/>
      <c r="PJ901" s="9"/>
      <c r="PK901" s="9"/>
      <c r="PL901" s="9"/>
      <c r="PM901" s="9"/>
      <c r="PN901" s="9"/>
      <c r="PO901" s="9"/>
      <c r="PP901" s="9"/>
      <c r="PQ901" s="9"/>
      <c r="PR901" s="9"/>
      <c r="PS901" s="9"/>
      <c r="PT901" s="9"/>
      <c r="PU901" s="9"/>
      <c r="PV901" s="9"/>
      <c r="PW901" s="9"/>
      <c r="PX901" s="9"/>
      <c r="PY901" s="9"/>
      <c r="PZ901" s="9"/>
      <c r="QA901" s="9"/>
      <c r="QB901" s="9"/>
      <c r="QC901" s="9"/>
      <c r="QD901" s="9"/>
      <c r="QE901" s="9"/>
      <c r="QF901" s="9"/>
      <c r="QG901" s="9"/>
      <c r="QH901" s="9"/>
      <c r="QI901" s="9"/>
      <c r="QJ901" s="9"/>
      <c r="QK901" s="9"/>
      <c r="QL901" s="9"/>
      <c r="QM901" s="9"/>
      <c r="QN901" s="9"/>
      <c r="QO901" s="9"/>
      <c r="QP901" s="9"/>
      <c r="QQ901" s="9"/>
      <c r="QR901" s="9"/>
      <c r="QS901" s="9"/>
      <c r="QT901" s="9"/>
      <c r="QU901" s="9"/>
      <c r="QV901" s="9"/>
      <c r="QW901" s="9"/>
      <c r="QX901" s="9"/>
      <c r="QY901" s="9"/>
      <c r="QZ901" s="9"/>
      <c r="RA901" s="9"/>
      <c r="RB901" s="9"/>
      <c r="RC901" s="9"/>
      <c r="RD901" s="9"/>
      <c r="RE901" s="9"/>
      <c r="RF901" s="9"/>
      <c r="RG901" s="9"/>
      <c r="RH901" s="9"/>
      <c r="RI901" s="9"/>
      <c r="RJ901" s="9"/>
      <c r="RK901" s="9"/>
      <c r="RL901" s="9"/>
      <c r="RM901" s="9"/>
      <c r="RN901" s="9"/>
      <c r="RO901" s="9"/>
      <c r="RP901" s="9"/>
      <c r="RQ901" s="9"/>
      <c r="RR901" s="9"/>
      <c r="RS901" s="9"/>
      <c r="RT901" s="9"/>
      <c r="RU901" s="9"/>
      <c r="RV901" s="9"/>
      <c r="RW901" s="9"/>
      <c r="RX901" s="9"/>
      <c r="RY901" s="9"/>
      <c r="RZ901" s="9"/>
      <c r="SA901" s="9"/>
      <c r="SB901" s="9"/>
      <c r="SC901" s="9"/>
      <c r="SD901" s="9"/>
      <c r="SE901" s="9"/>
      <c r="SF901" s="9"/>
      <c r="SG901" s="9"/>
      <c r="SH901" s="9"/>
      <c r="SI901" s="9"/>
      <c r="SJ901" s="9"/>
      <c r="SK901" s="9"/>
      <c r="SL901" s="9"/>
      <c r="SM901" s="9"/>
      <c r="SN901" s="9"/>
      <c r="SO901" s="9"/>
      <c r="SP901" s="9"/>
      <c r="SQ901" s="9"/>
      <c r="SR901" s="9"/>
      <c r="SS901" s="9"/>
      <c r="ST901" s="9"/>
      <c r="SU901" s="9"/>
      <c r="SV901" s="9"/>
      <c r="SW901" s="9"/>
      <c r="SX901" s="9"/>
      <c r="SY901" s="9"/>
      <c r="SZ901" s="9"/>
      <c r="TA901" s="9"/>
      <c r="TB901" s="9"/>
      <c r="TC901" s="9"/>
      <c r="TD901" s="9"/>
      <c r="TE901" s="9"/>
      <c r="TF901" s="9"/>
      <c r="TG901" s="9"/>
      <c r="TH901" s="9"/>
      <c r="TI901" s="9"/>
      <c r="TJ901" s="9"/>
      <c r="TK901" s="9"/>
      <c r="TL901" s="9"/>
      <c r="TM901" s="9"/>
      <c r="TN901" s="9"/>
      <c r="TO901" s="9"/>
      <c r="TP901" s="9"/>
      <c r="TQ901" s="9"/>
      <c r="TR901" s="9"/>
      <c r="TS901" s="9"/>
      <c r="TT901" s="9"/>
      <c r="TU901" s="9"/>
      <c r="TV901" s="9"/>
      <c r="TW901" s="9"/>
      <c r="TX901" s="9"/>
      <c r="TY901" s="9"/>
      <c r="TZ901" s="9"/>
      <c r="UA901" s="9"/>
      <c r="UB901" s="9"/>
      <c r="UC901" s="9"/>
      <c r="UD901" s="9"/>
      <c r="UE901" s="9"/>
      <c r="UF901" s="9"/>
      <c r="UG901" s="9"/>
      <c r="UH901" s="9"/>
      <c r="UI901" s="9"/>
      <c r="UJ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  <c r="GA902" s="9"/>
      <c r="GB902" s="9"/>
      <c r="GC902" s="9"/>
      <c r="GD902" s="9"/>
      <c r="GE902" s="9"/>
      <c r="GF902" s="9"/>
      <c r="GG902" s="9"/>
      <c r="GH902" s="9"/>
      <c r="GI902" s="9"/>
      <c r="GJ902" s="9"/>
      <c r="GK902" s="9"/>
      <c r="GL902" s="9"/>
      <c r="GM902" s="9"/>
      <c r="GN902" s="9"/>
      <c r="GO902" s="9"/>
      <c r="GP902" s="9"/>
      <c r="GQ902" s="9"/>
      <c r="GR902" s="9"/>
      <c r="GS902" s="9"/>
      <c r="GT902" s="9"/>
      <c r="GU902" s="9"/>
      <c r="GV902" s="9"/>
      <c r="GW902" s="9"/>
      <c r="GX902" s="9"/>
      <c r="GY902" s="9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  <c r="HO902" s="9"/>
      <c r="HP902" s="9"/>
      <c r="HQ902" s="9"/>
      <c r="HR902" s="9"/>
      <c r="HS902" s="9"/>
      <c r="HT902" s="9"/>
      <c r="HU902" s="9"/>
      <c r="HV902" s="9"/>
      <c r="HW902" s="9"/>
      <c r="HX902" s="9"/>
      <c r="HY902" s="9"/>
      <c r="HZ902" s="9"/>
      <c r="IA902" s="9"/>
      <c r="IB902" s="9"/>
      <c r="IC902" s="9"/>
      <c r="ID902" s="9"/>
      <c r="IE902" s="9"/>
      <c r="IF902" s="9"/>
      <c r="IG902" s="9"/>
      <c r="IH902" s="9"/>
      <c r="II902" s="9"/>
      <c r="IJ902" s="9"/>
      <c r="IK902" s="9"/>
      <c r="IL902" s="9"/>
      <c r="IM902" s="9"/>
      <c r="IN902" s="9"/>
      <c r="IO902" s="9"/>
      <c r="IP902" s="9"/>
      <c r="IQ902" s="9"/>
      <c r="IR902" s="9"/>
      <c r="IS902" s="9"/>
      <c r="IT902" s="9"/>
      <c r="IU902" s="9"/>
      <c r="IV902" s="9"/>
      <c r="IW902" s="9"/>
      <c r="IX902" s="9"/>
      <c r="IY902" s="9"/>
      <c r="IZ902" s="9"/>
      <c r="JA902" s="9"/>
      <c r="JB902" s="9"/>
      <c r="JC902" s="9"/>
      <c r="JD902" s="9"/>
      <c r="JE902" s="9"/>
      <c r="JF902" s="9"/>
      <c r="JG902" s="9"/>
      <c r="JH902" s="9"/>
      <c r="JI902" s="9"/>
      <c r="JJ902" s="9"/>
      <c r="JK902" s="9"/>
      <c r="JL902" s="9"/>
      <c r="JM902" s="9"/>
      <c r="JN902" s="9"/>
      <c r="JO902" s="9"/>
      <c r="JP902" s="9"/>
      <c r="JQ902" s="9"/>
      <c r="JR902" s="9"/>
      <c r="JS902" s="9"/>
      <c r="JT902" s="9"/>
      <c r="JU902" s="9"/>
      <c r="JV902" s="9"/>
      <c r="JW902" s="9"/>
      <c r="JX902" s="9"/>
      <c r="JY902" s="9"/>
      <c r="JZ902" s="9"/>
      <c r="KA902" s="9"/>
      <c r="KB902" s="9"/>
      <c r="KC902" s="9"/>
      <c r="KD902" s="9"/>
      <c r="KE902" s="9"/>
      <c r="KF902" s="9"/>
      <c r="KG902" s="9"/>
      <c r="KH902" s="9"/>
      <c r="KI902" s="9"/>
      <c r="KJ902" s="9"/>
      <c r="KK902" s="9"/>
      <c r="KL902" s="9"/>
      <c r="KM902" s="9"/>
      <c r="KN902" s="9"/>
      <c r="KO902" s="9"/>
      <c r="KP902" s="9"/>
      <c r="KQ902" s="9"/>
      <c r="KR902" s="9"/>
      <c r="KS902" s="9"/>
      <c r="KT902" s="9"/>
      <c r="KU902" s="9"/>
      <c r="KV902" s="9"/>
      <c r="KW902" s="9"/>
      <c r="KX902" s="9"/>
      <c r="KY902" s="9"/>
      <c r="KZ902" s="9"/>
      <c r="LA902" s="9"/>
      <c r="LB902" s="9"/>
      <c r="LC902" s="9"/>
      <c r="LD902" s="9"/>
      <c r="LE902" s="9"/>
      <c r="LF902" s="9"/>
      <c r="LG902" s="9"/>
      <c r="LH902" s="9"/>
      <c r="LI902" s="9"/>
      <c r="LJ902" s="9"/>
      <c r="LK902" s="9"/>
      <c r="LL902" s="9"/>
      <c r="LM902" s="9"/>
      <c r="LN902" s="9"/>
      <c r="LO902" s="9"/>
      <c r="LP902" s="9"/>
      <c r="LQ902" s="9"/>
      <c r="LR902" s="9"/>
      <c r="LS902" s="9"/>
      <c r="LT902" s="9"/>
      <c r="LU902" s="9"/>
      <c r="LV902" s="9"/>
      <c r="LW902" s="9"/>
      <c r="LX902" s="9"/>
      <c r="LY902" s="9"/>
      <c r="LZ902" s="9"/>
      <c r="MA902" s="9"/>
      <c r="MB902" s="9"/>
      <c r="MC902" s="9"/>
      <c r="MD902" s="9"/>
      <c r="ME902" s="9"/>
      <c r="MF902" s="9"/>
      <c r="MG902" s="9"/>
      <c r="MH902" s="9"/>
      <c r="MI902" s="9"/>
      <c r="MJ902" s="9"/>
      <c r="MK902" s="9"/>
      <c r="ML902" s="9"/>
      <c r="MM902" s="9"/>
      <c r="MN902" s="9"/>
      <c r="MO902" s="9"/>
      <c r="MP902" s="9"/>
      <c r="MQ902" s="9"/>
      <c r="MR902" s="9"/>
      <c r="MS902" s="9"/>
      <c r="MT902" s="9"/>
      <c r="MU902" s="9"/>
      <c r="MV902" s="9"/>
      <c r="MW902" s="9"/>
      <c r="MX902" s="9"/>
      <c r="MY902" s="9"/>
      <c r="MZ902" s="9"/>
      <c r="NA902" s="9"/>
      <c r="NB902" s="9"/>
      <c r="NC902" s="9"/>
      <c r="ND902" s="9"/>
      <c r="NE902" s="9"/>
      <c r="NF902" s="9"/>
      <c r="NG902" s="9"/>
      <c r="NH902" s="9"/>
      <c r="NI902" s="9"/>
      <c r="NJ902" s="9"/>
      <c r="NK902" s="9"/>
      <c r="NL902" s="9"/>
      <c r="NM902" s="9"/>
      <c r="NN902" s="9"/>
      <c r="NO902" s="9"/>
      <c r="NP902" s="9"/>
      <c r="NQ902" s="9"/>
      <c r="NR902" s="9"/>
      <c r="NS902" s="9"/>
      <c r="NT902" s="9"/>
      <c r="NU902" s="9"/>
      <c r="NV902" s="9"/>
      <c r="NW902" s="9"/>
      <c r="NX902" s="9"/>
      <c r="NY902" s="9"/>
      <c r="NZ902" s="9"/>
      <c r="OA902" s="9"/>
      <c r="OB902" s="9"/>
      <c r="OC902" s="9"/>
      <c r="OD902" s="9"/>
      <c r="OE902" s="9"/>
      <c r="OF902" s="9"/>
      <c r="OG902" s="9"/>
      <c r="OH902" s="9"/>
      <c r="OI902" s="9"/>
      <c r="OJ902" s="9"/>
      <c r="OK902" s="9"/>
      <c r="OL902" s="9"/>
      <c r="OM902" s="9"/>
      <c r="ON902" s="9"/>
      <c r="OO902" s="9"/>
      <c r="OP902" s="9"/>
      <c r="OQ902" s="9"/>
      <c r="OR902" s="9"/>
      <c r="OS902" s="9"/>
      <c r="OT902" s="9"/>
      <c r="OU902" s="9"/>
      <c r="OV902" s="9"/>
      <c r="OW902" s="9"/>
      <c r="OX902" s="9"/>
      <c r="OY902" s="9"/>
      <c r="OZ902" s="9"/>
      <c r="PA902" s="9"/>
      <c r="PB902" s="9"/>
      <c r="PC902" s="9"/>
      <c r="PD902" s="9"/>
      <c r="PE902" s="9"/>
      <c r="PF902" s="9"/>
      <c r="PG902" s="9"/>
      <c r="PH902" s="9"/>
      <c r="PI902" s="9"/>
      <c r="PJ902" s="9"/>
      <c r="PK902" s="9"/>
      <c r="PL902" s="9"/>
      <c r="PM902" s="9"/>
      <c r="PN902" s="9"/>
      <c r="PO902" s="9"/>
      <c r="PP902" s="9"/>
      <c r="PQ902" s="9"/>
      <c r="PR902" s="9"/>
      <c r="PS902" s="9"/>
      <c r="PT902" s="9"/>
      <c r="PU902" s="9"/>
      <c r="PV902" s="9"/>
      <c r="PW902" s="9"/>
      <c r="PX902" s="9"/>
      <c r="PY902" s="9"/>
      <c r="PZ902" s="9"/>
      <c r="QA902" s="9"/>
      <c r="QB902" s="9"/>
      <c r="QC902" s="9"/>
      <c r="QD902" s="9"/>
      <c r="QE902" s="9"/>
      <c r="QF902" s="9"/>
      <c r="QG902" s="9"/>
      <c r="QH902" s="9"/>
      <c r="QI902" s="9"/>
      <c r="QJ902" s="9"/>
      <c r="QK902" s="9"/>
      <c r="QL902" s="9"/>
      <c r="QM902" s="9"/>
      <c r="QN902" s="9"/>
      <c r="QO902" s="9"/>
      <c r="QP902" s="9"/>
      <c r="QQ902" s="9"/>
      <c r="QR902" s="9"/>
      <c r="QS902" s="9"/>
      <c r="QT902" s="9"/>
      <c r="QU902" s="9"/>
      <c r="QV902" s="9"/>
      <c r="QW902" s="9"/>
      <c r="QX902" s="9"/>
      <c r="QY902" s="9"/>
      <c r="QZ902" s="9"/>
      <c r="RA902" s="9"/>
      <c r="RB902" s="9"/>
      <c r="RC902" s="9"/>
      <c r="RD902" s="9"/>
      <c r="RE902" s="9"/>
      <c r="RF902" s="9"/>
      <c r="RG902" s="9"/>
      <c r="RH902" s="9"/>
      <c r="RI902" s="9"/>
      <c r="RJ902" s="9"/>
      <c r="RK902" s="9"/>
      <c r="RL902" s="9"/>
      <c r="RM902" s="9"/>
      <c r="RN902" s="9"/>
      <c r="RO902" s="9"/>
      <c r="RP902" s="9"/>
      <c r="RQ902" s="9"/>
      <c r="RR902" s="9"/>
      <c r="RS902" s="9"/>
      <c r="RT902" s="9"/>
      <c r="RU902" s="9"/>
      <c r="RV902" s="9"/>
      <c r="RW902" s="9"/>
      <c r="RX902" s="9"/>
      <c r="RY902" s="9"/>
      <c r="RZ902" s="9"/>
      <c r="SA902" s="9"/>
      <c r="SB902" s="9"/>
      <c r="SC902" s="9"/>
      <c r="SD902" s="9"/>
      <c r="SE902" s="9"/>
      <c r="SF902" s="9"/>
      <c r="SG902" s="9"/>
      <c r="SH902" s="9"/>
      <c r="SI902" s="9"/>
      <c r="SJ902" s="9"/>
      <c r="SK902" s="9"/>
      <c r="SL902" s="9"/>
      <c r="SM902" s="9"/>
      <c r="SN902" s="9"/>
      <c r="SO902" s="9"/>
      <c r="SP902" s="9"/>
      <c r="SQ902" s="9"/>
      <c r="SR902" s="9"/>
      <c r="SS902" s="9"/>
      <c r="ST902" s="9"/>
      <c r="SU902" s="9"/>
      <c r="SV902" s="9"/>
      <c r="SW902" s="9"/>
      <c r="SX902" s="9"/>
      <c r="SY902" s="9"/>
      <c r="SZ902" s="9"/>
      <c r="TA902" s="9"/>
      <c r="TB902" s="9"/>
      <c r="TC902" s="9"/>
      <c r="TD902" s="9"/>
      <c r="TE902" s="9"/>
      <c r="TF902" s="9"/>
      <c r="TG902" s="9"/>
      <c r="TH902" s="9"/>
      <c r="TI902" s="9"/>
      <c r="TJ902" s="9"/>
      <c r="TK902" s="9"/>
      <c r="TL902" s="9"/>
      <c r="TM902" s="9"/>
      <c r="TN902" s="9"/>
      <c r="TO902" s="9"/>
      <c r="TP902" s="9"/>
      <c r="TQ902" s="9"/>
      <c r="TR902" s="9"/>
      <c r="TS902" s="9"/>
      <c r="TT902" s="9"/>
      <c r="TU902" s="9"/>
      <c r="TV902" s="9"/>
      <c r="TW902" s="9"/>
      <c r="TX902" s="9"/>
      <c r="TY902" s="9"/>
      <c r="TZ902" s="9"/>
      <c r="UA902" s="9"/>
      <c r="UB902" s="9"/>
      <c r="UC902" s="9"/>
      <c r="UD902" s="9"/>
      <c r="UE902" s="9"/>
      <c r="UF902" s="9"/>
      <c r="UG902" s="9"/>
      <c r="UH902" s="9"/>
      <c r="UI902" s="9"/>
      <c r="UJ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9"/>
      <c r="IA903" s="9"/>
      <c r="IB903" s="9"/>
      <c r="IC903" s="9"/>
      <c r="ID903" s="9"/>
      <c r="IE903" s="9"/>
      <c r="IF903" s="9"/>
      <c r="IG903" s="9"/>
      <c r="IH903" s="9"/>
      <c r="II903" s="9"/>
      <c r="IJ903" s="9"/>
      <c r="IK903" s="9"/>
      <c r="IL903" s="9"/>
      <c r="IM903" s="9"/>
      <c r="IN903" s="9"/>
      <c r="IO903" s="9"/>
      <c r="IP903" s="9"/>
      <c r="IQ903" s="9"/>
      <c r="IR903" s="9"/>
      <c r="IS903" s="9"/>
      <c r="IT903" s="9"/>
      <c r="IU903" s="9"/>
      <c r="IV903" s="9"/>
      <c r="IW903" s="9"/>
      <c r="IX903" s="9"/>
      <c r="IY903" s="9"/>
      <c r="IZ903" s="9"/>
      <c r="JA903" s="9"/>
      <c r="JB903" s="9"/>
      <c r="JC903" s="9"/>
      <c r="JD903" s="9"/>
      <c r="JE903" s="9"/>
      <c r="JF903" s="9"/>
      <c r="JG903" s="9"/>
      <c r="JH903" s="9"/>
      <c r="JI903" s="9"/>
      <c r="JJ903" s="9"/>
      <c r="JK903" s="9"/>
      <c r="JL903" s="9"/>
      <c r="JM903" s="9"/>
      <c r="JN903" s="9"/>
      <c r="JO903" s="9"/>
      <c r="JP903" s="9"/>
      <c r="JQ903" s="9"/>
      <c r="JR903" s="9"/>
      <c r="JS903" s="9"/>
      <c r="JT903" s="9"/>
      <c r="JU903" s="9"/>
      <c r="JV903" s="9"/>
      <c r="JW903" s="9"/>
      <c r="JX903" s="9"/>
      <c r="JY903" s="9"/>
      <c r="JZ903" s="9"/>
      <c r="KA903" s="9"/>
      <c r="KB903" s="9"/>
      <c r="KC903" s="9"/>
      <c r="KD903" s="9"/>
      <c r="KE903" s="9"/>
      <c r="KF903" s="9"/>
      <c r="KG903" s="9"/>
      <c r="KH903" s="9"/>
      <c r="KI903" s="9"/>
      <c r="KJ903" s="9"/>
      <c r="KK903" s="9"/>
      <c r="KL903" s="9"/>
      <c r="KM903" s="9"/>
      <c r="KN903" s="9"/>
      <c r="KO903" s="9"/>
      <c r="KP903" s="9"/>
      <c r="KQ903" s="9"/>
      <c r="KR903" s="9"/>
      <c r="KS903" s="9"/>
      <c r="KT903" s="9"/>
      <c r="KU903" s="9"/>
      <c r="KV903" s="9"/>
      <c r="KW903" s="9"/>
      <c r="KX903" s="9"/>
      <c r="KY903" s="9"/>
      <c r="KZ903" s="9"/>
      <c r="LA903" s="9"/>
      <c r="LB903" s="9"/>
      <c r="LC903" s="9"/>
      <c r="LD903" s="9"/>
      <c r="LE903" s="9"/>
      <c r="LF903" s="9"/>
      <c r="LG903" s="9"/>
      <c r="LH903" s="9"/>
      <c r="LI903" s="9"/>
      <c r="LJ903" s="9"/>
      <c r="LK903" s="9"/>
      <c r="LL903" s="9"/>
      <c r="LM903" s="9"/>
      <c r="LN903" s="9"/>
      <c r="LO903" s="9"/>
      <c r="LP903" s="9"/>
      <c r="LQ903" s="9"/>
      <c r="LR903" s="9"/>
      <c r="LS903" s="9"/>
      <c r="LT903" s="9"/>
      <c r="LU903" s="9"/>
      <c r="LV903" s="9"/>
      <c r="LW903" s="9"/>
      <c r="LX903" s="9"/>
      <c r="LY903" s="9"/>
      <c r="LZ903" s="9"/>
      <c r="MA903" s="9"/>
      <c r="MB903" s="9"/>
      <c r="MC903" s="9"/>
      <c r="MD903" s="9"/>
      <c r="ME903" s="9"/>
      <c r="MF903" s="9"/>
      <c r="MG903" s="9"/>
      <c r="MH903" s="9"/>
      <c r="MI903" s="9"/>
      <c r="MJ903" s="9"/>
      <c r="MK903" s="9"/>
      <c r="ML903" s="9"/>
      <c r="MM903" s="9"/>
      <c r="MN903" s="9"/>
      <c r="MO903" s="9"/>
      <c r="MP903" s="9"/>
      <c r="MQ903" s="9"/>
      <c r="MR903" s="9"/>
      <c r="MS903" s="9"/>
      <c r="MT903" s="9"/>
      <c r="MU903" s="9"/>
      <c r="MV903" s="9"/>
      <c r="MW903" s="9"/>
      <c r="MX903" s="9"/>
      <c r="MY903" s="9"/>
      <c r="MZ903" s="9"/>
      <c r="NA903" s="9"/>
      <c r="NB903" s="9"/>
      <c r="NC903" s="9"/>
      <c r="ND903" s="9"/>
      <c r="NE903" s="9"/>
      <c r="NF903" s="9"/>
      <c r="NG903" s="9"/>
      <c r="NH903" s="9"/>
      <c r="NI903" s="9"/>
      <c r="NJ903" s="9"/>
      <c r="NK903" s="9"/>
      <c r="NL903" s="9"/>
      <c r="NM903" s="9"/>
      <c r="NN903" s="9"/>
      <c r="NO903" s="9"/>
      <c r="NP903" s="9"/>
      <c r="NQ903" s="9"/>
      <c r="NR903" s="9"/>
      <c r="NS903" s="9"/>
      <c r="NT903" s="9"/>
      <c r="NU903" s="9"/>
      <c r="NV903" s="9"/>
      <c r="NW903" s="9"/>
      <c r="NX903" s="9"/>
      <c r="NY903" s="9"/>
      <c r="NZ903" s="9"/>
      <c r="OA903" s="9"/>
      <c r="OB903" s="9"/>
      <c r="OC903" s="9"/>
      <c r="OD903" s="9"/>
      <c r="OE903" s="9"/>
      <c r="OF903" s="9"/>
      <c r="OG903" s="9"/>
      <c r="OH903" s="9"/>
      <c r="OI903" s="9"/>
      <c r="OJ903" s="9"/>
      <c r="OK903" s="9"/>
      <c r="OL903" s="9"/>
      <c r="OM903" s="9"/>
      <c r="ON903" s="9"/>
      <c r="OO903" s="9"/>
      <c r="OP903" s="9"/>
      <c r="OQ903" s="9"/>
      <c r="OR903" s="9"/>
      <c r="OS903" s="9"/>
      <c r="OT903" s="9"/>
      <c r="OU903" s="9"/>
      <c r="OV903" s="9"/>
      <c r="OW903" s="9"/>
      <c r="OX903" s="9"/>
      <c r="OY903" s="9"/>
      <c r="OZ903" s="9"/>
      <c r="PA903" s="9"/>
      <c r="PB903" s="9"/>
      <c r="PC903" s="9"/>
      <c r="PD903" s="9"/>
      <c r="PE903" s="9"/>
      <c r="PF903" s="9"/>
      <c r="PG903" s="9"/>
      <c r="PH903" s="9"/>
      <c r="PI903" s="9"/>
      <c r="PJ903" s="9"/>
      <c r="PK903" s="9"/>
      <c r="PL903" s="9"/>
      <c r="PM903" s="9"/>
      <c r="PN903" s="9"/>
      <c r="PO903" s="9"/>
      <c r="PP903" s="9"/>
      <c r="PQ903" s="9"/>
      <c r="PR903" s="9"/>
      <c r="PS903" s="9"/>
      <c r="PT903" s="9"/>
      <c r="PU903" s="9"/>
      <c r="PV903" s="9"/>
      <c r="PW903" s="9"/>
      <c r="PX903" s="9"/>
      <c r="PY903" s="9"/>
      <c r="PZ903" s="9"/>
      <c r="QA903" s="9"/>
      <c r="QB903" s="9"/>
      <c r="QC903" s="9"/>
      <c r="QD903" s="9"/>
      <c r="QE903" s="9"/>
      <c r="QF903" s="9"/>
      <c r="QG903" s="9"/>
      <c r="QH903" s="9"/>
      <c r="QI903" s="9"/>
      <c r="QJ903" s="9"/>
      <c r="QK903" s="9"/>
      <c r="QL903" s="9"/>
      <c r="QM903" s="9"/>
      <c r="QN903" s="9"/>
      <c r="QO903" s="9"/>
      <c r="QP903" s="9"/>
      <c r="QQ903" s="9"/>
      <c r="QR903" s="9"/>
      <c r="QS903" s="9"/>
      <c r="QT903" s="9"/>
      <c r="QU903" s="9"/>
      <c r="QV903" s="9"/>
      <c r="QW903" s="9"/>
      <c r="QX903" s="9"/>
      <c r="QY903" s="9"/>
      <c r="QZ903" s="9"/>
      <c r="RA903" s="9"/>
      <c r="RB903" s="9"/>
      <c r="RC903" s="9"/>
      <c r="RD903" s="9"/>
      <c r="RE903" s="9"/>
      <c r="RF903" s="9"/>
      <c r="RG903" s="9"/>
      <c r="RH903" s="9"/>
      <c r="RI903" s="9"/>
      <c r="RJ903" s="9"/>
      <c r="RK903" s="9"/>
      <c r="RL903" s="9"/>
      <c r="RM903" s="9"/>
      <c r="RN903" s="9"/>
      <c r="RO903" s="9"/>
      <c r="RP903" s="9"/>
      <c r="RQ903" s="9"/>
      <c r="RR903" s="9"/>
      <c r="RS903" s="9"/>
      <c r="RT903" s="9"/>
      <c r="RU903" s="9"/>
      <c r="RV903" s="9"/>
      <c r="RW903" s="9"/>
      <c r="RX903" s="9"/>
      <c r="RY903" s="9"/>
      <c r="RZ903" s="9"/>
      <c r="SA903" s="9"/>
      <c r="SB903" s="9"/>
      <c r="SC903" s="9"/>
      <c r="SD903" s="9"/>
      <c r="SE903" s="9"/>
      <c r="SF903" s="9"/>
      <c r="SG903" s="9"/>
      <c r="SH903" s="9"/>
      <c r="SI903" s="9"/>
      <c r="SJ903" s="9"/>
      <c r="SK903" s="9"/>
      <c r="SL903" s="9"/>
      <c r="SM903" s="9"/>
      <c r="SN903" s="9"/>
      <c r="SO903" s="9"/>
      <c r="SP903" s="9"/>
      <c r="SQ903" s="9"/>
      <c r="SR903" s="9"/>
      <c r="SS903" s="9"/>
      <c r="ST903" s="9"/>
      <c r="SU903" s="9"/>
      <c r="SV903" s="9"/>
      <c r="SW903" s="9"/>
      <c r="SX903" s="9"/>
      <c r="SY903" s="9"/>
      <c r="SZ903" s="9"/>
      <c r="TA903" s="9"/>
      <c r="TB903" s="9"/>
      <c r="TC903" s="9"/>
      <c r="TD903" s="9"/>
      <c r="TE903" s="9"/>
      <c r="TF903" s="9"/>
      <c r="TG903" s="9"/>
      <c r="TH903" s="9"/>
      <c r="TI903" s="9"/>
      <c r="TJ903" s="9"/>
      <c r="TK903" s="9"/>
      <c r="TL903" s="9"/>
      <c r="TM903" s="9"/>
      <c r="TN903" s="9"/>
      <c r="TO903" s="9"/>
      <c r="TP903" s="9"/>
      <c r="TQ903" s="9"/>
      <c r="TR903" s="9"/>
      <c r="TS903" s="9"/>
      <c r="TT903" s="9"/>
      <c r="TU903" s="9"/>
      <c r="TV903" s="9"/>
      <c r="TW903" s="9"/>
      <c r="TX903" s="9"/>
      <c r="TY903" s="9"/>
      <c r="TZ903" s="9"/>
      <c r="UA903" s="9"/>
      <c r="UB903" s="9"/>
      <c r="UC903" s="9"/>
      <c r="UD903" s="9"/>
      <c r="UE903" s="9"/>
      <c r="UF903" s="9"/>
      <c r="UG903" s="9"/>
      <c r="UH903" s="9"/>
      <c r="UI903" s="9"/>
      <c r="UJ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9"/>
      <c r="FS904" s="9"/>
      <c r="FT904" s="9"/>
      <c r="FU904" s="9"/>
      <c r="FV904" s="9"/>
      <c r="FW904" s="9"/>
      <c r="FX904" s="9"/>
      <c r="FY904" s="9"/>
      <c r="FZ904" s="9"/>
      <c r="GA904" s="9"/>
      <c r="GB904" s="9"/>
      <c r="GC904" s="9"/>
      <c r="GD904" s="9"/>
      <c r="GE904" s="9"/>
      <c r="GF904" s="9"/>
      <c r="GG904" s="9"/>
      <c r="GH904" s="9"/>
      <c r="GI904" s="9"/>
      <c r="GJ904" s="9"/>
      <c r="GK904" s="9"/>
      <c r="GL904" s="9"/>
      <c r="GM904" s="9"/>
      <c r="GN904" s="9"/>
      <c r="GO904" s="9"/>
      <c r="GP904" s="9"/>
      <c r="GQ904" s="9"/>
      <c r="GR904" s="9"/>
      <c r="GS904" s="9"/>
      <c r="GT904" s="9"/>
      <c r="GU904" s="9"/>
      <c r="GV904" s="9"/>
      <c r="GW904" s="9"/>
      <c r="GX904" s="9"/>
      <c r="GY904" s="9"/>
      <c r="GZ904" s="9"/>
      <c r="HA904" s="9"/>
      <c r="HB904" s="9"/>
      <c r="HC904" s="9"/>
      <c r="HD904" s="9"/>
      <c r="HE904" s="9"/>
      <c r="HF904" s="9"/>
      <c r="HG904" s="9"/>
      <c r="HH904" s="9"/>
      <c r="HI904" s="9"/>
      <c r="HJ904" s="9"/>
      <c r="HK904" s="9"/>
      <c r="HL904" s="9"/>
      <c r="HM904" s="9"/>
      <c r="HN904" s="9"/>
      <c r="HO904" s="9"/>
      <c r="HP904" s="9"/>
      <c r="HQ904" s="9"/>
      <c r="HR904" s="9"/>
      <c r="HS904" s="9"/>
      <c r="HT904" s="9"/>
      <c r="HU904" s="9"/>
      <c r="HV904" s="9"/>
      <c r="HW904" s="9"/>
      <c r="HX904" s="9"/>
      <c r="HY904" s="9"/>
      <c r="HZ904" s="9"/>
      <c r="IA904" s="9"/>
      <c r="IB904" s="9"/>
      <c r="IC904" s="9"/>
      <c r="ID904" s="9"/>
      <c r="IE904" s="9"/>
      <c r="IF904" s="9"/>
      <c r="IG904" s="9"/>
      <c r="IH904" s="9"/>
      <c r="II904" s="9"/>
      <c r="IJ904" s="9"/>
      <c r="IK904" s="9"/>
      <c r="IL904" s="9"/>
      <c r="IM904" s="9"/>
      <c r="IN904" s="9"/>
      <c r="IO904" s="9"/>
      <c r="IP904" s="9"/>
      <c r="IQ904" s="9"/>
      <c r="IR904" s="9"/>
      <c r="IS904" s="9"/>
      <c r="IT904" s="9"/>
      <c r="IU904" s="9"/>
      <c r="IV904" s="9"/>
      <c r="IW904" s="9"/>
      <c r="IX904" s="9"/>
      <c r="IY904" s="9"/>
      <c r="IZ904" s="9"/>
      <c r="JA904" s="9"/>
      <c r="JB904" s="9"/>
      <c r="JC904" s="9"/>
      <c r="JD904" s="9"/>
      <c r="JE904" s="9"/>
      <c r="JF904" s="9"/>
      <c r="JG904" s="9"/>
      <c r="JH904" s="9"/>
      <c r="JI904" s="9"/>
      <c r="JJ904" s="9"/>
      <c r="JK904" s="9"/>
      <c r="JL904" s="9"/>
      <c r="JM904" s="9"/>
      <c r="JN904" s="9"/>
      <c r="JO904" s="9"/>
      <c r="JP904" s="9"/>
      <c r="JQ904" s="9"/>
      <c r="JR904" s="9"/>
      <c r="JS904" s="9"/>
      <c r="JT904" s="9"/>
      <c r="JU904" s="9"/>
      <c r="JV904" s="9"/>
      <c r="JW904" s="9"/>
      <c r="JX904" s="9"/>
      <c r="JY904" s="9"/>
      <c r="JZ904" s="9"/>
      <c r="KA904" s="9"/>
      <c r="KB904" s="9"/>
      <c r="KC904" s="9"/>
      <c r="KD904" s="9"/>
      <c r="KE904" s="9"/>
      <c r="KF904" s="9"/>
      <c r="KG904" s="9"/>
      <c r="KH904" s="9"/>
      <c r="KI904" s="9"/>
      <c r="KJ904" s="9"/>
      <c r="KK904" s="9"/>
      <c r="KL904" s="9"/>
      <c r="KM904" s="9"/>
      <c r="KN904" s="9"/>
      <c r="KO904" s="9"/>
      <c r="KP904" s="9"/>
      <c r="KQ904" s="9"/>
      <c r="KR904" s="9"/>
      <c r="KS904" s="9"/>
      <c r="KT904" s="9"/>
      <c r="KU904" s="9"/>
      <c r="KV904" s="9"/>
      <c r="KW904" s="9"/>
      <c r="KX904" s="9"/>
      <c r="KY904" s="9"/>
      <c r="KZ904" s="9"/>
      <c r="LA904" s="9"/>
      <c r="LB904" s="9"/>
      <c r="LC904" s="9"/>
      <c r="LD904" s="9"/>
      <c r="LE904" s="9"/>
      <c r="LF904" s="9"/>
      <c r="LG904" s="9"/>
      <c r="LH904" s="9"/>
      <c r="LI904" s="9"/>
      <c r="LJ904" s="9"/>
      <c r="LK904" s="9"/>
      <c r="LL904" s="9"/>
      <c r="LM904" s="9"/>
      <c r="LN904" s="9"/>
      <c r="LO904" s="9"/>
      <c r="LP904" s="9"/>
      <c r="LQ904" s="9"/>
      <c r="LR904" s="9"/>
      <c r="LS904" s="9"/>
      <c r="LT904" s="9"/>
      <c r="LU904" s="9"/>
      <c r="LV904" s="9"/>
      <c r="LW904" s="9"/>
      <c r="LX904" s="9"/>
      <c r="LY904" s="9"/>
      <c r="LZ904" s="9"/>
      <c r="MA904" s="9"/>
      <c r="MB904" s="9"/>
      <c r="MC904" s="9"/>
      <c r="MD904" s="9"/>
      <c r="ME904" s="9"/>
      <c r="MF904" s="9"/>
      <c r="MG904" s="9"/>
      <c r="MH904" s="9"/>
      <c r="MI904" s="9"/>
      <c r="MJ904" s="9"/>
      <c r="MK904" s="9"/>
      <c r="ML904" s="9"/>
      <c r="MM904" s="9"/>
      <c r="MN904" s="9"/>
      <c r="MO904" s="9"/>
      <c r="MP904" s="9"/>
      <c r="MQ904" s="9"/>
      <c r="MR904" s="9"/>
      <c r="MS904" s="9"/>
      <c r="MT904" s="9"/>
      <c r="MU904" s="9"/>
      <c r="MV904" s="9"/>
      <c r="MW904" s="9"/>
      <c r="MX904" s="9"/>
      <c r="MY904" s="9"/>
      <c r="MZ904" s="9"/>
      <c r="NA904" s="9"/>
      <c r="NB904" s="9"/>
      <c r="NC904" s="9"/>
      <c r="ND904" s="9"/>
      <c r="NE904" s="9"/>
      <c r="NF904" s="9"/>
      <c r="NG904" s="9"/>
      <c r="NH904" s="9"/>
      <c r="NI904" s="9"/>
      <c r="NJ904" s="9"/>
      <c r="NK904" s="9"/>
      <c r="NL904" s="9"/>
      <c r="NM904" s="9"/>
      <c r="NN904" s="9"/>
      <c r="NO904" s="9"/>
      <c r="NP904" s="9"/>
      <c r="NQ904" s="9"/>
      <c r="NR904" s="9"/>
      <c r="NS904" s="9"/>
      <c r="NT904" s="9"/>
      <c r="NU904" s="9"/>
      <c r="NV904" s="9"/>
      <c r="NW904" s="9"/>
      <c r="NX904" s="9"/>
      <c r="NY904" s="9"/>
      <c r="NZ904" s="9"/>
      <c r="OA904" s="9"/>
      <c r="OB904" s="9"/>
      <c r="OC904" s="9"/>
      <c r="OD904" s="9"/>
      <c r="OE904" s="9"/>
      <c r="OF904" s="9"/>
      <c r="OG904" s="9"/>
      <c r="OH904" s="9"/>
      <c r="OI904" s="9"/>
      <c r="OJ904" s="9"/>
      <c r="OK904" s="9"/>
      <c r="OL904" s="9"/>
      <c r="OM904" s="9"/>
      <c r="ON904" s="9"/>
      <c r="OO904" s="9"/>
      <c r="OP904" s="9"/>
      <c r="OQ904" s="9"/>
      <c r="OR904" s="9"/>
      <c r="OS904" s="9"/>
      <c r="OT904" s="9"/>
      <c r="OU904" s="9"/>
      <c r="OV904" s="9"/>
      <c r="OW904" s="9"/>
      <c r="OX904" s="9"/>
      <c r="OY904" s="9"/>
      <c r="OZ904" s="9"/>
      <c r="PA904" s="9"/>
      <c r="PB904" s="9"/>
      <c r="PC904" s="9"/>
      <c r="PD904" s="9"/>
      <c r="PE904" s="9"/>
      <c r="PF904" s="9"/>
      <c r="PG904" s="9"/>
      <c r="PH904" s="9"/>
      <c r="PI904" s="9"/>
      <c r="PJ904" s="9"/>
      <c r="PK904" s="9"/>
      <c r="PL904" s="9"/>
      <c r="PM904" s="9"/>
      <c r="PN904" s="9"/>
      <c r="PO904" s="9"/>
      <c r="PP904" s="9"/>
      <c r="PQ904" s="9"/>
      <c r="PR904" s="9"/>
      <c r="PS904" s="9"/>
      <c r="PT904" s="9"/>
      <c r="PU904" s="9"/>
      <c r="PV904" s="9"/>
      <c r="PW904" s="9"/>
      <c r="PX904" s="9"/>
      <c r="PY904" s="9"/>
      <c r="PZ904" s="9"/>
      <c r="QA904" s="9"/>
      <c r="QB904" s="9"/>
      <c r="QC904" s="9"/>
      <c r="QD904" s="9"/>
      <c r="QE904" s="9"/>
      <c r="QF904" s="9"/>
      <c r="QG904" s="9"/>
      <c r="QH904" s="9"/>
      <c r="QI904" s="9"/>
      <c r="QJ904" s="9"/>
      <c r="QK904" s="9"/>
      <c r="QL904" s="9"/>
      <c r="QM904" s="9"/>
      <c r="QN904" s="9"/>
      <c r="QO904" s="9"/>
      <c r="QP904" s="9"/>
      <c r="QQ904" s="9"/>
      <c r="QR904" s="9"/>
      <c r="QS904" s="9"/>
      <c r="QT904" s="9"/>
      <c r="QU904" s="9"/>
      <c r="QV904" s="9"/>
      <c r="QW904" s="9"/>
      <c r="QX904" s="9"/>
      <c r="QY904" s="9"/>
      <c r="QZ904" s="9"/>
      <c r="RA904" s="9"/>
      <c r="RB904" s="9"/>
      <c r="RC904" s="9"/>
      <c r="RD904" s="9"/>
      <c r="RE904" s="9"/>
      <c r="RF904" s="9"/>
      <c r="RG904" s="9"/>
      <c r="RH904" s="9"/>
      <c r="RI904" s="9"/>
      <c r="RJ904" s="9"/>
      <c r="RK904" s="9"/>
      <c r="RL904" s="9"/>
      <c r="RM904" s="9"/>
      <c r="RN904" s="9"/>
      <c r="RO904" s="9"/>
      <c r="RP904" s="9"/>
      <c r="RQ904" s="9"/>
      <c r="RR904" s="9"/>
      <c r="RS904" s="9"/>
      <c r="RT904" s="9"/>
      <c r="RU904" s="9"/>
      <c r="RV904" s="9"/>
      <c r="RW904" s="9"/>
      <c r="RX904" s="9"/>
      <c r="RY904" s="9"/>
      <c r="RZ904" s="9"/>
      <c r="SA904" s="9"/>
      <c r="SB904" s="9"/>
      <c r="SC904" s="9"/>
      <c r="SD904" s="9"/>
      <c r="SE904" s="9"/>
      <c r="SF904" s="9"/>
      <c r="SG904" s="9"/>
      <c r="SH904" s="9"/>
      <c r="SI904" s="9"/>
      <c r="SJ904" s="9"/>
      <c r="SK904" s="9"/>
      <c r="SL904" s="9"/>
      <c r="SM904" s="9"/>
      <c r="SN904" s="9"/>
      <c r="SO904" s="9"/>
      <c r="SP904" s="9"/>
      <c r="SQ904" s="9"/>
      <c r="SR904" s="9"/>
      <c r="SS904" s="9"/>
      <c r="ST904" s="9"/>
      <c r="SU904" s="9"/>
      <c r="SV904" s="9"/>
      <c r="SW904" s="9"/>
      <c r="SX904" s="9"/>
      <c r="SY904" s="9"/>
      <c r="SZ904" s="9"/>
      <c r="TA904" s="9"/>
      <c r="TB904" s="9"/>
      <c r="TC904" s="9"/>
      <c r="TD904" s="9"/>
      <c r="TE904" s="9"/>
      <c r="TF904" s="9"/>
      <c r="TG904" s="9"/>
      <c r="TH904" s="9"/>
      <c r="TI904" s="9"/>
      <c r="TJ904" s="9"/>
      <c r="TK904" s="9"/>
      <c r="TL904" s="9"/>
      <c r="TM904" s="9"/>
      <c r="TN904" s="9"/>
      <c r="TO904" s="9"/>
      <c r="TP904" s="9"/>
      <c r="TQ904" s="9"/>
      <c r="TR904" s="9"/>
      <c r="TS904" s="9"/>
      <c r="TT904" s="9"/>
      <c r="TU904" s="9"/>
      <c r="TV904" s="9"/>
      <c r="TW904" s="9"/>
      <c r="TX904" s="9"/>
      <c r="TY904" s="9"/>
      <c r="TZ904" s="9"/>
      <c r="UA904" s="9"/>
      <c r="UB904" s="9"/>
      <c r="UC904" s="9"/>
      <c r="UD904" s="9"/>
      <c r="UE904" s="9"/>
      <c r="UF904" s="9"/>
      <c r="UG904" s="9"/>
      <c r="UH904" s="9"/>
      <c r="UI904" s="9"/>
      <c r="UJ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  <c r="GA905" s="9"/>
      <c r="GB905" s="9"/>
      <c r="GC905" s="9"/>
      <c r="GD905" s="9"/>
      <c r="GE905" s="9"/>
      <c r="GF905" s="9"/>
      <c r="GG905" s="9"/>
      <c r="GH905" s="9"/>
      <c r="GI905" s="9"/>
      <c r="GJ905" s="9"/>
      <c r="GK905" s="9"/>
      <c r="GL905" s="9"/>
      <c r="GM905" s="9"/>
      <c r="GN905" s="9"/>
      <c r="GO905" s="9"/>
      <c r="GP905" s="9"/>
      <c r="GQ905" s="9"/>
      <c r="GR905" s="9"/>
      <c r="GS905" s="9"/>
      <c r="GT905" s="9"/>
      <c r="GU905" s="9"/>
      <c r="GV905" s="9"/>
      <c r="GW905" s="9"/>
      <c r="GX905" s="9"/>
      <c r="GY905" s="9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  <c r="HO905" s="9"/>
      <c r="HP905" s="9"/>
      <c r="HQ905" s="9"/>
      <c r="HR905" s="9"/>
      <c r="HS905" s="9"/>
      <c r="HT905" s="9"/>
      <c r="HU905" s="9"/>
      <c r="HV905" s="9"/>
      <c r="HW905" s="9"/>
      <c r="HX905" s="9"/>
      <c r="HY905" s="9"/>
      <c r="HZ905" s="9"/>
      <c r="IA905" s="9"/>
      <c r="IB905" s="9"/>
      <c r="IC905" s="9"/>
      <c r="ID905" s="9"/>
      <c r="IE905" s="9"/>
      <c r="IF905" s="9"/>
      <c r="IG905" s="9"/>
      <c r="IH905" s="9"/>
      <c r="II905" s="9"/>
      <c r="IJ905" s="9"/>
      <c r="IK905" s="9"/>
      <c r="IL905" s="9"/>
      <c r="IM905" s="9"/>
      <c r="IN905" s="9"/>
      <c r="IO905" s="9"/>
      <c r="IP905" s="9"/>
      <c r="IQ905" s="9"/>
      <c r="IR905" s="9"/>
      <c r="IS905" s="9"/>
      <c r="IT905" s="9"/>
      <c r="IU905" s="9"/>
      <c r="IV905" s="9"/>
      <c r="IW905" s="9"/>
      <c r="IX905" s="9"/>
      <c r="IY905" s="9"/>
      <c r="IZ905" s="9"/>
      <c r="JA905" s="9"/>
      <c r="JB905" s="9"/>
      <c r="JC905" s="9"/>
      <c r="JD905" s="9"/>
      <c r="JE905" s="9"/>
      <c r="JF905" s="9"/>
      <c r="JG905" s="9"/>
      <c r="JH905" s="9"/>
      <c r="JI905" s="9"/>
      <c r="JJ905" s="9"/>
      <c r="JK905" s="9"/>
      <c r="JL905" s="9"/>
      <c r="JM905" s="9"/>
      <c r="JN905" s="9"/>
      <c r="JO905" s="9"/>
      <c r="JP905" s="9"/>
      <c r="JQ905" s="9"/>
      <c r="JR905" s="9"/>
      <c r="JS905" s="9"/>
      <c r="JT905" s="9"/>
      <c r="JU905" s="9"/>
      <c r="JV905" s="9"/>
      <c r="JW905" s="9"/>
      <c r="JX905" s="9"/>
      <c r="JY905" s="9"/>
      <c r="JZ905" s="9"/>
      <c r="KA905" s="9"/>
      <c r="KB905" s="9"/>
      <c r="KC905" s="9"/>
      <c r="KD905" s="9"/>
      <c r="KE905" s="9"/>
      <c r="KF905" s="9"/>
      <c r="KG905" s="9"/>
      <c r="KH905" s="9"/>
      <c r="KI905" s="9"/>
      <c r="KJ905" s="9"/>
      <c r="KK905" s="9"/>
      <c r="KL905" s="9"/>
      <c r="KM905" s="9"/>
      <c r="KN905" s="9"/>
      <c r="KO905" s="9"/>
      <c r="KP905" s="9"/>
      <c r="KQ905" s="9"/>
      <c r="KR905" s="9"/>
      <c r="KS905" s="9"/>
      <c r="KT905" s="9"/>
      <c r="KU905" s="9"/>
      <c r="KV905" s="9"/>
      <c r="KW905" s="9"/>
      <c r="KX905" s="9"/>
      <c r="KY905" s="9"/>
      <c r="KZ905" s="9"/>
      <c r="LA905" s="9"/>
      <c r="LB905" s="9"/>
      <c r="LC905" s="9"/>
      <c r="LD905" s="9"/>
      <c r="LE905" s="9"/>
      <c r="LF905" s="9"/>
      <c r="LG905" s="9"/>
      <c r="LH905" s="9"/>
      <c r="LI905" s="9"/>
      <c r="LJ905" s="9"/>
      <c r="LK905" s="9"/>
      <c r="LL905" s="9"/>
      <c r="LM905" s="9"/>
      <c r="LN905" s="9"/>
      <c r="LO905" s="9"/>
      <c r="LP905" s="9"/>
      <c r="LQ905" s="9"/>
      <c r="LR905" s="9"/>
      <c r="LS905" s="9"/>
      <c r="LT905" s="9"/>
      <c r="LU905" s="9"/>
      <c r="LV905" s="9"/>
      <c r="LW905" s="9"/>
      <c r="LX905" s="9"/>
      <c r="LY905" s="9"/>
      <c r="LZ905" s="9"/>
      <c r="MA905" s="9"/>
      <c r="MB905" s="9"/>
      <c r="MC905" s="9"/>
      <c r="MD905" s="9"/>
      <c r="ME905" s="9"/>
      <c r="MF905" s="9"/>
      <c r="MG905" s="9"/>
      <c r="MH905" s="9"/>
      <c r="MI905" s="9"/>
      <c r="MJ905" s="9"/>
      <c r="MK905" s="9"/>
      <c r="ML905" s="9"/>
      <c r="MM905" s="9"/>
      <c r="MN905" s="9"/>
      <c r="MO905" s="9"/>
      <c r="MP905" s="9"/>
      <c r="MQ905" s="9"/>
      <c r="MR905" s="9"/>
      <c r="MS905" s="9"/>
      <c r="MT905" s="9"/>
      <c r="MU905" s="9"/>
      <c r="MV905" s="9"/>
      <c r="MW905" s="9"/>
      <c r="MX905" s="9"/>
      <c r="MY905" s="9"/>
      <c r="MZ905" s="9"/>
      <c r="NA905" s="9"/>
      <c r="NB905" s="9"/>
      <c r="NC905" s="9"/>
      <c r="ND905" s="9"/>
      <c r="NE905" s="9"/>
      <c r="NF905" s="9"/>
      <c r="NG905" s="9"/>
      <c r="NH905" s="9"/>
      <c r="NI905" s="9"/>
      <c r="NJ905" s="9"/>
      <c r="NK905" s="9"/>
      <c r="NL905" s="9"/>
      <c r="NM905" s="9"/>
      <c r="NN905" s="9"/>
      <c r="NO905" s="9"/>
      <c r="NP905" s="9"/>
      <c r="NQ905" s="9"/>
      <c r="NR905" s="9"/>
      <c r="NS905" s="9"/>
      <c r="NT905" s="9"/>
      <c r="NU905" s="9"/>
      <c r="NV905" s="9"/>
      <c r="NW905" s="9"/>
      <c r="NX905" s="9"/>
      <c r="NY905" s="9"/>
      <c r="NZ905" s="9"/>
      <c r="OA905" s="9"/>
      <c r="OB905" s="9"/>
      <c r="OC905" s="9"/>
      <c r="OD905" s="9"/>
      <c r="OE905" s="9"/>
      <c r="OF905" s="9"/>
      <c r="OG905" s="9"/>
      <c r="OH905" s="9"/>
      <c r="OI905" s="9"/>
      <c r="OJ905" s="9"/>
      <c r="OK905" s="9"/>
      <c r="OL905" s="9"/>
      <c r="OM905" s="9"/>
      <c r="ON905" s="9"/>
      <c r="OO905" s="9"/>
      <c r="OP905" s="9"/>
      <c r="OQ905" s="9"/>
      <c r="OR905" s="9"/>
      <c r="OS905" s="9"/>
      <c r="OT905" s="9"/>
      <c r="OU905" s="9"/>
      <c r="OV905" s="9"/>
      <c r="OW905" s="9"/>
      <c r="OX905" s="9"/>
      <c r="OY905" s="9"/>
      <c r="OZ905" s="9"/>
      <c r="PA905" s="9"/>
      <c r="PB905" s="9"/>
      <c r="PC905" s="9"/>
      <c r="PD905" s="9"/>
      <c r="PE905" s="9"/>
      <c r="PF905" s="9"/>
      <c r="PG905" s="9"/>
      <c r="PH905" s="9"/>
      <c r="PI905" s="9"/>
      <c r="PJ905" s="9"/>
      <c r="PK905" s="9"/>
      <c r="PL905" s="9"/>
      <c r="PM905" s="9"/>
      <c r="PN905" s="9"/>
      <c r="PO905" s="9"/>
      <c r="PP905" s="9"/>
      <c r="PQ905" s="9"/>
      <c r="PR905" s="9"/>
      <c r="PS905" s="9"/>
      <c r="PT905" s="9"/>
      <c r="PU905" s="9"/>
      <c r="PV905" s="9"/>
      <c r="PW905" s="9"/>
      <c r="PX905" s="9"/>
      <c r="PY905" s="9"/>
      <c r="PZ905" s="9"/>
      <c r="QA905" s="9"/>
      <c r="QB905" s="9"/>
      <c r="QC905" s="9"/>
      <c r="QD905" s="9"/>
      <c r="QE905" s="9"/>
      <c r="QF905" s="9"/>
      <c r="QG905" s="9"/>
      <c r="QH905" s="9"/>
      <c r="QI905" s="9"/>
      <c r="QJ905" s="9"/>
      <c r="QK905" s="9"/>
      <c r="QL905" s="9"/>
      <c r="QM905" s="9"/>
      <c r="QN905" s="9"/>
      <c r="QO905" s="9"/>
      <c r="QP905" s="9"/>
      <c r="QQ905" s="9"/>
      <c r="QR905" s="9"/>
      <c r="QS905" s="9"/>
      <c r="QT905" s="9"/>
      <c r="QU905" s="9"/>
      <c r="QV905" s="9"/>
      <c r="QW905" s="9"/>
      <c r="QX905" s="9"/>
      <c r="QY905" s="9"/>
      <c r="QZ905" s="9"/>
      <c r="RA905" s="9"/>
      <c r="RB905" s="9"/>
      <c r="RC905" s="9"/>
      <c r="RD905" s="9"/>
      <c r="RE905" s="9"/>
      <c r="RF905" s="9"/>
      <c r="RG905" s="9"/>
      <c r="RH905" s="9"/>
      <c r="RI905" s="9"/>
      <c r="RJ905" s="9"/>
      <c r="RK905" s="9"/>
      <c r="RL905" s="9"/>
      <c r="RM905" s="9"/>
      <c r="RN905" s="9"/>
      <c r="RO905" s="9"/>
      <c r="RP905" s="9"/>
      <c r="RQ905" s="9"/>
      <c r="RR905" s="9"/>
      <c r="RS905" s="9"/>
      <c r="RT905" s="9"/>
      <c r="RU905" s="9"/>
      <c r="RV905" s="9"/>
      <c r="RW905" s="9"/>
      <c r="RX905" s="9"/>
      <c r="RY905" s="9"/>
      <c r="RZ905" s="9"/>
      <c r="SA905" s="9"/>
      <c r="SB905" s="9"/>
      <c r="SC905" s="9"/>
      <c r="SD905" s="9"/>
      <c r="SE905" s="9"/>
      <c r="SF905" s="9"/>
      <c r="SG905" s="9"/>
      <c r="SH905" s="9"/>
      <c r="SI905" s="9"/>
      <c r="SJ905" s="9"/>
      <c r="SK905" s="9"/>
      <c r="SL905" s="9"/>
      <c r="SM905" s="9"/>
      <c r="SN905" s="9"/>
      <c r="SO905" s="9"/>
      <c r="SP905" s="9"/>
      <c r="SQ905" s="9"/>
      <c r="SR905" s="9"/>
      <c r="SS905" s="9"/>
      <c r="ST905" s="9"/>
      <c r="SU905" s="9"/>
      <c r="SV905" s="9"/>
      <c r="SW905" s="9"/>
      <c r="SX905" s="9"/>
      <c r="SY905" s="9"/>
      <c r="SZ905" s="9"/>
      <c r="TA905" s="9"/>
      <c r="TB905" s="9"/>
      <c r="TC905" s="9"/>
      <c r="TD905" s="9"/>
      <c r="TE905" s="9"/>
      <c r="TF905" s="9"/>
      <c r="TG905" s="9"/>
      <c r="TH905" s="9"/>
      <c r="TI905" s="9"/>
      <c r="TJ905" s="9"/>
      <c r="TK905" s="9"/>
      <c r="TL905" s="9"/>
      <c r="TM905" s="9"/>
      <c r="TN905" s="9"/>
      <c r="TO905" s="9"/>
      <c r="TP905" s="9"/>
      <c r="TQ905" s="9"/>
      <c r="TR905" s="9"/>
      <c r="TS905" s="9"/>
      <c r="TT905" s="9"/>
      <c r="TU905" s="9"/>
      <c r="TV905" s="9"/>
      <c r="TW905" s="9"/>
      <c r="TX905" s="9"/>
      <c r="TY905" s="9"/>
      <c r="TZ905" s="9"/>
      <c r="UA905" s="9"/>
      <c r="UB905" s="9"/>
      <c r="UC905" s="9"/>
      <c r="UD905" s="9"/>
      <c r="UE905" s="9"/>
      <c r="UF905" s="9"/>
      <c r="UG905" s="9"/>
      <c r="UH905" s="9"/>
      <c r="UI905" s="9"/>
      <c r="UJ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9"/>
      <c r="FP906" s="9"/>
      <c r="FQ906" s="9"/>
      <c r="FR906" s="9"/>
      <c r="FS906" s="9"/>
      <c r="FT906" s="9"/>
      <c r="FU906" s="9"/>
      <c r="FV906" s="9"/>
      <c r="FW906" s="9"/>
      <c r="FX906" s="9"/>
      <c r="FY906" s="9"/>
      <c r="FZ906" s="9"/>
      <c r="GA906" s="9"/>
      <c r="GB906" s="9"/>
      <c r="GC906" s="9"/>
      <c r="GD906" s="9"/>
      <c r="GE906" s="9"/>
      <c r="GF906" s="9"/>
      <c r="GG906" s="9"/>
      <c r="GH906" s="9"/>
      <c r="GI906" s="9"/>
      <c r="GJ906" s="9"/>
      <c r="GK906" s="9"/>
      <c r="GL906" s="9"/>
      <c r="GM906" s="9"/>
      <c r="GN906" s="9"/>
      <c r="GO906" s="9"/>
      <c r="GP906" s="9"/>
      <c r="GQ906" s="9"/>
      <c r="GR906" s="9"/>
      <c r="GS906" s="9"/>
      <c r="GT906" s="9"/>
      <c r="GU906" s="9"/>
      <c r="GV906" s="9"/>
      <c r="GW906" s="9"/>
      <c r="GX906" s="9"/>
      <c r="GY906" s="9"/>
      <c r="GZ906" s="9"/>
      <c r="HA906" s="9"/>
      <c r="HB906" s="9"/>
      <c r="HC906" s="9"/>
      <c r="HD906" s="9"/>
      <c r="HE906" s="9"/>
      <c r="HF906" s="9"/>
      <c r="HG906" s="9"/>
      <c r="HH906" s="9"/>
      <c r="HI906" s="9"/>
      <c r="HJ906" s="9"/>
      <c r="HK906" s="9"/>
      <c r="HL906" s="9"/>
      <c r="HM906" s="9"/>
      <c r="HN906" s="9"/>
      <c r="HO906" s="9"/>
      <c r="HP906" s="9"/>
      <c r="HQ906" s="9"/>
      <c r="HR906" s="9"/>
      <c r="HS906" s="9"/>
      <c r="HT906" s="9"/>
      <c r="HU906" s="9"/>
      <c r="HV906" s="9"/>
      <c r="HW906" s="9"/>
      <c r="HX906" s="9"/>
      <c r="HY906" s="9"/>
      <c r="HZ906" s="9"/>
      <c r="IA906" s="9"/>
      <c r="IB906" s="9"/>
      <c r="IC906" s="9"/>
      <c r="ID906" s="9"/>
      <c r="IE906" s="9"/>
      <c r="IF906" s="9"/>
      <c r="IG906" s="9"/>
      <c r="IH906" s="9"/>
      <c r="II906" s="9"/>
      <c r="IJ906" s="9"/>
      <c r="IK906" s="9"/>
      <c r="IL906" s="9"/>
      <c r="IM906" s="9"/>
      <c r="IN906" s="9"/>
      <c r="IO906" s="9"/>
      <c r="IP906" s="9"/>
      <c r="IQ906" s="9"/>
      <c r="IR906" s="9"/>
      <c r="IS906" s="9"/>
      <c r="IT906" s="9"/>
      <c r="IU906" s="9"/>
      <c r="IV906" s="9"/>
      <c r="IW906" s="9"/>
      <c r="IX906" s="9"/>
      <c r="IY906" s="9"/>
      <c r="IZ906" s="9"/>
      <c r="JA906" s="9"/>
      <c r="JB906" s="9"/>
      <c r="JC906" s="9"/>
      <c r="JD906" s="9"/>
      <c r="JE906" s="9"/>
      <c r="JF906" s="9"/>
      <c r="JG906" s="9"/>
      <c r="JH906" s="9"/>
      <c r="JI906" s="9"/>
      <c r="JJ906" s="9"/>
      <c r="JK906" s="9"/>
      <c r="JL906" s="9"/>
      <c r="JM906" s="9"/>
      <c r="JN906" s="9"/>
      <c r="JO906" s="9"/>
      <c r="JP906" s="9"/>
      <c r="JQ906" s="9"/>
      <c r="JR906" s="9"/>
      <c r="JS906" s="9"/>
      <c r="JT906" s="9"/>
      <c r="JU906" s="9"/>
      <c r="JV906" s="9"/>
      <c r="JW906" s="9"/>
      <c r="JX906" s="9"/>
      <c r="JY906" s="9"/>
      <c r="JZ906" s="9"/>
      <c r="KA906" s="9"/>
      <c r="KB906" s="9"/>
      <c r="KC906" s="9"/>
      <c r="KD906" s="9"/>
      <c r="KE906" s="9"/>
      <c r="KF906" s="9"/>
      <c r="KG906" s="9"/>
      <c r="KH906" s="9"/>
      <c r="KI906" s="9"/>
      <c r="KJ906" s="9"/>
      <c r="KK906" s="9"/>
      <c r="KL906" s="9"/>
      <c r="KM906" s="9"/>
      <c r="KN906" s="9"/>
      <c r="KO906" s="9"/>
      <c r="KP906" s="9"/>
      <c r="KQ906" s="9"/>
      <c r="KR906" s="9"/>
      <c r="KS906" s="9"/>
      <c r="KT906" s="9"/>
      <c r="KU906" s="9"/>
      <c r="KV906" s="9"/>
      <c r="KW906" s="9"/>
      <c r="KX906" s="9"/>
      <c r="KY906" s="9"/>
      <c r="KZ906" s="9"/>
      <c r="LA906" s="9"/>
      <c r="LB906" s="9"/>
      <c r="LC906" s="9"/>
      <c r="LD906" s="9"/>
      <c r="LE906" s="9"/>
      <c r="LF906" s="9"/>
      <c r="LG906" s="9"/>
      <c r="LH906" s="9"/>
      <c r="LI906" s="9"/>
      <c r="LJ906" s="9"/>
      <c r="LK906" s="9"/>
      <c r="LL906" s="9"/>
      <c r="LM906" s="9"/>
      <c r="LN906" s="9"/>
      <c r="LO906" s="9"/>
      <c r="LP906" s="9"/>
      <c r="LQ906" s="9"/>
      <c r="LR906" s="9"/>
      <c r="LS906" s="9"/>
      <c r="LT906" s="9"/>
      <c r="LU906" s="9"/>
      <c r="LV906" s="9"/>
      <c r="LW906" s="9"/>
      <c r="LX906" s="9"/>
      <c r="LY906" s="9"/>
      <c r="LZ906" s="9"/>
      <c r="MA906" s="9"/>
      <c r="MB906" s="9"/>
      <c r="MC906" s="9"/>
      <c r="MD906" s="9"/>
      <c r="ME906" s="9"/>
      <c r="MF906" s="9"/>
      <c r="MG906" s="9"/>
      <c r="MH906" s="9"/>
      <c r="MI906" s="9"/>
      <c r="MJ906" s="9"/>
      <c r="MK906" s="9"/>
      <c r="ML906" s="9"/>
      <c r="MM906" s="9"/>
      <c r="MN906" s="9"/>
      <c r="MO906" s="9"/>
      <c r="MP906" s="9"/>
      <c r="MQ906" s="9"/>
      <c r="MR906" s="9"/>
      <c r="MS906" s="9"/>
      <c r="MT906" s="9"/>
      <c r="MU906" s="9"/>
      <c r="MV906" s="9"/>
      <c r="MW906" s="9"/>
      <c r="MX906" s="9"/>
      <c r="MY906" s="9"/>
      <c r="MZ906" s="9"/>
      <c r="NA906" s="9"/>
      <c r="NB906" s="9"/>
      <c r="NC906" s="9"/>
      <c r="ND906" s="9"/>
      <c r="NE906" s="9"/>
      <c r="NF906" s="9"/>
      <c r="NG906" s="9"/>
      <c r="NH906" s="9"/>
      <c r="NI906" s="9"/>
      <c r="NJ906" s="9"/>
      <c r="NK906" s="9"/>
      <c r="NL906" s="9"/>
      <c r="NM906" s="9"/>
      <c r="NN906" s="9"/>
      <c r="NO906" s="9"/>
      <c r="NP906" s="9"/>
      <c r="NQ906" s="9"/>
      <c r="NR906" s="9"/>
      <c r="NS906" s="9"/>
      <c r="NT906" s="9"/>
      <c r="NU906" s="9"/>
      <c r="NV906" s="9"/>
      <c r="NW906" s="9"/>
      <c r="NX906" s="9"/>
      <c r="NY906" s="9"/>
      <c r="NZ906" s="9"/>
      <c r="OA906" s="9"/>
      <c r="OB906" s="9"/>
      <c r="OC906" s="9"/>
      <c r="OD906" s="9"/>
      <c r="OE906" s="9"/>
      <c r="OF906" s="9"/>
      <c r="OG906" s="9"/>
      <c r="OH906" s="9"/>
      <c r="OI906" s="9"/>
      <c r="OJ906" s="9"/>
      <c r="OK906" s="9"/>
      <c r="OL906" s="9"/>
      <c r="OM906" s="9"/>
      <c r="ON906" s="9"/>
      <c r="OO906" s="9"/>
      <c r="OP906" s="9"/>
      <c r="OQ906" s="9"/>
      <c r="OR906" s="9"/>
      <c r="OS906" s="9"/>
      <c r="OT906" s="9"/>
      <c r="OU906" s="9"/>
      <c r="OV906" s="9"/>
      <c r="OW906" s="9"/>
      <c r="OX906" s="9"/>
      <c r="OY906" s="9"/>
      <c r="OZ906" s="9"/>
      <c r="PA906" s="9"/>
      <c r="PB906" s="9"/>
      <c r="PC906" s="9"/>
      <c r="PD906" s="9"/>
      <c r="PE906" s="9"/>
      <c r="PF906" s="9"/>
      <c r="PG906" s="9"/>
      <c r="PH906" s="9"/>
      <c r="PI906" s="9"/>
      <c r="PJ906" s="9"/>
      <c r="PK906" s="9"/>
      <c r="PL906" s="9"/>
      <c r="PM906" s="9"/>
      <c r="PN906" s="9"/>
      <c r="PO906" s="9"/>
      <c r="PP906" s="9"/>
      <c r="PQ906" s="9"/>
      <c r="PR906" s="9"/>
      <c r="PS906" s="9"/>
      <c r="PT906" s="9"/>
      <c r="PU906" s="9"/>
      <c r="PV906" s="9"/>
      <c r="PW906" s="9"/>
      <c r="PX906" s="9"/>
      <c r="PY906" s="9"/>
      <c r="PZ906" s="9"/>
      <c r="QA906" s="9"/>
      <c r="QB906" s="9"/>
      <c r="QC906" s="9"/>
      <c r="QD906" s="9"/>
      <c r="QE906" s="9"/>
      <c r="QF906" s="9"/>
      <c r="QG906" s="9"/>
      <c r="QH906" s="9"/>
      <c r="QI906" s="9"/>
      <c r="QJ906" s="9"/>
      <c r="QK906" s="9"/>
      <c r="QL906" s="9"/>
      <c r="QM906" s="9"/>
      <c r="QN906" s="9"/>
      <c r="QO906" s="9"/>
      <c r="QP906" s="9"/>
      <c r="QQ906" s="9"/>
      <c r="QR906" s="9"/>
      <c r="QS906" s="9"/>
      <c r="QT906" s="9"/>
      <c r="QU906" s="9"/>
      <c r="QV906" s="9"/>
      <c r="QW906" s="9"/>
      <c r="QX906" s="9"/>
      <c r="QY906" s="9"/>
      <c r="QZ906" s="9"/>
      <c r="RA906" s="9"/>
      <c r="RB906" s="9"/>
      <c r="RC906" s="9"/>
      <c r="RD906" s="9"/>
      <c r="RE906" s="9"/>
      <c r="RF906" s="9"/>
      <c r="RG906" s="9"/>
      <c r="RH906" s="9"/>
      <c r="RI906" s="9"/>
      <c r="RJ906" s="9"/>
      <c r="RK906" s="9"/>
      <c r="RL906" s="9"/>
      <c r="RM906" s="9"/>
      <c r="RN906" s="9"/>
      <c r="RO906" s="9"/>
      <c r="RP906" s="9"/>
      <c r="RQ906" s="9"/>
      <c r="RR906" s="9"/>
      <c r="RS906" s="9"/>
      <c r="RT906" s="9"/>
      <c r="RU906" s="9"/>
      <c r="RV906" s="9"/>
      <c r="RW906" s="9"/>
      <c r="RX906" s="9"/>
      <c r="RY906" s="9"/>
      <c r="RZ906" s="9"/>
      <c r="SA906" s="9"/>
      <c r="SB906" s="9"/>
      <c r="SC906" s="9"/>
      <c r="SD906" s="9"/>
      <c r="SE906" s="9"/>
      <c r="SF906" s="9"/>
      <c r="SG906" s="9"/>
      <c r="SH906" s="9"/>
      <c r="SI906" s="9"/>
      <c r="SJ906" s="9"/>
      <c r="SK906" s="9"/>
      <c r="SL906" s="9"/>
      <c r="SM906" s="9"/>
      <c r="SN906" s="9"/>
      <c r="SO906" s="9"/>
      <c r="SP906" s="9"/>
      <c r="SQ906" s="9"/>
      <c r="SR906" s="9"/>
      <c r="SS906" s="9"/>
      <c r="ST906" s="9"/>
      <c r="SU906" s="9"/>
      <c r="SV906" s="9"/>
      <c r="SW906" s="9"/>
      <c r="SX906" s="9"/>
      <c r="SY906" s="9"/>
      <c r="SZ906" s="9"/>
      <c r="TA906" s="9"/>
      <c r="TB906" s="9"/>
      <c r="TC906" s="9"/>
      <c r="TD906" s="9"/>
      <c r="TE906" s="9"/>
      <c r="TF906" s="9"/>
      <c r="TG906" s="9"/>
      <c r="TH906" s="9"/>
      <c r="TI906" s="9"/>
      <c r="TJ906" s="9"/>
      <c r="TK906" s="9"/>
      <c r="TL906" s="9"/>
      <c r="TM906" s="9"/>
      <c r="TN906" s="9"/>
      <c r="TO906" s="9"/>
      <c r="TP906" s="9"/>
      <c r="TQ906" s="9"/>
      <c r="TR906" s="9"/>
      <c r="TS906" s="9"/>
      <c r="TT906" s="9"/>
      <c r="TU906" s="9"/>
      <c r="TV906" s="9"/>
      <c r="TW906" s="9"/>
      <c r="TX906" s="9"/>
      <c r="TY906" s="9"/>
      <c r="TZ906" s="9"/>
      <c r="UA906" s="9"/>
      <c r="UB906" s="9"/>
      <c r="UC906" s="9"/>
      <c r="UD906" s="9"/>
      <c r="UE906" s="9"/>
      <c r="UF906" s="9"/>
      <c r="UG906" s="9"/>
      <c r="UH906" s="9"/>
      <c r="UI906" s="9"/>
      <c r="UJ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9"/>
      <c r="GV907" s="9"/>
      <c r="GW907" s="9"/>
      <c r="GX907" s="9"/>
      <c r="GY907" s="9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  <c r="HO907" s="9"/>
      <c r="HP907" s="9"/>
      <c r="HQ907" s="9"/>
      <c r="HR907" s="9"/>
      <c r="HS907" s="9"/>
      <c r="HT907" s="9"/>
      <c r="HU907" s="9"/>
      <c r="HV907" s="9"/>
      <c r="HW907" s="9"/>
      <c r="HX907" s="9"/>
      <c r="HY907" s="9"/>
      <c r="HZ907" s="9"/>
      <c r="IA907" s="9"/>
      <c r="IB907" s="9"/>
      <c r="IC907" s="9"/>
      <c r="ID907" s="9"/>
      <c r="IE907" s="9"/>
      <c r="IF907" s="9"/>
      <c r="IG907" s="9"/>
      <c r="IH907" s="9"/>
      <c r="II907" s="9"/>
      <c r="IJ907" s="9"/>
      <c r="IK907" s="9"/>
      <c r="IL907" s="9"/>
      <c r="IM907" s="9"/>
      <c r="IN907" s="9"/>
      <c r="IO907" s="9"/>
      <c r="IP907" s="9"/>
      <c r="IQ907" s="9"/>
      <c r="IR907" s="9"/>
      <c r="IS907" s="9"/>
      <c r="IT907" s="9"/>
      <c r="IU907" s="9"/>
      <c r="IV907" s="9"/>
      <c r="IW907" s="9"/>
      <c r="IX907" s="9"/>
      <c r="IY907" s="9"/>
      <c r="IZ907" s="9"/>
      <c r="JA907" s="9"/>
      <c r="JB907" s="9"/>
      <c r="JC907" s="9"/>
      <c r="JD907" s="9"/>
      <c r="JE907" s="9"/>
      <c r="JF907" s="9"/>
      <c r="JG907" s="9"/>
      <c r="JH907" s="9"/>
      <c r="JI907" s="9"/>
      <c r="JJ907" s="9"/>
      <c r="JK907" s="9"/>
      <c r="JL907" s="9"/>
      <c r="JM907" s="9"/>
      <c r="JN907" s="9"/>
      <c r="JO907" s="9"/>
      <c r="JP907" s="9"/>
      <c r="JQ907" s="9"/>
      <c r="JR907" s="9"/>
      <c r="JS907" s="9"/>
      <c r="JT907" s="9"/>
      <c r="JU907" s="9"/>
      <c r="JV907" s="9"/>
      <c r="JW907" s="9"/>
      <c r="JX907" s="9"/>
      <c r="JY907" s="9"/>
      <c r="JZ907" s="9"/>
      <c r="KA907" s="9"/>
      <c r="KB907" s="9"/>
      <c r="KC907" s="9"/>
      <c r="KD907" s="9"/>
      <c r="KE907" s="9"/>
      <c r="KF907" s="9"/>
      <c r="KG907" s="9"/>
      <c r="KH907" s="9"/>
      <c r="KI907" s="9"/>
      <c r="KJ907" s="9"/>
      <c r="KK907" s="9"/>
      <c r="KL907" s="9"/>
      <c r="KM907" s="9"/>
      <c r="KN907" s="9"/>
      <c r="KO907" s="9"/>
      <c r="KP907" s="9"/>
      <c r="KQ907" s="9"/>
      <c r="KR907" s="9"/>
      <c r="KS907" s="9"/>
      <c r="KT907" s="9"/>
      <c r="KU907" s="9"/>
      <c r="KV907" s="9"/>
      <c r="KW907" s="9"/>
      <c r="KX907" s="9"/>
      <c r="KY907" s="9"/>
      <c r="KZ907" s="9"/>
      <c r="LA907" s="9"/>
      <c r="LB907" s="9"/>
      <c r="LC907" s="9"/>
      <c r="LD907" s="9"/>
      <c r="LE907" s="9"/>
      <c r="LF907" s="9"/>
      <c r="LG907" s="9"/>
      <c r="LH907" s="9"/>
      <c r="LI907" s="9"/>
      <c r="LJ907" s="9"/>
      <c r="LK907" s="9"/>
      <c r="LL907" s="9"/>
      <c r="LM907" s="9"/>
      <c r="LN907" s="9"/>
      <c r="LO907" s="9"/>
      <c r="LP907" s="9"/>
      <c r="LQ907" s="9"/>
      <c r="LR907" s="9"/>
      <c r="LS907" s="9"/>
      <c r="LT907" s="9"/>
      <c r="LU907" s="9"/>
      <c r="LV907" s="9"/>
      <c r="LW907" s="9"/>
      <c r="LX907" s="9"/>
      <c r="LY907" s="9"/>
      <c r="LZ907" s="9"/>
      <c r="MA907" s="9"/>
      <c r="MB907" s="9"/>
      <c r="MC907" s="9"/>
      <c r="MD907" s="9"/>
      <c r="ME907" s="9"/>
      <c r="MF907" s="9"/>
      <c r="MG907" s="9"/>
      <c r="MH907" s="9"/>
      <c r="MI907" s="9"/>
      <c r="MJ907" s="9"/>
      <c r="MK907" s="9"/>
      <c r="ML907" s="9"/>
      <c r="MM907" s="9"/>
      <c r="MN907" s="9"/>
      <c r="MO907" s="9"/>
      <c r="MP907" s="9"/>
      <c r="MQ907" s="9"/>
      <c r="MR907" s="9"/>
      <c r="MS907" s="9"/>
      <c r="MT907" s="9"/>
      <c r="MU907" s="9"/>
      <c r="MV907" s="9"/>
      <c r="MW907" s="9"/>
      <c r="MX907" s="9"/>
      <c r="MY907" s="9"/>
      <c r="MZ907" s="9"/>
      <c r="NA907" s="9"/>
      <c r="NB907" s="9"/>
      <c r="NC907" s="9"/>
      <c r="ND907" s="9"/>
      <c r="NE907" s="9"/>
      <c r="NF907" s="9"/>
      <c r="NG907" s="9"/>
      <c r="NH907" s="9"/>
      <c r="NI907" s="9"/>
      <c r="NJ907" s="9"/>
      <c r="NK907" s="9"/>
      <c r="NL907" s="9"/>
      <c r="NM907" s="9"/>
      <c r="NN907" s="9"/>
      <c r="NO907" s="9"/>
      <c r="NP907" s="9"/>
      <c r="NQ907" s="9"/>
      <c r="NR907" s="9"/>
      <c r="NS907" s="9"/>
      <c r="NT907" s="9"/>
      <c r="NU907" s="9"/>
      <c r="NV907" s="9"/>
      <c r="NW907" s="9"/>
      <c r="NX907" s="9"/>
      <c r="NY907" s="9"/>
      <c r="NZ907" s="9"/>
      <c r="OA907" s="9"/>
      <c r="OB907" s="9"/>
      <c r="OC907" s="9"/>
      <c r="OD907" s="9"/>
      <c r="OE907" s="9"/>
      <c r="OF907" s="9"/>
      <c r="OG907" s="9"/>
      <c r="OH907" s="9"/>
      <c r="OI907" s="9"/>
      <c r="OJ907" s="9"/>
      <c r="OK907" s="9"/>
      <c r="OL907" s="9"/>
      <c r="OM907" s="9"/>
      <c r="ON907" s="9"/>
      <c r="OO907" s="9"/>
      <c r="OP907" s="9"/>
      <c r="OQ907" s="9"/>
      <c r="OR907" s="9"/>
      <c r="OS907" s="9"/>
      <c r="OT907" s="9"/>
      <c r="OU907" s="9"/>
      <c r="OV907" s="9"/>
      <c r="OW907" s="9"/>
      <c r="OX907" s="9"/>
      <c r="OY907" s="9"/>
      <c r="OZ907" s="9"/>
      <c r="PA907" s="9"/>
      <c r="PB907" s="9"/>
      <c r="PC907" s="9"/>
      <c r="PD907" s="9"/>
      <c r="PE907" s="9"/>
      <c r="PF907" s="9"/>
      <c r="PG907" s="9"/>
      <c r="PH907" s="9"/>
      <c r="PI907" s="9"/>
      <c r="PJ907" s="9"/>
      <c r="PK907" s="9"/>
      <c r="PL907" s="9"/>
      <c r="PM907" s="9"/>
      <c r="PN907" s="9"/>
      <c r="PO907" s="9"/>
      <c r="PP907" s="9"/>
      <c r="PQ907" s="9"/>
      <c r="PR907" s="9"/>
      <c r="PS907" s="9"/>
      <c r="PT907" s="9"/>
      <c r="PU907" s="9"/>
      <c r="PV907" s="9"/>
      <c r="PW907" s="9"/>
      <c r="PX907" s="9"/>
      <c r="PY907" s="9"/>
      <c r="PZ907" s="9"/>
      <c r="QA907" s="9"/>
      <c r="QB907" s="9"/>
      <c r="QC907" s="9"/>
      <c r="QD907" s="9"/>
      <c r="QE907" s="9"/>
      <c r="QF907" s="9"/>
      <c r="QG907" s="9"/>
      <c r="QH907" s="9"/>
      <c r="QI907" s="9"/>
      <c r="QJ907" s="9"/>
      <c r="QK907" s="9"/>
      <c r="QL907" s="9"/>
      <c r="QM907" s="9"/>
      <c r="QN907" s="9"/>
      <c r="QO907" s="9"/>
      <c r="QP907" s="9"/>
      <c r="QQ907" s="9"/>
      <c r="QR907" s="9"/>
      <c r="QS907" s="9"/>
      <c r="QT907" s="9"/>
      <c r="QU907" s="9"/>
      <c r="QV907" s="9"/>
      <c r="QW907" s="9"/>
      <c r="QX907" s="9"/>
      <c r="QY907" s="9"/>
      <c r="QZ907" s="9"/>
      <c r="RA907" s="9"/>
      <c r="RB907" s="9"/>
      <c r="RC907" s="9"/>
      <c r="RD907" s="9"/>
      <c r="RE907" s="9"/>
      <c r="RF907" s="9"/>
      <c r="RG907" s="9"/>
      <c r="RH907" s="9"/>
      <c r="RI907" s="9"/>
      <c r="RJ907" s="9"/>
      <c r="RK907" s="9"/>
      <c r="RL907" s="9"/>
      <c r="RM907" s="9"/>
      <c r="RN907" s="9"/>
      <c r="RO907" s="9"/>
      <c r="RP907" s="9"/>
      <c r="RQ907" s="9"/>
      <c r="RR907" s="9"/>
      <c r="RS907" s="9"/>
      <c r="RT907" s="9"/>
      <c r="RU907" s="9"/>
      <c r="RV907" s="9"/>
      <c r="RW907" s="9"/>
      <c r="RX907" s="9"/>
      <c r="RY907" s="9"/>
      <c r="RZ907" s="9"/>
      <c r="SA907" s="9"/>
      <c r="SB907" s="9"/>
      <c r="SC907" s="9"/>
      <c r="SD907" s="9"/>
      <c r="SE907" s="9"/>
      <c r="SF907" s="9"/>
      <c r="SG907" s="9"/>
      <c r="SH907" s="9"/>
      <c r="SI907" s="9"/>
      <c r="SJ907" s="9"/>
      <c r="SK907" s="9"/>
      <c r="SL907" s="9"/>
      <c r="SM907" s="9"/>
      <c r="SN907" s="9"/>
      <c r="SO907" s="9"/>
      <c r="SP907" s="9"/>
      <c r="SQ907" s="9"/>
      <c r="SR907" s="9"/>
      <c r="SS907" s="9"/>
      <c r="ST907" s="9"/>
      <c r="SU907" s="9"/>
      <c r="SV907" s="9"/>
      <c r="SW907" s="9"/>
      <c r="SX907" s="9"/>
      <c r="SY907" s="9"/>
      <c r="SZ907" s="9"/>
      <c r="TA907" s="9"/>
      <c r="TB907" s="9"/>
      <c r="TC907" s="9"/>
      <c r="TD907" s="9"/>
      <c r="TE907" s="9"/>
      <c r="TF907" s="9"/>
      <c r="TG907" s="9"/>
      <c r="TH907" s="9"/>
      <c r="TI907" s="9"/>
      <c r="TJ907" s="9"/>
      <c r="TK907" s="9"/>
      <c r="TL907" s="9"/>
      <c r="TM907" s="9"/>
      <c r="TN907" s="9"/>
      <c r="TO907" s="9"/>
      <c r="TP907" s="9"/>
      <c r="TQ907" s="9"/>
      <c r="TR907" s="9"/>
      <c r="TS907" s="9"/>
      <c r="TT907" s="9"/>
      <c r="TU907" s="9"/>
      <c r="TV907" s="9"/>
      <c r="TW907" s="9"/>
      <c r="TX907" s="9"/>
      <c r="TY907" s="9"/>
      <c r="TZ907" s="9"/>
      <c r="UA907" s="9"/>
      <c r="UB907" s="9"/>
      <c r="UC907" s="9"/>
      <c r="UD907" s="9"/>
      <c r="UE907" s="9"/>
      <c r="UF907" s="9"/>
      <c r="UG907" s="9"/>
      <c r="UH907" s="9"/>
      <c r="UI907" s="9"/>
      <c r="UJ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  <c r="HO908" s="9"/>
      <c r="HP908" s="9"/>
      <c r="HQ908" s="9"/>
      <c r="HR908" s="9"/>
      <c r="HS908" s="9"/>
      <c r="HT908" s="9"/>
      <c r="HU908" s="9"/>
      <c r="HV908" s="9"/>
      <c r="HW908" s="9"/>
      <c r="HX908" s="9"/>
      <c r="HY908" s="9"/>
      <c r="HZ908" s="9"/>
      <c r="IA908" s="9"/>
      <c r="IB908" s="9"/>
      <c r="IC908" s="9"/>
      <c r="ID908" s="9"/>
      <c r="IE908" s="9"/>
      <c r="IF908" s="9"/>
      <c r="IG908" s="9"/>
      <c r="IH908" s="9"/>
      <c r="II908" s="9"/>
      <c r="IJ908" s="9"/>
      <c r="IK908" s="9"/>
      <c r="IL908" s="9"/>
      <c r="IM908" s="9"/>
      <c r="IN908" s="9"/>
      <c r="IO908" s="9"/>
      <c r="IP908" s="9"/>
      <c r="IQ908" s="9"/>
      <c r="IR908" s="9"/>
      <c r="IS908" s="9"/>
      <c r="IT908" s="9"/>
      <c r="IU908" s="9"/>
      <c r="IV908" s="9"/>
      <c r="IW908" s="9"/>
      <c r="IX908" s="9"/>
      <c r="IY908" s="9"/>
      <c r="IZ908" s="9"/>
      <c r="JA908" s="9"/>
      <c r="JB908" s="9"/>
      <c r="JC908" s="9"/>
      <c r="JD908" s="9"/>
      <c r="JE908" s="9"/>
      <c r="JF908" s="9"/>
      <c r="JG908" s="9"/>
      <c r="JH908" s="9"/>
      <c r="JI908" s="9"/>
      <c r="JJ908" s="9"/>
      <c r="JK908" s="9"/>
      <c r="JL908" s="9"/>
      <c r="JM908" s="9"/>
      <c r="JN908" s="9"/>
      <c r="JO908" s="9"/>
      <c r="JP908" s="9"/>
      <c r="JQ908" s="9"/>
      <c r="JR908" s="9"/>
      <c r="JS908" s="9"/>
      <c r="JT908" s="9"/>
      <c r="JU908" s="9"/>
      <c r="JV908" s="9"/>
      <c r="JW908" s="9"/>
      <c r="JX908" s="9"/>
      <c r="JY908" s="9"/>
      <c r="JZ908" s="9"/>
      <c r="KA908" s="9"/>
      <c r="KB908" s="9"/>
      <c r="KC908" s="9"/>
      <c r="KD908" s="9"/>
      <c r="KE908" s="9"/>
      <c r="KF908" s="9"/>
      <c r="KG908" s="9"/>
      <c r="KH908" s="9"/>
      <c r="KI908" s="9"/>
      <c r="KJ908" s="9"/>
      <c r="KK908" s="9"/>
      <c r="KL908" s="9"/>
      <c r="KM908" s="9"/>
      <c r="KN908" s="9"/>
      <c r="KO908" s="9"/>
      <c r="KP908" s="9"/>
      <c r="KQ908" s="9"/>
      <c r="KR908" s="9"/>
      <c r="KS908" s="9"/>
      <c r="KT908" s="9"/>
      <c r="KU908" s="9"/>
      <c r="KV908" s="9"/>
      <c r="KW908" s="9"/>
      <c r="KX908" s="9"/>
      <c r="KY908" s="9"/>
      <c r="KZ908" s="9"/>
      <c r="LA908" s="9"/>
      <c r="LB908" s="9"/>
      <c r="LC908" s="9"/>
      <c r="LD908" s="9"/>
      <c r="LE908" s="9"/>
      <c r="LF908" s="9"/>
      <c r="LG908" s="9"/>
      <c r="LH908" s="9"/>
      <c r="LI908" s="9"/>
      <c r="LJ908" s="9"/>
      <c r="LK908" s="9"/>
      <c r="LL908" s="9"/>
      <c r="LM908" s="9"/>
      <c r="LN908" s="9"/>
      <c r="LO908" s="9"/>
      <c r="LP908" s="9"/>
      <c r="LQ908" s="9"/>
      <c r="LR908" s="9"/>
      <c r="LS908" s="9"/>
      <c r="LT908" s="9"/>
      <c r="LU908" s="9"/>
      <c r="LV908" s="9"/>
      <c r="LW908" s="9"/>
      <c r="LX908" s="9"/>
      <c r="LY908" s="9"/>
      <c r="LZ908" s="9"/>
      <c r="MA908" s="9"/>
      <c r="MB908" s="9"/>
      <c r="MC908" s="9"/>
      <c r="MD908" s="9"/>
      <c r="ME908" s="9"/>
      <c r="MF908" s="9"/>
      <c r="MG908" s="9"/>
      <c r="MH908" s="9"/>
      <c r="MI908" s="9"/>
      <c r="MJ908" s="9"/>
      <c r="MK908" s="9"/>
      <c r="ML908" s="9"/>
      <c r="MM908" s="9"/>
      <c r="MN908" s="9"/>
      <c r="MO908" s="9"/>
      <c r="MP908" s="9"/>
      <c r="MQ908" s="9"/>
      <c r="MR908" s="9"/>
      <c r="MS908" s="9"/>
      <c r="MT908" s="9"/>
      <c r="MU908" s="9"/>
      <c r="MV908" s="9"/>
      <c r="MW908" s="9"/>
      <c r="MX908" s="9"/>
      <c r="MY908" s="9"/>
      <c r="MZ908" s="9"/>
      <c r="NA908" s="9"/>
      <c r="NB908" s="9"/>
      <c r="NC908" s="9"/>
      <c r="ND908" s="9"/>
      <c r="NE908" s="9"/>
      <c r="NF908" s="9"/>
      <c r="NG908" s="9"/>
      <c r="NH908" s="9"/>
      <c r="NI908" s="9"/>
      <c r="NJ908" s="9"/>
      <c r="NK908" s="9"/>
      <c r="NL908" s="9"/>
      <c r="NM908" s="9"/>
      <c r="NN908" s="9"/>
      <c r="NO908" s="9"/>
      <c r="NP908" s="9"/>
      <c r="NQ908" s="9"/>
      <c r="NR908" s="9"/>
      <c r="NS908" s="9"/>
      <c r="NT908" s="9"/>
      <c r="NU908" s="9"/>
      <c r="NV908" s="9"/>
      <c r="NW908" s="9"/>
      <c r="NX908" s="9"/>
      <c r="NY908" s="9"/>
      <c r="NZ908" s="9"/>
      <c r="OA908" s="9"/>
      <c r="OB908" s="9"/>
      <c r="OC908" s="9"/>
      <c r="OD908" s="9"/>
      <c r="OE908" s="9"/>
      <c r="OF908" s="9"/>
      <c r="OG908" s="9"/>
      <c r="OH908" s="9"/>
      <c r="OI908" s="9"/>
      <c r="OJ908" s="9"/>
      <c r="OK908" s="9"/>
      <c r="OL908" s="9"/>
      <c r="OM908" s="9"/>
      <c r="ON908" s="9"/>
      <c r="OO908" s="9"/>
      <c r="OP908" s="9"/>
      <c r="OQ908" s="9"/>
      <c r="OR908" s="9"/>
      <c r="OS908" s="9"/>
      <c r="OT908" s="9"/>
      <c r="OU908" s="9"/>
      <c r="OV908" s="9"/>
      <c r="OW908" s="9"/>
      <c r="OX908" s="9"/>
      <c r="OY908" s="9"/>
      <c r="OZ908" s="9"/>
      <c r="PA908" s="9"/>
      <c r="PB908" s="9"/>
      <c r="PC908" s="9"/>
      <c r="PD908" s="9"/>
      <c r="PE908" s="9"/>
      <c r="PF908" s="9"/>
      <c r="PG908" s="9"/>
      <c r="PH908" s="9"/>
      <c r="PI908" s="9"/>
      <c r="PJ908" s="9"/>
      <c r="PK908" s="9"/>
      <c r="PL908" s="9"/>
      <c r="PM908" s="9"/>
      <c r="PN908" s="9"/>
      <c r="PO908" s="9"/>
      <c r="PP908" s="9"/>
      <c r="PQ908" s="9"/>
      <c r="PR908" s="9"/>
      <c r="PS908" s="9"/>
      <c r="PT908" s="9"/>
      <c r="PU908" s="9"/>
      <c r="PV908" s="9"/>
      <c r="PW908" s="9"/>
      <c r="PX908" s="9"/>
      <c r="PY908" s="9"/>
      <c r="PZ908" s="9"/>
      <c r="QA908" s="9"/>
      <c r="QB908" s="9"/>
      <c r="QC908" s="9"/>
      <c r="QD908" s="9"/>
      <c r="QE908" s="9"/>
      <c r="QF908" s="9"/>
      <c r="QG908" s="9"/>
      <c r="QH908" s="9"/>
      <c r="QI908" s="9"/>
      <c r="QJ908" s="9"/>
      <c r="QK908" s="9"/>
      <c r="QL908" s="9"/>
      <c r="QM908" s="9"/>
      <c r="QN908" s="9"/>
      <c r="QO908" s="9"/>
      <c r="QP908" s="9"/>
      <c r="QQ908" s="9"/>
      <c r="QR908" s="9"/>
      <c r="QS908" s="9"/>
      <c r="QT908" s="9"/>
      <c r="QU908" s="9"/>
      <c r="QV908" s="9"/>
      <c r="QW908" s="9"/>
      <c r="QX908" s="9"/>
      <c r="QY908" s="9"/>
      <c r="QZ908" s="9"/>
      <c r="RA908" s="9"/>
      <c r="RB908" s="9"/>
      <c r="RC908" s="9"/>
      <c r="RD908" s="9"/>
      <c r="RE908" s="9"/>
      <c r="RF908" s="9"/>
      <c r="RG908" s="9"/>
      <c r="RH908" s="9"/>
      <c r="RI908" s="9"/>
      <c r="RJ908" s="9"/>
      <c r="RK908" s="9"/>
      <c r="RL908" s="9"/>
      <c r="RM908" s="9"/>
      <c r="RN908" s="9"/>
      <c r="RO908" s="9"/>
      <c r="RP908" s="9"/>
      <c r="RQ908" s="9"/>
      <c r="RR908" s="9"/>
      <c r="RS908" s="9"/>
      <c r="RT908" s="9"/>
      <c r="RU908" s="9"/>
      <c r="RV908" s="9"/>
      <c r="RW908" s="9"/>
      <c r="RX908" s="9"/>
      <c r="RY908" s="9"/>
      <c r="RZ908" s="9"/>
      <c r="SA908" s="9"/>
      <c r="SB908" s="9"/>
      <c r="SC908" s="9"/>
      <c r="SD908" s="9"/>
      <c r="SE908" s="9"/>
      <c r="SF908" s="9"/>
      <c r="SG908" s="9"/>
      <c r="SH908" s="9"/>
      <c r="SI908" s="9"/>
      <c r="SJ908" s="9"/>
      <c r="SK908" s="9"/>
      <c r="SL908" s="9"/>
      <c r="SM908" s="9"/>
      <c r="SN908" s="9"/>
      <c r="SO908" s="9"/>
      <c r="SP908" s="9"/>
      <c r="SQ908" s="9"/>
      <c r="SR908" s="9"/>
      <c r="SS908" s="9"/>
      <c r="ST908" s="9"/>
      <c r="SU908" s="9"/>
      <c r="SV908" s="9"/>
      <c r="SW908" s="9"/>
      <c r="SX908" s="9"/>
      <c r="SY908" s="9"/>
      <c r="SZ908" s="9"/>
      <c r="TA908" s="9"/>
      <c r="TB908" s="9"/>
      <c r="TC908" s="9"/>
      <c r="TD908" s="9"/>
      <c r="TE908" s="9"/>
      <c r="TF908" s="9"/>
      <c r="TG908" s="9"/>
      <c r="TH908" s="9"/>
      <c r="TI908" s="9"/>
      <c r="TJ908" s="9"/>
      <c r="TK908" s="9"/>
      <c r="TL908" s="9"/>
      <c r="TM908" s="9"/>
      <c r="TN908" s="9"/>
      <c r="TO908" s="9"/>
      <c r="TP908" s="9"/>
      <c r="TQ908" s="9"/>
      <c r="TR908" s="9"/>
      <c r="TS908" s="9"/>
      <c r="TT908" s="9"/>
      <c r="TU908" s="9"/>
      <c r="TV908" s="9"/>
      <c r="TW908" s="9"/>
      <c r="TX908" s="9"/>
      <c r="TY908" s="9"/>
      <c r="TZ908" s="9"/>
      <c r="UA908" s="9"/>
      <c r="UB908" s="9"/>
      <c r="UC908" s="9"/>
      <c r="UD908" s="9"/>
      <c r="UE908" s="9"/>
      <c r="UF908" s="9"/>
      <c r="UG908" s="9"/>
      <c r="UH908" s="9"/>
      <c r="UI908" s="9"/>
      <c r="UJ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  <c r="HZ909" s="9"/>
      <c r="IA909" s="9"/>
      <c r="IB909" s="9"/>
      <c r="IC909" s="9"/>
      <c r="ID909" s="9"/>
      <c r="IE909" s="9"/>
      <c r="IF909" s="9"/>
      <c r="IG909" s="9"/>
      <c r="IH909" s="9"/>
      <c r="II909" s="9"/>
      <c r="IJ909" s="9"/>
      <c r="IK909" s="9"/>
      <c r="IL909" s="9"/>
      <c r="IM909" s="9"/>
      <c r="IN909" s="9"/>
      <c r="IO909" s="9"/>
      <c r="IP909" s="9"/>
      <c r="IQ909" s="9"/>
      <c r="IR909" s="9"/>
      <c r="IS909" s="9"/>
      <c r="IT909" s="9"/>
      <c r="IU909" s="9"/>
      <c r="IV909" s="9"/>
      <c r="IW909" s="9"/>
      <c r="IX909" s="9"/>
      <c r="IY909" s="9"/>
      <c r="IZ909" s="9"/>
      <c r="JA909" s="9"/>
      <c r="JB909" s="9"/>
      <c r="JC909" s="9"/>
      <c r="JD909" s="9"/>
      <c r="JE909" s="9"/>
      <c r="JF909" s="9"/>
      <c r="JG909" s="9"/>
      <c r="JH909" s="9"/>
      <c r="JI909" s="9"/>
      <c r="JJ909" s="9"/>
      <c r="JK909" s="9"/>
      <c r="JL909" s="9"/>
      <c r="JM909" s="9"/>
      <c r="JN909" s="9"/>
      <c r="JO909" s="9"/>
      <c r="JP909" s="9"/>
      <c r="JQ909" s="9"/>
      <c r="JR909" s="9"/>
      <c r="JS909" s="9"/>
      <c r="JT909" s="9"/>
      <c r="JU909" s="9"/>
      <c r="JV909" s="9"/>
      <c r="JW909" s="9"/>
      <c r="JX909" s="9"/>
      <c r="JY909" s="9"/>
      <c r="JZ909" s="9"/>
      <c r="KA909" s="9"/>
      <c r="KB909" s="9"/>
      <c r="KC909" s="9"/>
      <c r="KD909" s="9"/>
      <c r="KE909" s="9"/>
      <c r="KF909" s="9"/>
      <c r="KG909" s="9"/>
      <c r="KH909" s="9"/>
      <c r="KI909" s="9"/>
      <c r="KJ909" s="9"/>
      <c r="KK909" s="9"/>
      <c r="KL909" s="9"/>
      <c r="KM909" s="9"/>
      <c r="KN909" s="9"/>
      <c r="KO909" s="9"/>
      <c r="KP909" s="9"/>
      <c r="KQ909" s="9"/>
      <c r="KR909" s="9"/>
      <c r="KS909" s="9"/>
      <c r="KT909" s="9"/>
      <c r="KU909" s="9"/>
      <c r="KV909" s="9"/>
      <c r="KW909" s="9"/>
      <c r="KX909" s="9"/>
      <c r="KY909" s="9"/>
      <c r="KZ909" s="9"/>
      <c r="LA909" s="9"/>
      <c r="LB909" s="9"/>
      <c r="LC909" s="9"/>
      <c r="LD909" s="9"/>
      <c r="LE909" s="9"/>
      <c r="LF909" s="9"/>
      <c r="LG909" s="9"/>
      <c r="LH909" s="9"/>
      <c r="LI909" s="9"/>
      <c r="LJ909" s="9"/>
      <c r="LK909" s="9"/>
      <c r="LL909" s="9"/>
      <c r="LM909" s="9"/>
      <c r="LN909" s="9"/>
      <c r="LO909" s="9"/>
      <c r="LP909" s="9"/>
      <c r="LQ909" s="9"/>
      <c r="LR909" s="9"/>
      <c r="LS909" s="9"/>
      <c r="LT909" s="9"/>
      <c r="LU909" s="9"/>
      <c r="LV909" s="9"/>
      <c r="LW909" s="9"/>
      <c r="LX909" s="9"/>
      <c r="LY909" s="9"/>
      <c r="LZ909" s="9"/>
      <c r="MA909" s="9"/>
      <c r="MB909" s="9"/>
      <c r="MC909" s="9"/>
      <c r="MD909" s="9"/>
      <c r="ME909" s="9"/>
      <c r="MF909" s="9"/>
      <c r="MG909" s="9"/>
      <c r="MH909" s="9"/>
      <c r="MI909" s="9"/>
      <c r="MJ909" s="9"/>
      <c r="MK909" s="9"/>
      <c r="ML909" s="9"/>
      <c r="MM909" s="9"/>
      <c r="MN909" s="9"/>
      <c r="MO909" s="9"/>
      <c r="MP909" s="9"/>
      <c r="MQ909" s="9"/>
      <c r="MR909" s="9"/>
      <c r="MS909" s="9"/>
      <c r="MT909" s="9"/>
      <c r="MU909" s="9"/>
      <c r="MV909" s="9"/>
      <c r="MW909" s="9"/>
      <c r="MX909" s="9"/>
      <c r="MY909" s="9"/>
      <c r="MZ909" s="9"/>
      <c r="NA909" s="9"/>
      <c r="NB909" s="9"/>
      <c r="NC909" s="9"/>
      <c r="ND909" s="9"/>
      <c r="NE909" s="9"/>
      <c r="NF909" s="9"/>
      <c r="NG909" s="9"/>
      <c r="NH909" s="9"/>
      <c r="NI909" s="9"/>
      <c r="NJ909" s="9"/>
      <c r="NK909" s="9"/>
      <c r="NL909" s="9"/>
      <c r="NM909" s="9"/>
      <c r="NN909" s="9"/>
      <c r="NO909" s="9"/>
      <c r="NP909" s="9"/>
      <c r="NQ909" s="9"/>
      <c r="NR909" s="9"/>
      <c r="NS909" s="9"/>
      <c r="NT909" s="9"/>
      <c r="NU909" s="9"/>
      <c r="NV909" s="9"/>
      <c r="NW909" s="9"/>
      <c r="NX909" s="9"/>
      <c r="NY909" s="9"/>
      <c r="NZ909" s="9"/>
      <c r="OA909" s="9"/>
      <c r="OB909" s="9"/>
      <c r="OC909" s="9"/>
      <c r="OD909" s="9"/>
      <c r="OE909" s="9"/>
      <c r="OF909" s="9"/>
      <c r="OG909" s="9"/>
      <c r="OH909" s="9"/>
      <c r="OI909" s="9"/>
      <c r="OJ909" s="9"/>
      <c r="OK909" s="9"/>
      <c r="OL909" s="9"/>
      <c r="OM909" s="9"/>
      <c r="ON909" s="9"/>
      <c r="OO909" s="9"/>
      <c r="OP909" s="9"/>
      <c r="OQ909" s="9"/>
      <c r="OR909" s="9"/>
      <c r="OS909" s="9"/>
      <c r="OT909" s="9"/>
      <c r="OU909" s="9"/>
      <c r="OV909" s="9"/>
      <c r="OW909" s="9"/>
      <c r="OX909" s="9"/>
      <c r="OY909" s="9"/>
      <c r="OZ909" s="9"/>
      <c r="PA909" s="9"/>
      <c r="PB909" s="9"/>
      <c r="PC909" s="9"/>
      <c r="PD909" s="9"/>
      <c r="PE909" s="9"/>
      <c r="PF909" s="9"/>
      <c r="PG909" s="9"/>
      <c r="PH909" s="9"/>
      <c r="PI909" s="9"/>
      <c r="PJ909" s="9"/>
      <c r="PK909" s="9"/>
      <c r="PL909" s="9"/>
      <c r="PM909" s="9"/>
      <c r="PN909" s="9"/>
      <c r="PO909" s="9"/>
      <c r="PP909" s="9"/>
      <c r="PQ909" s="9"/>
      <c r="PR909" s="9"/>
      <c r="PS909" s="9"/>
      <c r="PT909" s="9"/>
      <c r="PU909" s="9"/>
      <c r="PV909" s="9"/>
      <c r="PW909" s="9"/>
      <c r="PX909" s="9"/>
      <c r="PY909" s="9"/>
      <c r="PZ909" s="9"/>
      <c r="QA909" s="9"/>
      <c r="QB909" s="9"/>
      <c r="QC909" s="9"/>
      <c r="QD909" s="9"/>
      <c r="QE909" s="9"/>
      <c r="QF909" s="9"/>
      <c r="QG909" s="9"/>
      <c r="QH909" s="9"/>
      <c r="QI909" s="9"/>
      <c r="QJ909" s="9"/>
      <c r="QK909" s="9"/>
      <c r="QL909" s="9"/>
      <c r="QM909" s="9"/>
      <c r="QN909" s="9"/>
      <c r="QO909" s="9"/>
      <c r="QP909" s="9"/>
      <c r="QQ909" s="9"/>
      <c r="QR909" s="9"/>
      <c r="QS909" s="9"/>
      <c r="QT909" s="9"/>
      <c r="QU909" s="9"/>
      <c r="QV909" s="9"/>
      <c r="QW909" s="9"/>
      <c r="QX909" s="9"/>
      <c r="QY909" s="9"/>
      <c r="QZ909" s="9"/>
      <c r="RA909" s="9"/>
      <c r="RB909" s="9"/>
      <c r="RC909" s="9"/>
      <c r="RD909" s="9"/>
      <c r="RE909" s="9"/>
      <c r="RF909" s="9"/>
      <c r="RG909" s="9"/>
      <c r="RH909" s="9"/>
      <c r="RI909" s="9"/>
      <c r="RJ909" s="9"/>
      <c r="RK909" s="9"/>
      <c r="RL909" s="9"/>
      <c r="RM909" s="9"/>
      <c r="RN909" s="9"/>
      <c r="RO909" s="9"/>
      <c r="RP909" s="9"/>
      <c r="RQ909" s="9"/>
      <c r="RR909" s="9"/>
      <c r="RS909" s="9"/>
      <c r="RT909" s="9"/>
      <c r="RU909" s="9"/>
      <c r="RV909" s="9"/>
      <c r="RW909" s="9"/>
      <c r="RX909" s="9"/>
      <c r="RY909" s="9"/>
      <c r="RZ909" s="9"/>
      <c r="SA909" s="9"/>
      <c r="SB909" s="9"/>
      <c r="SC909" s="9"/>
      <c r="SD909" s="9"/>
      <c r="SE909" s="9"/>
      <c r="SF909" s="9"/>
      <c r="SG909" s="9"/>
      <c r="SH909" s="9"/>
      <c r="SI909" s="9"/>
      <c r="SJ909" s="9"/>
      <c r="SK909" s="9"/>
      <c r="SL909" s="9"/>
      <c r="SM909" s="9"/>
      <c r="SN909" s="9"/>
      <c r="SO909" s="9"/>
      <c r="SP909" s="9"/>
      <c r="SQ909" s="9"/>
      <c r="SR909" s="9"/>
      <c r="SS909" s="9"/>
      <c r="ST909" s="9"/>
      <c r="SU909" s="9"/>
      <c r="SV909" s="9"/>
      <c r="SW909" s="9"/>
      <c r="SX909" s="9"/>
      <c r="SY909" s="9"/>
      <c r="SZ909" s="9"/>
      <c r="TA909" s="9"/>
      <c r="TB909" s="9"/>
      <c r="TC909" s="9"/>
      <c r="TD909" s="9"/>
      <c r="TE909" s="9"/>
      <c r="TF909" s="9"/>
      <c r="TG909" s="9"/>
      <c r="TH909" s="9"/>
      <c r="TI909" s="9"/>
      <c r="TJ909" s="9"/>
      <c r="TK909" s="9"/>
      <c r="TL909" s="9"/>
      <c r="TM909" s="9"/>
      <c r="TN909" s="9"/>
      <c r="TO909" s="9"/>
      <c r="TP909" s="9"/>
      <c r="TQ909" s="9"/>
      <c r="TR909" s="9"/>
      <c r="TS909" s="9"/>
      <c r="TT909" s="9"/>
      <c r="TU909" s="9"/>
      <c r="TV909" s="9"/>
      <c r="TW909" s="9"/>
      <c r="TX909" s="9"/>
      <c r="TY909" s="9"/>
      <c r="TZ909" s="9"/>
      <c r="UA909" s="9"/>
      <c r="UB909" s="9"/>
      <c r="UC909" s="9"/>
      <c r="UD909" s="9"/>
      <c r="UE909" s="9"/>
      <c r="UF909" s="9"/>
      <c r="UG909" s="9"/>
      <c r="UH909" s="9"/>
      <c r="UI909" s="9"/>
      <c r="UJ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9"/>
      <c r="GV910" s="9"/>
      <c r="GW910" s="9"/>
      <c r="GX910" s="9"/>
      <c r="GY910" s="9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  <c r="HO910" s="9"/>
      <c r="HP910" s="9"/>
      <c r="HQ910" s="9"/>
      <c r="HR910" s="9"/>
      <c r="HS910" s="9"/>
      <c r="HT910" s="9"/>
      <c r="HU910" s="9"/>
      <c r="HV910" s="9"/>
      <c r="HW910" s="9"/>
      <c r="HX910" s="9"/>
      <c r="HY910" s="9"/>
      <c r="HZ910" s="9"/>
      <c r="IA910" s="9"/>
      <c r="IB910" s="9"/>
      <c r="IC910" s="9"/>
      <c r="ID910" s="9"/>
      <c r="IE910" s="9"/>
      <c r="IF910" s="9"/>
      <c r="IG910" s="9"/>
      <c r="IH910" s="9"/>
      <c r="II910" s="9"/>
      <c r="IJ910" s="9"/>
      <c r="IK910" s="9"/>
      <c r="IL910" s="9"/>
      <c r="IM910" s="9"/>
      <c r="IN910" s="9"/>
      <c r="IO910" s="9"/>
      <c r="IP910" s="9"/>
      <c r="IQ910" s="9"/>
      <c r="IR910" s="9"/>
      <c r="IS910" s="9"/>
      <c r="IT910" s="9"/>
      <c r="IU910" s="9"/>
      <c r="IV910" s="9"/>
      <c r="IW910" s="9"/>
      <c r="IX910" s="9"/>
      <c r="IY910" s="9"/>
      <c r="IZ910" s="9"/>
      <c r="JA910" s="9"/>
      <c r="JB910" s="9"/>
      <c r="JC910" s="9"/>
      <c r="JD910" s="9"/>
      <c r="JE910" s="9"/>
      <c r="JF910" s="9"/>
      <c r="JG910" s="9"/>
      <c r="JH910" s="9"/>
      <c r="JI910" s="9"/>
      <c r="JJ910" s="9"/>
      <c r="JK910" s="9"/>
      <c r="JL910" s="9"/>
      <c r="JM910" s="9"/>
      <c r="JN910" s="9"/>
      <c r="JO910" s="9"/>
      <c r="JP910" s="9"/>
      <c r="JQ910" s="9"/>
      <c r="JR910" s="9"/>
      <c r="JS910" s="9"/>
      <c r="JT910" s="9"/>
      <c r="JU910" s="9"/>
      <c r="JV910" s="9"/>
      <c r="JW910" s="9"/>
      <c r="JX910" s="9"/>
      <c r="JY910" s="9"/>
      <c r="JZ910" s="9"/>
      <c r="KA910" s="9"/>
      <c r="KB910" s="9"/>
      <c r="KC910" s="9"/>
      <c r="KD910" s="9"/>
      <c r="KE910" s="9"/>
      <c r="KF910" s="9"/>
      <c r="KG910" s="9"/>
      <c r="KH910" s="9"/>
      <c r="KI910" s="9"/>
      <c r="KJ910" s="9"/>
      <c r="KK910" s="9"/>
      <c r="KL910" s="9"/>
      <c r="KM910" s="9"/>
      <c r="KN910" s="9"/>
      <c r="KO910" s="9"/>
      <c r="KP910" s="9"/>
      <c r="KQ910" s="9"/>
      <c r="KR910" s="9"/>
      <c r="KS910" s="9"/>
      <c r="KT910" s="9"/>
      <c r="KU910" s="9"/>
      <c r="KV910" s="9"/>
      <c r="KW910" s="9"/>
      <c r="KX910" s="9"/>
      <c r="KY910" s="9"/>
      <c r="KZ910" s="9"/>
      <c r="LA910" s="9"/>
      <c r="LB910" s="9"/>
      <c r="LC910" s="9"/>
      <c r="LD910" s="9"/>
      <c r="LE910" s="9"/>
      <c r="LF910" s="9"/>
      <c r="LG910" s="9"/>
      <c r="LH910" s="9"/>
      <c r="LI910" s="9"/>
      <c r="LJ910" s="9"/>
      <c r="LK910" s="9"/>
      <c r="LL910" s="9"/>
      <c r="LM910" s="9"/>
      <c r="LN910" s="9"/>
      <c r="LO910" s="9"/>
      <c r="LP910" s="9"/>
      <c r="LQ910" s="9"/>
      <c r="LR910" s="9"/>
      <c r="LS910" s="9"/>
      <c r="LT910" s="9"/>
      <c r="LU910" s="9"/>
      <c r="LV910" s="9"/>
      <c r="LW910" s="9"/>
      <c r="LX910" s="9"/>
      <c r="LY910" s="9"/>
      <c r="LZ910" s="9"/>
      <c r="MA910" s="9"/>
      <c r="MB910" s="9"/>
      <c r="MC910" s="9"/>
      <c r="MD910" s="9"/>
      <c r="ME910" s="9"/>
      <c r="MF910" s="9"/>
      <c r="MG910" s="9"/>
      <c r="MH910" s="9"/>
      <c r="MI910" s="9"/>
      <c r="MJ910" s="9"/>
      <c r="MK910" s="9"/>
      <c r="ML910" s="9"/>
      <c r="MM910" s="9"/>
      <c r="MN910" s="9"/>
      <c r="MO910" s="9"/>
      <c r="MP910" s="9"/>
      <c r="MQ910" s="9"/>
      <c r="MR910" s="9"/>
      <c r="MS910" s="9"/>
      <c r="MT910" s="9"/>
      <c r="MU910" s="9"/>
      <c r="MV910" s="9"/>
      <c r="MW910" s="9"/>
      <c r="MX910" s="9"/>
      <c r="MY910" s="9"/>
      <c r="MZ910" s="9"/>
      <c r="NA910" s="9"/>
      <c r="NB910" s="9"/>
      <c r="NC910" s="9"/>
      <c r="ND910" s="9"/>
      <c r="NE910" s="9"/>
      <c r="NF910" s="9"/>
      <c r="NG910" s="9"/>
      <c r="NH910" s="9"/>
      <c r="NI910" s="9"/>
      <c r="NJ910" s="9"/>
      <c r="NK910" s="9"/>
      <c r="NL910" s="9"/>
      <c r="NM910" s="9"/>
      <c r="NN910" s="9"/>
      <c r="NO910" s="9"/>
      <c r="NP910" s="9"/>
      <c r="NQ910" s="9"/>
      <c r="NR910" s="9"/>
      <c r="NS910" s="9"/>
      <c r="NT910" s="9"/>
      <c r="NU910" s="9"/>
      <c r="NV910" s="9"/>
      <c r="NW910" s="9"/>
      <c r="NX910" s="9"/>
      <c r="NY910" s="9"/>
      <c r="NZ910" s="9"/>
      <c r="OA910" s="9"/>
      <c r="OB910" s="9"/>
      <c r="OC910" s="9"/>
      <c r="OD910" s="9"/>
      <c r="OE910" s="9"/>
      <c r="OF910" s="9"/>
      <c r="OG910" s="9"/>
      <c r="OH910" s="9"/>
      <c r="OI910" s="9"/>
      <c r="OJ910" s="9"/>
      <c r="OK910" s="9"/>
      <c r="OL910" s="9"/>
      <c r="OM910" s="9"/>
      <c r="ON910" s="9"/>
      <c r="OO910" s="9"/>
      <c r="OP910" s="9"/>
      <c r="OQ910" s="9"/>
      <c r="OR910" s="9"/>
      <c r="OS910" s="9"/>
      <c r="OT910" s="9"/>
      <c r="OU910" s="9"/>
      <c r="OV910" s="9"/>
      <c r="OW910" s="9"/>
      <c r="OX910" s="9"/>
      <c r="OY910" s="9"/>
      <c r="OZ910" s="9"/>
      <c r="PA910" s="9"/>
      <c r="PB910" s="9"/>
      <c r="PC910" s="9"/>
      <c r="PD910" s="9"/>
      <c r="PE910" s="9"/>
      <c r="PF910" s="9"/>
      <c r="PG910" s="9"/>
      <c r="PH910" s="9"/>
      <c r="PI910" s="9"/>
      <c r="PJ910" s="9"/>
      <c r="PK910" s="9"/>
      <c r="PL910" s="9"/>
      <c r="PM910" s="9"/>
      <c r="PN910" s="9"/>
      <c r="PO910" s="9"/>
      <c r="PP910" s="9"/>
      <c r="PQ910" s="9"/>
      <c r="PR910" s="9"/>
      <c r="PS910" s="9"/>
      <c r="PT910" s="9"/>
      <c r="PU910" s="9"/>
      <c r="PV910" s="9"/>
      <c r="PW910" s="9"/>
      <c r="PX910" s="9"/>
      <c r="PY910" s="9"/>
      <c r="PZ910" s="9"/>
      <c r="QA910" s="9"/>
      <c r="QB910" s="9"/>
      <c r="QC910" s="9"/>
      <c r="QD910" s="9"/>
      <c r="QE910" s="9"/>
      <c r="QF910" s="9"/>
      <c r="QG910" s="9"/>
      <c r="QH910" s="9"/>
      <c r="QI910" s="9"/>
      <c r="QJ910" s="9"/>
      <c r="QK910" s="9"/>
      <c r="QL910" s="9"/>
      <c r="QM910" s="9"/>
      <c r="QN910" s="9"/>
      <c r="QO910" s="9"/>
      <c r="QP910" s="9"/>
      <c r="QQ910" s="9"/>
      <c r="QR910" s="9"/>
      <c r="QS910" s="9"/>
      <c r="QT910" s="9"/>
      <c r="QU910" s="9"/>
      <c r="QV910" s="9"/>
      <c r="QW910" s="9"/>
      <c r="QX910" s="9"/>
      <c r="QY910" s="9"/>
      <c r="QZ910" s="9"/>
      <c r="RA910" s="9"/>
      <c r="RB910" s="9"/>
      <c r="RC910" s="9"/>
      <c r="RD910" s="9"/>
      <c r="RE910" s="9"/>
      <c r="RF910" s="9"/>
      <c r="RG910" s="9"/>
      <c r="RH910" s="9"/>
      <c r="RI910" s="9"/>
      <c r="RJ910" s="9"/>
      <c r="RK910" s="9"/>
      <c r="RL910" s="9"/>
      <c r="RM910" s="9"/>
      <c r="RN910" s="9"/>
      <c r="RO910" s="9"/>
      <c r="RP910" s="9"/>
      <c r="RQ910" s="9"/>
      <c r="RR910" s="9"/>
      <c r="RS910" s="9"/>
      <c r="RT910" s="9"/>
      <c r="RU910" s="9"/>
      <c r="RV910" s="9"/>
      <c r="RW910" s="9"/>
      <c r="RX910" s="9"/>
      <c r="RY910" s="9"/>
      <c r="RZ910" s="9"/>
      <c r="SA910" s="9"/>
      <c r="SB910" s="9"/>
      <c r="SC910" s="9"/>
      <c r="SD910" s="9"/>
      <c r="SE910" s="9"/>
      <c r="SF910" s="9"/>
      <c r="SG910" s="9"/>
      <c r="SH910" s="9"/>
      <c r="SI910" s="9"/>
      <c r="SJ910" s="9"/>
      <c r="SK910" s="9"/>
      <c r="SL910" s="9"/>
      <c r="SM910" s="9"/>
      <c r="SN910" s="9"/>
      <c r="SO910" s="9"/>
      <c r="SP910" s="9"/>
      <c r="SQ910" s="9"/>
      <c r="SR910" s="9"/>
      <c r="SS910" s="9"/>
      <c r="ST910" s="9"/>
      <c r="SU910" s="9"/>
      <c r="SV910" s="9"/>
      <c r="SW910" s="9"/>
      <c r="SX910" s="9"/>
      <c r="SY910" s="9"/>
      <c r="SZ910" s="9"/>
      <c r="TA910" s="9"/>
      <c r="TB910" s="9"/>
      <c r="TC910" s="9"/>
      <c r="TD910" s="9"/>
      <c r="TE910" s="9"/>
      <c r="TF910" s="9"/>
      <c r="TG910" s="9"/>
      <c r="TH910" s="9"/>
      <c r="TI910" s="9"/>
      <c r="TJ910" s="9"/>
      <c r="TK910" s="9"/>
      <c r="TL910" s="9"/>
      <c r="TM910" s="9"/>
      <c r="TN910" s="9"/>
      <c r="TO910" s="9"/>
      <c r="TP910" s="9"/>
      <c r="TQ910" s="9"/>
      <c r="TR910" s="9"/>
      <c r="TS910" s="9"/>
      <c r="TT910" s="9"/>
      <c r="TU910" s="9"/>
      <c r="TV910" s="9"/>
      <c r="TW910" s="9"/>
      <c r="TX910" s="9"/>
      <c r="TY910" s="9"/>
      <c r="TZ910" s="9"/>
      <c r="UA910" s="9"/>
      <c r="UB910" s="9"/>
      <c r="UC910" s="9"/>
      <c r="UD910" s="9"/>
      <c r="UE910" s="9"/>
      <c r="UF910" s="9"/>
      <c r="UG910" s="9"/>
      <c r="UH910" s="9"/>
      <c r="UI910" s="9"/>
      <c r="UJ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  <c r="GA911" s="9"/>
      <c r="GB911" s="9"/>
      <c r="GC911" s="9"/>
      <c r="GD911" s="9"/>
      <c r="GE911" s="9"/>
      <c r="GF911" s="9"/>
      <c r="GG911" s="9"/>
      <c r="GH911" s="9"/>
      <c r="GI911" s="9"/>
      <c r="GJ911" s="9"/>
      <c r="GK911" s="9"/>
      <c r="GL911" s="9"/>
      <c r="GM911" s="9"/>
      <c r="GN911" s="9"/>
      <c r="GO911" s="9"/>
      <c r="GP911" s="9"/>
      <c r="GQ911" s="9"/>
      <c r="GR911" s="9"/>
      <c r="GS911" s="9"/>
      <c r="GT911" s="9"/>
      <c r="GU911" s="9"/>
      <c r="GV911" s="9"/>
      <c r="GW911" s="9"/>
      <c r="GX911" s="9"/>
      <c r="GY911" s="9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  <c r="HO911" s="9"/>
      <c r="HP911" s="9"/>
      <c r="HQ911" s="9"/>
      <c r="HR911" s="9"/>
      <c r="HS911" s="9"/>
      <c r="HT911" s="9"/>
      <c r="HU911" s="9"/>
      <c r="HV911" s="9"/>
      <c r="HW911" s="9"/>
      <c r="HX911" s="9"/>
      <c r="HY911" s="9"/>
      <c r="HZ911" s="9"/>
      <c r="IA911" s="9"/>
      <c r="IB911" s="9"/>
      <c r="IC911" s="9"/>
      <c r="ID911" s="9"/>
      <c r="IE911" s="9"/>
      <c r="IF911" s="9"/>
      <c r="IG911" s="9"/>
      <c r="IH911" s="9"/>
      <c r="II911" s="9"/>
      <c r="IJ911" s="9"/>
      <c r="IK911" s="9"/>
      <c r="IL911" s="9"/>
      <c r="IM911" s="9"/>
      <c r="IN911" s="9"/>
      <c r="IO911" s="9"/>
      <c r="IP911" s="9"/>
      <c r="IQ911" s="9"/>
      <c r="IR911" s="9"/>
      <c r="IS911" s="9"/>
      <c r="IT911" s="9"/>
      <c r="IU911" s="9"/>
      <c r="IV911" s="9"/>
      <c r="IW911" s="9"/>
      <c r="IX911" s="9"/>
      <c r="IY911" s="9"/>
      <c r="IZ911" s="9"/>
      <c r="JA911" s="9"/>
      <c r="JB911" s="9"/>
      <c r="JC911" s="9"/>
      <c r="JD911" s="9"/>
      <c r="JE911" s="9"/>
      <c r="JF911" s="9"/>
      <c r="JG911" s="9"/>
      <c r="JH911" s="9"/>
      <c r="JI911" s="9"/>
      <c r="JJ911" s="9"/>
      <c r="JK911" s="9"/>
      <c r="JL911" s="9"/>
      <c r="JM911" s="9"/>
      <c r="JN911" s="9"/>
      <c r="JO911" s="9"/>
      <c r="JP911" s="9"/>
      <c r="JQ911" s="9"/>
      <c r="JR911" s="9"/>
      <c r="JS911" s="9"/>
      <c r="JT911" s="9"/>
      <c r="JU911" s="9"/>
      <c r="JV911" s="9"/>
      <c r="JW911" s="9"/>
      <c r="JX911" s="9"/>
      <c r="JY911" s="9"/>
      <c r="JZ911" s="9"/>
      <c r="KA911" s="9"/>
      <c r="KB911" s="9"/>
      <c r="KC911" s="9"/>
      <c r="KD911" s="9"/>
      <c r="KE911" s="9"/>
      <c r="KF911" s="9"/>
      <c r="KG911" s="9"/>
      <c r="KH911" s="9"/>
      <c r="KI911" s="9"/>
      <c r="KJ911" s="9"/>
      <c r="KK911" s="9"/>
      <c r="KL911" s="9"/>
      <c r="KM911" s="9"/>
      <c r="KN911" s="9"/>
      <c r="KO911" s="9"/>
      <c r="KP911" s="9"/>
      <c r="KQ911" s="9"/>
      <c r="KR911" s="9"/>
      <c r="KS911" s="9"/>
      <c r="KT911" s="9"/>
      <c r="KU911" s="9"/>
      <c r="KV911" s="9"/>
      <c r="KW911" s="9"/>
      <c r="KX911" s="9"/>
      <c r="KY911" s="9"/>
      <c r="KZ911" s="9"/>
      <c r="LA911" s="9"/>
      <c r="LB911" s="9"/>
      <c r="LC911" s="9"/>
      <c r="LD911" s="9"/>
      <c r="LE911" s="9"/>
      <c r="LF911" s="9"/>
      <c r="LG911" s="9"/>
      <c r="LH911" s="9"/>
      <c r="LI911" s="9"/>
      <c r="LJ911" s="9"/>
      <c r="LK911" s="9"/>
      <c r="LL911" s="9"/>
      <c r="LM911" s="9"/>
      <c r="LN911" s="9"/>
      <c r="LO911" s="9"/>
      <c r="LP911" s="9"/>
      <c r="LQ911" s="9"/>
      <c r="LR911" s="9"/>
      <c r="LS911" s="9"/>
      <c r="LT911" s="9"/>
      <c r="LU911" s="9"/>
      <c r="LV911" s="9"/>
      <c r="LW911" s="9"/>
      <c r="LX911" s="9"/>
      <c r="LY911" s="9"/>
      <c r="LZ911" s="9"/>
      <c r="MA911" s="9"/>
      <c r="MB911" s="9"/>
      <c r="MC911" s="9"/>
      <c r="MD911" s="9"/>
      <c r="ME911" s="9"/>
      <c r="MF911" s="9"/>
      <c r="MG911" s="9"/>
      <c r="MH911" s="9"/>
      <c r="MI911" s="9"/>
      <c r="MJ911" s="9"/>
      <c r="MK911" s="9"/>
      <c r="ML911" s="9"/>
      <c r="MM911" s="9"/>
      <c r="MN911" s="9"/>
      <c r="MO911" s="9"/>
      <c r="MP911" s="9"/>
      <c r="MQ911" s="9"/>
      <c r="MR911" s="9"/>
      <c r="MS911" s="9"/>
      <c r="MT911" s="9"/>
      <c r="MU911" s="9"/>
      <c r="MV911" s="9"/>
      <c r="MW911" s="9"/>
      <c r="MX911" s="9"/>
      <c r="MY911" s="9"/>
      <c r="MZ911" s="9"/>
      <c r="NA911" s="9"/>
      <c r="NB911" s="9"/>
      <c r="NC911" s="9"/>
      <c r="ND911" s="9"/>
      <c r="NE911" s="9"/>
      <c r="NF911" s="9"/>
      <c r="NG911" s="9"/>
      <c r="NH911" s="9"/>
      <c r="NI911" s="9"/>
      <c r="NJ911" s="9"/>
      <c r="NK911" s="9"/>
      <c r="NL911" s="9"/>
      <c r="NM911" s="9"/>
      <c r="NN911" s="9"/>
      <c r="NO911" s="9"/>
      <c r="NP911" s="9"/>
      <c r="NQ911" s="9"/>
      <c r="NR911" s="9"/>
      <c r="NS911" s="9"/>
      <c r="NT911" s="9"/>
      <c r="NU911" s="9"/>
      <c r="NV911" s="9"/>
      <c r="NW911" s="9"/>
      <c r="NX911" s="9"/>
      <c r="NY911" s="9"/>
      <c r="NZ911" s="9"/>
      <c r="OA911" s="9"/>
      <c r="OB911" s="9"/>
      <c r="OC911" s="9"/>
      <c r="OD911" s="9"/>
      <c r="OE911" s="9"/>
      <c r="OF911" s="9"/>
      <c r="OG911" s="9"/>
      <c r="OH911" s="9"/>
      <c r="OI911" s="9"/>
      <c r="OJ911" s="9"/>
      <c r="OK911" s="9"/>
      <c r="OL911" s="9"/>
      <c r="OM911" s="9"/>
      <c r="ON911" s="9"/>
      <c r="OO911" s="9"/>
      <c r="OP911" s="9"/>
      <c r="OQ911" s="9"/>
      <c r="OR911" s="9"/>
      <c r="OS911" s="9"/>
      <c r="OT911" s="9"/>
      <c r="OU911" s="9"/>
      <c r="OV911" s="9"/>
      <c r="OW911" s="9"/>
      <c r="OX911" s="9"/>
      <c r="OY911" s="9"/>
      <c r="OZ911" s="9"/>
      <c r="PA911" s="9"/>
      <c r="PB911" s="9"/>
      <c r="PC911" s="9"/>
      <c r="PD911" s="9"/>
      <c r="PE911" s="9"/>
      <c r="PF911" s="9"/>
      <c r="PG911" s="9"/>
      <c r="PH911" s="9"/>
      <c r="PI911" s="9"/>
      <c r="PJ911" s="9"/>
      <c r="PK911" s="9"/>
      <c r="PL911" s="9"/>
      <c r="PM911" s="9"/>
      <c r="PN911" s="9"/>
      <c r="PO911" s="9"/>
      <c r="PP911" s="9"/>
      <c r="PQ911" s="9"/>
      <c r="PR911" s="9"/>
      <c r="PS911" s="9"/>
      <c r="PT911" s="9"/>
      <c r="PU911" s="9"/>
      <c r="PV911" s="9"/>
      <c r="PW911" s="9"/>
      <c r="PX911" s="9"/>
      <c r="PY911" s="9"/>
      <c r="PZ911" s="9"/>
      <c r="QA911" s="9"/>
      <c r="QB911" s="9"/>
      <c r="QC911" s="9"/>
      <c r="QD911" s="9"/>
      <c r="QE911" s="9"/>
      <c r="QF911" s="9"/>
      <c r="QG911" s="9"/>
      <c r="QH911" s="9"/>
      <c r="QI911" s="9"/>
      <c r="QJ911" s="9"/>
      <c r="QK911" s="9"/>
      <c r="QL911" s="9"/>
      <c r="QM911" s="9"/>
      <c r="QN911" s="9"/>
      <c r="QO911" s="9"/>
      <c r="QP911" s="9"/>
      <c r="QQ911" s="9"/>
      <c r="QR911" s="9"/>
      <c r="QS911" s="9"/>
      <c r="QT911" s="9"/>
      <c r="QU911" s="9"/>
      <c r="QV911" s="9"/>
      <c r="QW911" s="9"/>
      <c r="QX911" s="9"/>
      <c r="QY911" s="9"/>
      <c r="QZ911" s="9"/>
      <c r="RA911" s="9"/>
      <c r="RB911" s="9"/>
      <c r="RC911" s="9"/>
      <c r="RD911" s="9"/>
      <c r="RE911" s="9"/>
      <c r="RF911" s="9"/>
      <c r="RG911" s="9"/>
      <c r="RH911" s="9"/>
      <c r="RI911" s="9"/>
      <c r="RJ911" s="9"/>
      <c r="RK911" s="9"/>
      <c r="RL911" s="9"/>
      <c r="RM911" s="9"/>
      <c r="RN911" s="9"/>
      <c r="RO911" s="9"/>
      <c r="RP911" s="9"/>
      <c r="RQ911" s="9"/>
      <c r="RR911" s="9"/>
      <c r="RS911" s="9"/>
      <c r="RT911" s="9"/>
      <c r="RU911" s="9"/>
      <c r="RV911" s="9"/>
      <c r="RW911" s="9"/>
      <c r="RX911" s="9"/>
      <c r="RY911" s="9"/>
      <c r="RZ911" s="9"/>
      <c r="SA911" s="9"/>
      <c r="SB911" s="9"/>
      <c r="SC911" s="9"/>
      <c r="SD911" s="9"/>
      <c r="SE911" s="9"/>
      <c r="SF911" s="9"/>
      <c r="SG911" s="9"/>
      <c r="SH911" s="9"/>
      <c r="SI911" s="9"/>
      <c r="SJ911" s="9"/>
      <c r="SK911" s="9"/>
      <c r="SL911" s="9"/>
      <c r="SM911" s="9"/>
      <c r="SN911" s="9"/>
      <c r="SO911" s="9"/>
      <c r="SP911" s="9"/>
      <c r="SQ911" s="9"/>
      <c r="SR911" s="9"/>
      <c r="SS911" s="9"/>
      <c r="ST911" s="9"/>
      <c r="SU911" s="9"/>
      <c r="SV911" s="9"/>
      <c r="SW911" s="9"/>
      <c r="SX911" s="9"/>
      <c r="SY911" s="9"/>
      <c r="SZ911" s="9"/>
      <c r="TA911" s="9"/>
      <c r="TB911" s="9"/>
      <c r="TC911" s="9"/>
      <c r="TD911" s="9"/>
      <c r="TE911" s="9"/>
      <c r="TF911" s="9"/>
      <c r="TG911" s="9"/>
      <c r="TH911" s="9"/>
      <c r="TI911" s="9"/>
      <c r="TJ911" s="9"/>
      <c r="TK911" s="9"/>
      <c r="TL911" s="9"/>
      <c r="TM911" s="9"/>
      <c r="TN911" s="9"/>
      <c r="TO911" s="9"/>
      <c r="TP911" s="9"/>
      <c r="TQ911" s="9"/>
      <c r="TR911" s="9"/>
      <c r="TS911" s="9"/>
      <c r="TT911" s="9"/>
      <c r="TU911" s="9"/>
      <c r="TV911" s="9"/>
      <c r="TW911" s="9"/>
      <c r="TX911" s="9"/>
      <c r="TY911" s="9"/>
      <c r="TZ911" s="9"/>
      <c r="UA911" s="9"/>
      <c r="UB911" s="9"/>
      <c r="UC911" s="9"/>
      <c r="UD911" s="9"/>
      <c r="UE911" s="9"/>
      <c r="UF911" s="9"/>
      <c r="UG911" s="9"/>
      <c r="UH911" s="9"/>
      <c r="UI911" s="9"/>
      <c r="UJ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  <c r="HO912" s="9"/>
      <c r="HP912" s="9"/>
      <c r="HQ912" s="9"/>
      <c r="HR912" s="9"/>
      <c r="HS912" s="9"/>
      <c r="HT912" s="9"/>
      <c r="HU912" s="9"/>
      <c r="HV912" s="9"/>
      <c r="HW912" s="9"/>
      <c r="HX912" s="9"/>
      <c r="HY912" s="9"/>
      <c r="HZ912" s="9"/>
      <c r="IA912" s="9"/>
      <c r="IB912" s="9"/>
      <c r="IC912" s="9"/>
      <c r="ID912" s="9"/>
      <c r="IE912" s="9"/>
      <c r="IF912" s="9"/>
      <c r="IG912" s="9"/>
      <c r="IH912" s="9"/>
      <c r="II912" s="9"/>
      <c r="IJ912" s="9"/>
      <c r="IK912" s="9"/>
      <c r="IL912" s="9"/>
      <c r="IM912" s="9"/>
      <c r="IN912" s="9"/>
      <c r="IO912" s="9"/>
      <c r="IP912" s="9"/>
      <c r="IQ912" s="9"/>
      <c r="IR912" s="9"/>
      <c r="IS912" s="9"/>
      <c r="IT912" s="9"/>
      <c r="IU912" s="9"/>
      <c r="IV912" s="9"/>
      <c r="IW912" s="9"/>
      <c r="IX912" s="9"/>
      <c r="IY912" s="9"/>
      <c r="IZ912" s="9"/>
      <c r="JA912" s="9"/>
      <c r="JB912" s="9"/>
      <c r="JC912" s="9"/>
      <c r="JD912" s="9"/>
      <c r="JE912" s="9"/>
      <c r="JF912" s="9"/>
      <c r="JG912" s="9"/>
      <c r="JH912" s="9"/>
      <c r="JI912" s="9"/>
      <c r="JJ912" s="9"/>
      <c r="JK912" s="9"/>
      <c r="JL912" s="9"/>
      <c r="JM912" s="9"/>
      <c r="JN912" s="9"/>
      <c r="JO912" s="9"/>
      <c r="JP912" s="9"/>
      <c r="JQ912" s="9"/>
      <c r="JR912" s="9"/>
      <c r="JS912" s="9"/>
      <c r="JT912" s="9"/>
      <c r="JU912" s="9"/>
      <c r="JV912" s="9"/>
      <c r="JW912" s="9"/>
      <c r="JX912" s="9"/>
      <c r="JY912" s="9"/>
      <c r="JZ912" s="9"/>
      <c r="KA912" s="9"/>
      <c r="KB912" s="9"/>
      <c r="KC912" s="9"/>
      <c r="KD912" s="9"/>
      <c r="KE912" s="9"/>
      <c r="KF912" s="9"/>
      <c r="KG912" s="9"/>
      <c r="KH912" s="9"/>
      <c r="KI912" s="9"/>
      <c r="KJ912" s="9"/>
      <c r="KK912" s="9"/>
      <c r="KL912" s="9"/>
      <c r="KM912" s="9"/>
      <c r="KN912" s="9"/>
      <c r="KO912" s="9"/>
      <c r="KP912" s="9"/>
      <c r="KQ912" s="9"/>
      <c r="KR912" s="9"/>
      <c r="KS912" s="9"/>
      <c r="KT912" s="9"/>
      <c r="KU912" s="9"/>
      <c r="KV912" s="9"/>
      <c r="KW912" s="9"/>
      <c r="KX912" s="9"/>
      <c r="KY912" s="9"/>
      <c r="KZ912" s="9"/>
      <c r="LA912" s="9"/>
      <c r="LB912" s="9"/>
      <c r="LC912" s="9"/>
      <c r="LD912" s="9"/>
      <c r="LE912" s="9"/>
      <c r="LF912" s="9"/>
      <c r="LG912" s="9"/>
      <c r="LH912" s="9"/>
      <c r="LI912" s="9"/>
      <c r="LJ912" s="9"/>
      <c r="LK912" s="9"/>
      <c r="LL912" s="9"/>
      <c r="LM912" s="9"/>
      <c r="LN912" s="9"/>
      <c r="LO912" s="9"/>
      <c r="LP912" s="9"/>
      <c r="LQ912" s="9"/>
      <c r="LR912" s="9"/>
      <c r="LS912" s="9"/>
      <c r="LT912" s="9"/>
      <c r="LU912" s="9"/>
      <c r="LV912" s="9"/>
      <c r="LW912" s="9"/>
      <c r="LX912" s="9"/>
      <c r="LY912" s="9"/>
      <c r="LZ912" s="9"/>
      <c r="MA912" s="9"/>
      <c r="MB912" s="9"/>
      <c r="MC912" s="9"/>
      <c r="MD912" s="9"/>
      <c r="ME912" s="9"/>
      <c r="MF912" s="9"/>
      <c r="MG912" s="9"/>
      <c r="MH912" s="9"/>
      <c r="MI912" s="9"/>
      <c r="MJ912" s="9"/>
      <c r="MK912" s="9"/>
      <c r="ML912" s="9"/>
      <c r="MM912" s="9"/>
      <c r="MN912" s="9"/>
      <c r="MO912" s="9"/>
      <c r="MP912" s="9"/>
      <c r="MQ912" s="9"/>
      <c r="MR912" s="9"/>
      <c r="MS912" s="9"/>
      <c r="MT912" s="9"/>
      <c r="MU912" s="9"/>
      <c r="MV912" s="9"/>
      <c r="MW912" s="9"/>
      <c r="MX912" s="9"/>
      <c r="MY912" s="9"/>
      <c r="MZ912" s="9"/>
      <c r="NA912" s="9"/>
      <c r="NB912" s="9"/>
      <c r="NC912" s="9"/>
      <c r="ND912" s="9"/>
      <c r="NE912" s="9"/>
      <c r="NF912" s="9"/>
      <c r="NG912" s="9"/>
      <c r="NH912" s="9"/>
      <c r="NI912" s="9"/>
      <c r="NJ912" s="9"/>
      <c r="NK912" s="9"/>
      <c r="NL912" s="9"/>
      <c r="NM912" s="9"/>
      <c r="NN912" s="9"/>
      <c r="NO912" s="9"/>
      <c r="NP912" s="9"/>
      <c r="NQ912" s="9"/>
      <c r="NR912" s="9"/>
      <c r="NS912" s="9"/>
      <c r="NT912" s="9"/>
      <c r="NU912" s="9"/>
      <c r="NV912" s="9"/>
      <c r="NW912" s="9"/>
      <c r="NX912" s="9"/>
      <c r="NY912" s="9"/>
      <c r="NZ912" s="9"/>
      <c r="OA912" s="9"/>
      <c r="OB912" s="9"/>
      <c r="OC912" s="9"/>
      <c r="OD912" s="9"/>
      <c r="OE912" s="9"/>
      <c r="OF912" s="9"/>
      <c r="OG912" s="9"/>
      <c r="OH912" s="9"/>
      <c r="OI912" s="9"/>
      <c r="OJ912" s="9"/>
      <c r="OK912" s="9"/>
      <c r="OL912" s="9"/>
      <c r="OM912" s="9"/>
      <c r="ON912" s="9"/>
      <c r="OO912" s="9"/>
      <c r="OP912" s="9"/>
      <c r="OQ912" s="9"/>
      <c r="OR912" s="9"/>
      <c r="OS912" s="9"/>
      <c r="OT912" s="9"/>
      <c r="OU912" s="9"/>
      <c r="OV912" s="9"/>
      <c r="OW912" s="9"/>
      <c r="OX912" s="9"/>
      <c r="OY912" s="9"/>
      <c r="OZ912" s="9"/>
      <c r="PA912" s="9"/>
      <c r="PB912" s="9"/>
      <c r="PC912" s="9"/>
      <c r="PD912" s="9"/>
      <c r="PE912" s="9"/>
      <c r="PF912" s="9"/>
      <c r="PG912" s="9"/>
      <c r="PH912" s="9"/>
      <c r="PI912" s="9"/>
      <c r="PJ912" s="9"/>
      <c r="PK912" s="9"/>
      <c r="PL912" s="9"/>
      <c r="PM912" s="9"/>
      <c r="PN912" s="9"/>
      <c r="PO912" s="9"/>
      <c r="PP912" s="9"/>
      <c r="PQ912" s="9"/>
      <c r="PR912" s="9"/>
      <c r="PS912" s="9"/>
      <c r="PT912" s="9"/>
      <c r="PU912" s="9"/>
      <c r="PV912" s="9"/>
      <c r="PW912" s="9"/>
      <c r="PX912" s="9"/>
      <c r="PY912" s="9"/>
      <c r="PZ912" s="9"/>
      <c r="QA912" s="9"/>
      <c r="QB912" s="9"/>
      <c r="QC912" s="9"/>
      <c r="QD912" s="9"/>
      <c r="QE912" s="9"/>
      <c r="QF912" s="9"/>
      <c r="QG912" s="9"/>
      <c r="QH912" s="9"/>
      <c r="QI912" s="9"/>
      <c r="QJ912" s="9"/>
      <c r="QK912" s="9"/>
      <c r="QL912" s="9"/>
      <c r="QM912" s="9"/>
      <c r="QN912" s="9"/>
      <c r="QO912" s="9"/>
      <c r="QP912" s="9"/>
      <c r="QQ912" s="9"/>
      <c r="QR912" s="9"/>
      <c r="QS912" s="9"/>
      <c r="QT912" s="9"/>
      <c r="QU912" s="9"/>
      <c r="QV912" s="9"/>
      <c r="QW912" s="9"/>
      <c r="QX912" s="9"/>
      <c r="QY912" s="9"/>
      <c r="QZ912" s="9"/>
      <c r="RA912" s="9"/>
      <c r="RB912" s="9"/>
      <c r="RC912" s="9"/>
      <c r="RD912" s="9"/>
      <c r="RE912" s="9"/>
      <c r="RF912" s="9"/>
      <c r="RG912" s="9"/>
      <c r="RH912" s="9"/>
      <c r="RI912" s="9"/>
      <c r="RJ912" s="9"/>
      <c r="RK912" s="9"/>
      <c r="RL912" s="9"/>
      <c r="RM912" s="9"/>
      <c r="RN912" s="9"/>
      <c r="RO912" s="9"/>
      <c r="RP912" s="9"/>
      <c r="RQ912" s="9"/>
      <c r="RR912" s="9"/>
      <c r="RS912" s="9"/>
      <c r="RT912" s="9"/>
      <c r="RU912" s="9"/>
      <c r="RV912" s="9"/>
      <c r="RW912" s="9"/>
      <c r="RX912" s="9"/>
      <c r="RY912" s="9"/>
      <c r="RZ912" s="9"/>
      <c r="SA912" s="9"/>
      <c r="SB912" s="9"/>
      <c r="SC912" s="9"/>
      <c r="SD912" s="9"/>
      <c r="SE912" s="9"/>
      <c r="SF912" s="9"/>
      <c r="SG912" s="9"/>
      <c r="SH912" s="9"/>
      <c r="SI912" s="9"/>
      <c r="SJ912" s="9"/>
      <c r="SK912" s="9"/>
      <c r="SL912" s="9"/>
      <c r="SM912" s="9"/>
      <c r="SN912" s="9"/>
      <c r="SO912" s="9"/>
      <c r="SP912" s="9"/>
      <c r="SQ912" s="9"/>
      <c r="SR912" s="9"/>
      <c r="SS912" s="9"/>
      <c r="ST912" s="9"/>
      <c r="SU912" s="9"/>
      <c r="SV912" s="9"/>
      <c r="SW912" s="9"/>
      <c r="SX912" s="9"/>
      <c r="SY912" s="9"/>
      <c r="SZ912" s="9"/>
      <c r="TA912" s="9"/>
      <c r="TB912" s="9"/>
      <c r="TC912" s="9"/>
      <c r="TD912" s="9"/>
      <c r="TE912" s="9"/>
      <c r="TF912" s="9"/>
      <c r="TG912" s="9"/>
      <c r="TH912" s="9"/>
      <c r="TI912" s="9"/>
      <c r="TJ912" s="9"/>
      <c r="TK912" s="9"/>
      <c r="TL912" s="9"/>
      <c r="TM912" s="9"/>
      <c r="TN912" s="9"/>
      <c r="TO912" s="9"/>
      <c r="TP912" s="9"/>
      <c r="TQ912" s="9"/>
      <c r="TR912" s="9"/>
      <c r="TS912" s="9"/>
      <c r="TT912" s="9"/>
      <c r="TU912" s="9"/>
      <c r="TV912" s="9"/>
      <c r="TW912" s="9"/>
      <c r="TX912" s="9"/>
      <c r="TY912" s="9"/>
      <c r="TZ912" s="9"/>
      <c r="UA912" s="9"/>
      <c r="UB912" s="9"/>
      <c r="UC912" s="9"/>
      <c r="UD912" s="9"/>
      <c r="UE912" s="9"/>
      <c r="UF912" s="9"/>
      <c r="UG912" s="9"/>
      <c r="UH912" s="9"/>
      <c r="UI912" s="9"/>
      <c r="UJ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9"/>
      <c r="GV913" s="9"/>
      <c r="GW913" s="9"/>
      <c r="GX913" s="9"/>
      <c r="GY913" s="9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  <c r="HO913" s="9"/>
      <c r="HP913" s="9"/>
      <c r="HQ913" s="9"/>
      <c r="HR913" s="9"/>
      <c r="HS913" s="9"/>
      <c r="HT913" s="9"/>
      <c r="HU913" s="9"/>
      <c r="HV913" s="9"/>
      <c r="HW913" s="9"/>
      <c r="HX913" s="9"/>
      <c r="HY913" s="9"/>
      <c r="HZ913" s="9"/>
      <c r="IA913" s="9"/>
      <c r="IB913" s="9"/>
      <c r="IC913" s="9"/>
      <c r="ID913" s="9"/>
      <c r="IE913" s="9"/>
      <c r="IF913" s="9"/>
      <c r="IG913" s="9"/>
      <c r="IH913" s="9"/>
      <c r="II913" s="9"/>
      <c r="IJ913" s="9"/>
      <c r="IK913" s="9"/>
      <c r="IL913" s="9"/>
      <c r="IM913" s="9"/>
      <c r="IN913" s="9"/>
      <c r="IO913" s="9"/>
      <c r="IP913" s="9"/>
      <c r="IQ913" s="9"/>
      <c r="IR913" s="9"/>
      <c r="IS913" s="9"/>
      <c r="IT913" s="9"/>
      <c r="IU913" s="9"/>
      <c r="IV913" s="9"/>
      <c r="IW913" s="9"/>
      <c r="IX913" s="9"/>
      <c r="IY913" s="9"/>
      <c r="IZ913" s="9"/>
      <c r="JA913" s="9"/>
      <c r="JB913" s="9"/>
      <c r="JC913" s="9"/>
      <c r="JD913" s="9"/>
      <c r="JE913" s="9"/>
      <c r="JF913" s="9"/>
      <c r="JG913" s="9"/>
      <c r="JH913" s="9"/>
      <c r="JI913" s="9"/>
      <c r="JJ913" s="9"/>
      <c r="JK913" s="9"/>
      <c r="JL913" s="9"/>
      <c r="JM913" s="9"/>
      <c r="JN913" s="9"/>
      <c r="JO913" s="9"/>
      <c r="JP913" s="9"/>
      <c r="JQ913" s="9"/>
      <c r="JR913" s="9"/>
      <c r="JS913" s="9"/>
      <c r="JT913" s="9"/>
      <c r="JU913" s="9"/>
      <c r="JV913" s="9"/>
      <c r="JW913" s="9"/>
      <c r="JX913" s="9"/>
      <c r="JY913" s="9"/>
      <c r="JZ913" s="9"/>
      <c r="KA913" s="9"/>
      <c r="KB913" s="9"/>
      <c r="KC913" s="9"/>
      <c r="KD913" s="9"/>
      <c r="KE913" s="9"/>
      <c r="KF913" s="9"/>
      <c r="KG913" s="9"/>
      <c r="KH913" s="9"/>
      <c r="KI913" s="9"/>
      <c r="KJ913" s="9"/>
      <c r="KK913" s="9"/>
      <c r="KL913" s="9"/>
      <c r="KM913" s="9"/>
      <c r="KN913" s="9"/>
      <c r="KO913" s="9"/>
      <c r="KP913" s="9"/>
      <c r="KQ913" s="9"/>
      <c r="KR913" s="9"/>
      <c r="KS913" s="9"/>
      <c r="KT913" s="9"/>
      <c r="KU913" s="9"/>
      <c r="KV913" s="9"/>
      <c r="KW913" s="9"/>
      <c r="KX913" s="9"/>
      <c r="KY913" s="9"/>
      <c r="KZ913" s="9"/>
      <c r="LA913" s="9"/>
      <c r="LB913" s="9"/>
      <c r="LC913" s="9"/>
      <c r="LD913" s="9"/>
      <c r="LE913" s="9"/>
      <c r="LF913" s="9"/>
      <c r="LG913" s="9"/>
      <c r="LH913" s="9"/>
      <c r="LI913" s="9"/>
      <c r="LJ913" s="9"/>
      <c r="LK913" s="9"/>
      <c r="LL913" s="9"/>
      <c r="LM913" s="9"/>
      <c r="LN913" s="9"/>
      <c r="LO913" s="9"/>
      <c r="LP913" s="9"/>
      <c r="LQ913" s="9"/>
      <c r="LR913" s="9"/>
      <c r="LS913" s="9"/>
      <c r="LT913" s="9"/>
      <c r="LU913" s="9"/>
      <c r="LV913" s="9"/>
      <c r="LW913" s="9"/>
      <c r="LX913" s="9"/>
      <c r="LY913" s="9"/>
      <c r="LZ913" s="9"/>
      <c r="MA913" s="9"/>
      <c r="MB913" s="9"/>
      <c r="MC913" s="9"/>
      <c r="MD913" s="9"/>
      <c r="ME913" s="9"/>
      <c r="MF913" s="9"/>
      <c r="MG913" s="9"/>
      <c r="MH913" s="9"/>
      <c r="MI913" s="9"/>
      <c r="MJ913" s="9"/>
      <c r="MK913" s="9"/>
      <c r="ML913" s="9"/>
      <c r="MM913" s="9"/>
      <c r="MN913" s="9"/>
      <c r="MO913" s="9"/>
      <c r="MP913" s="9"/>
      <c r="MQ913" s="9"/>
      <c r="MR913" s="9"/>
      <c r="MS913" s="9"/>
      <c r="MT913" s="9"/>
      <c r="MU913" s="9"/>
      <c r="MV913" s="9"/>
      <c r="MW913" s="9"/>
      <c r="MX913" s="9"/>
      <c r="MY913" s="9"/>
      <c r="MZ913" s="9"/>
      <c r="NA913" s="9"/>
      <c r="NB913" s="9"/>
      <c r="NC913" s="9"/>
      <c r="ND913" s="9"/>
      <c r="NE913" s="9"/>
      <c r="NF913" s="9"/>
      <c r="NG913" s="9"/>
      <c r="NH913" s="9"/>
      <c r="NI913" s="9"/>
      <c r="NJ913" s="9"/>
      <c r="NK913" s="9"/>
      <c r="NL913" s="9"/>
      <c r="NM913" s="9"/>
      <c r="NN913" s="9"/>
      <c r="NO913" s="9"/>
      <c r="NP913" s="9"/>
      <c r="NQ913" s="9"/>
      <c r="NR913" s="9"/>
      <c r="NS913" s="9"/>
      <c r="NT913" s="9"/>
      <c r="NU913" s="9"/>
      <c r="NV913" s="9"/>
      <c r="NW913" s="9"/>
      <c r="NX913" s="9"/>
      <c r="NY913" s="9"/>
      <c r="NZ913" s="9"/>
      <c r="OA913" s="9"/>
      <c r="OB913" s="9"/>
      <c r="OC913" s="9"/>
      <c r="OD913" s="9"/>
      <c r="OE913" s="9"/>
      <c r="OF913" s="9"/>
      <c r="OG913" s="9"/>
      <c r="OH913" s="9"/>
      <c r="OI913" s="9"/>
      <c r="OJ913" s="9"/>
      <c r="OK913" s="9"/>
      <c r="OL913" s="9"/>
      <c r="OM913" s="9"/>
      <c r="ON913" s="9"/>
      <c r="OO913" s="9"/>
      <c r="OP913" s="9"/>
      <c r="OQ913" s="9"/>
      <c r="OR913" s="9"/>
      <c r="OS913" s="9"/>
      <c r="OT913" s="9"/>
      <c r="OU913" s="9"/>
      <c r="OV913" s="9"/>
      <c r="OW913" s="9"/>
      <c r="OX913" s="9"/>
      <c r="OY913" s="9"/>
      <c r="OZ913" s="9"/>
      <c r="PA913" s="9"/>
      <c r="PB913" s="9"/>
      <c r="PC913" s="9"/>
      <c r="PD913" s="9"/>
      <c r="PE913" s="9"/>
      <c r="PF913" s="9"/>
      <c r="PG913" s="9"/>
      <c r="PH913" s="9"/>
      <c r="PI913" s="9"/>
      <c r="PJ913" s="9"/>
      <c r="PK913" s="9"/>
      <c r="PL913" s="9"/>
      <c r="PM913" s="9"/>
      <c r="PN913" s="9"/>
      <c r="PO913" s="9"/>
      <c r="PP913" s="9"/>
      <c r="PQ913" s="9"/>
      <c r="PR913" s="9"/>
      <c r="PS913" s="9"/>
      <c r="PT913" s="9"/>
      <c r="PU913" s="9"/>
      <c r="PV913" s="9"/>
      <c r="PW913" s="9"/>
      <c r="PX913" s="9"/>
      <c r="PY913" s="9"/>
      <c r="PZ913" s="9"/>
      <c r="QA913" s="9"/>
      <c r="QB913" s="9"/>
      <c r="QC913" s="9"/>
      <c r="QD913" s="9"/>
      <c r="QE913" s="9"/>
      <c r="QF913" s="9"/>
      <c r="QG913" s="9"/>
      <c r="QH913" s="9"/>
      <c r="QI913" s="9"/>
      <c r="QJ913" s="9"/>
      <c r="QK913" s="9"/>
      <c r="QL913" s="9"/>
      <c r="QM913" s="9"/>
      <c r="QN913" s="9"/>
      <c r="QO913" s="9"/>
      <c r="QP913" s="9"/>
      <c r="QQ913" s="9"/>
      <c r="QR913" s="9"/>
      <c r="QS913" s="9"/>
      <c r="QT913" s="9"/>
      <c r="QU913" s="9"/>
      <c r="QV913" s="9"/>
      <c r="QW913" s="9"/>
      <c r="QX913" s="9"/>
      <c r="QY913" s="9"/>
      <c r="QZ913" s="9"/>
      <c r="RA913" s="9"/>
      <c r="RB913" s="9"/>
      <c r="RC913" s="9"/>
      <c r="RD913" s="9"/>
      <c r="RE913" s="9"/>
      <c r="RF913" s="9"/>
      <c r="RG913" s="9"/>
      <c r="RH913" s="9"/>
      <c r="RI913" s="9"/>
      <c r="RJ913" s="9"/>
      <c r="RK913" s="9"/>
      <c r="RL913" s="9"/>
      <c r="RM913" s="9"/>
      <c r="RN913" s="9"/>
      <c r="RO913" s="9"/>
      <c r="RP913" s="9"/>
      <c r="RQ913" s="9"/>
      <c r="RR913" s="9"/>
      <c r="RS913" s="9"/>
      <c r="RT913" s="9"/>
      <c r="RU913" s="9"/>
      <c r="RV913" s="9"/>
      <c r="RW913" s="9"/>
      <c r="RX913" s="9"/>
      <c r="RY913" s="9"/>
      <c r="RZ913" s="9"/>
      <c r="SA913" s="9"/>
      <c r="SB913" s="9"/>
      <c r="SC913" s="9"/>
      <c r="SD913" s="9"/>
      <c r="SE913" s="9"/>
      <c r="SF913" s="9"/>
      <c r="SG913" s="9"/>
      <c r="SH913" s="9"/>
      <c r="SI913" s="9"/>
      <c r="SJ913" s="9"/>
      <c r="SK913" s="9"/>
      <c r="SL913" s="9"/>
      <c r="SM913" s="9"/>
      <c r="SN913" s="9"/>
      <c r="SO913" s="9"/>
      <c r="SP913" s="9"/>
      <c r="SQ913" s="9"/>
      <c r="SR913" s="9"/>
      <c r="SS913" s="9"/>
      <c r="ST913" s="9"/>
      <c r="SU913" s="9"/>
      <c r="SV913" s="9"/>
      <c r="SW913" s="9"/>
      <c r="SX913" s="9"/>
      <c r="SY913" s="9"/>
      <c r="SZ913" s="9"/>
      <c r="TA913" s="9"/>
      <c r="TB913" s="9"/>
      <c r="TC913" s="9"/>
      <c r="TD913" s="9"/>
      <c r="TE913" s="9"/>
      <c r="TF913" s="9"/>
      <c r="TG913" s="9"/>
      <c r="TH913" s="9"/>
      <c r="TI913" s="9"/>
      <c r="TJ913" s="9"/>
      <c r="TK913" s="9"/>
      <c r="TL913" s="9"/>
      <c r="TM913" s="9"/>
      <c r="TN913" s="9"/>
      <c r="TO913" s="9"/>
      <c r="TP913" s="9"/>
      <c r="TQ913" s="9"/>
      <c r="TR913" s="9"/>
      <c r="TS913" s="9"/>
      <c r="TT913" s="9"/>
      <c r="TU913" s="9"/>
      <c r="TV913" s="9"/>
      <c r="TW913" s="9"/>
      <c r="TX913" s="9"/>
      <c r="TY913" s="9"/>
      <c r="TZ913" s="9"/>
      <c r="UA913" s="9"/>
      <c r="UB913" s="9"/>
      <c r="UC913" s="9"/>
      <c r="UD913" s="9"/>
      <c r="UE913" s="9"/>
      <c r="UF913" s="9"/>
      <c r="UG913" s="9"/>
      <c r="UH913" s="9"/>
      <c r="UI913" s="9"/>
      <c r="UJ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  <c r="HO914" s="9"/>
      <c r="HP914" s="9"/>
      <c r="HQ914" s="9"/>
      <c r="HR914" s="9"/>
      <c r="HS914" s="9"/>
      <c r="HT914" s="9"/>
      <c r="HU914" s="9"/>
      <c r="HV914" s="9"/>
      <c r="HW914" s="9"/>
      <c r="HX914" s="9"/>
      <c r="HY914" s="9"/>
      <c r="HZ914" s="9"/>
      <c r="IA914" s="9"/>
      <c r="IB914" s="9"/>
      <c r="IC914" s="9"/>
      <c r="ID914" s="9"/>
      <c r="IE914" s="9"/>
      <c r="IF914" s="9"/>
      <c r="IG914" s="9"/>
      <c r="IH914" s="9"/>
      <c r="II914" s="9"/>
      <c r="IJ914" s="9"/>
      <c r="IK914" s="9"/>
      <c r="IL914" s="9"/>
      <c r="IM914" s="9"/>
      <c r="IN914" s="9"/>
      <c r="IO914" s="9"/>
      <c r="IP914" s="9"/>
      <c r="IQ914" s="9"/>
      <c r="IR914" s="9"/>
      <c r="IS914" s="9"/>
      <c r="IT914" s="9"/>
      <c r="IU914" s="9"/>
      <c r="IV914" s="9"/>
      <c r="IW914" s="9"/>
      <c r="IX914" s="9"/>
      <c r="IY914" s="9"/>
      <c r="IZ914" s="9"/>
      <c r="JA914" s="9"/>
      <c r="JB914" s="9"/>
      <c r="JC914" s="9"/>
      <c r="JD914" s="9"/>
      <c r="JE914" s="9"/>
      <c r="JF914" s="9"/>
      <c r="JG914" s="9"/>
      <c r="JH914" s="9"/>
      <c r="JI914" s="9"/>
      <c r="JJ914" s="9"/>
      <c r="JK914" s="9"/>
      <c r="JL914" s="9"/>
      <c r="JM914" s="9"/>
      <c r="JN914" s="9"/>
      <c r="JO914" s="9"/>
      <c r="JP914" s="9"/>
      <c r="JQ914" s="9"/>
      <c r="JR914" s="9"/>
      <c r="JS914" s="9"/>
      <c r="JT914" s="9"/>
      <c r="JU914" s="9"/>
      <c r="JV914" s="9"/>
      <c r="JW914" s="9"/>
      <c r="JX914" s="9"/>
      <c r="JY914" s="9"/>
      <c r="JZ914" s="9"/>
      <c r="KA914" s="9"/>
      <c r="KB914" s="9"/>
      <c r="KC914" s="9"/>
      <c r="KD914" s="9"/>
      <c r="KE914" s="9"/>
      <c r="KF914" s="9"/>
      <c r="KG914" s="9"/>
      <c r="KH914" s="9"/>
      <c r="KI914" s="9"/>
      <c r="KJ914" s="9"/>
      <c r="KK914" s="9"/>
      <c r="KL914" s="9"/>
      <c r="KM914" s="9"/>
      <c r="KN914" s="9"/>
      <c r="KO914" s="9"/>
      <c r="KP914" s="9"/>
      <c r="KQ914" s="9"/>
      <c r="KR914" s="9"/>
      <c r="KS914" s="9"/>
      <c r="KT914" s="9"/>
      <c r="KU914" s="9"/>
      <c r="KV914" s="9"/>
      <c r="KW914" s="9"/>
      <c r="KX914" s="9"/>
      <c r="KY914" s="9"/>
      <c r="KZ914" s="9"/>
      <c r="LA914" s="9"/>
      <c r="LB914" s="9"/>
      <c r="LC914" s="9"/>
      <c r="LD914" s="9"/>
      <c r="LE914" s="9"/>
      <c r="LF914" s="9"/>
      <c r="LG914" s="9"/>
      <c r="LH914" s="9"/>
      <c r="LI914" s="9"/>
      <c r="LJ914" s="9"/>
      <c r="LK914" s="9"/>
      <c r="LL914" s="9"/>
      <c r="LM914" s="9"/>
      <c r="LN914" s="9"/>
      <c r="LO914" s="9"/>
      <c r="LP914" s="9"/>
      <c r="LQ914" s="9"/>
      <c r="LR914" s="9"/>
      <c r="LS914" s="9"/>
      <c r="LT914" s="9"/>
      <c r="LU914" s="9"/>
      <c r="LV914" s="9"/>
      <c r="LW914" s="9"/>
      <c r="LX914" s="9"/>
      <c r="LY914" s="9"/>
      <c r="LZ914" s="9"/>
      <c r="MA914" s="9"/>
      <c r="MB914" s="9"/>
      <c r="MC914" s="9"/>
      <c r="MD914" s="9"/>
      <c r="ME914" s="9"/>
      <c r="MF914" s="9"/>
      <c r="MG914" s="9"/>
      <c r="MH914" s="9"/>
      <c r="MI914" s="9"/>
      <c r="MJ914" s="9"/>
      <c r="MK914" s="9"/>
      <c r="ML914" s="9"/>
      <c r="MM914" s="9"/>
      <c r="MN914" s="9"/>
      <c r="MO914" s="9"/>
      <c r="MP914" s="9"/>
      <c r="MQ914" s="9"/>
      <c r="MR914" s="9"/>
      <c r="MS914" s="9"/>
      <c r="MT914" s="9"/>
      <c r="MU914" s="9"/>
      <c r="MV914" s="9"/>
      <c r="MW914" s="9"/>
      <c r="MX914" s="9"/>
      <c r="MY914" s="9"/>
      <c r="MZ914" s="9"/>
      <c r="NA914" s="9"/>
      <c r="NB914" s="9"/>
      <c r="NC914" s="9"/>
      <c r="ND914" s="9"/>
      <c r="NE914" s="9"/>
      <c r="NF914" s="9"/>
      <c r="NG914" s="9"/>
      <c r="NH914" s="9"/>
      <c r="NI914" s="9"/>
      <c r="NJ914" s="9"/>
      <c r="NK914" s="9"/>
      <c r="NL914" s="9"/>
      <c r="NM914" s="9"/>
      <c r="NN914" s="9"/>
      <c r="NO914" s="9"/>
      <c r="NP914" s="9"/>
      <c r="NQ914" s="9"/>
      <c r="NR914" s="9"/>
      <c r="NS914" s="9"/>
      <c r="NT914" s="9"/>
      <c r="NU914" s="9"/>
      <c r="NV914" s="9"/>
      <c r="NW914" s="9"/>
      <c r="NX914" s="9"/>
      <c r="NY914" s="9"/>
      <c r="NZ914" s="9"/>
      <c r="OA914" s="9"/>
      <c r="OB914" s="9"/>
      <c r="OC914" s="9"/>
      <c r="OD914" s="9"/>
      <c r="OE914" s="9"/>
      <c r="OF914" s="9"/>
      <c r="OG914" s="9"/>
      <c r="OH914" s="9"/>
      <c r="OI914" s="9"/>
      <c r="OJ914" s="9"/>
      <c r="OK914" s="9"/>
      <c r="OL914" s="9"/>
      <c r="OM914" s="9"/>
      <c r="ON914" s="9"/>
      <c r="OO914" s="9"/>
      <c r="OP914" s="9"/>
      <c r="OQ914" s="9"/>
      <c r="OR914" s="9"/>
      <c r="OS914" s="9"/>
      <c r="OT914" s="9"/>
      <c r="OU914" s="9"/>
      <c r="OV914" s="9"/>
      <c r="OW914" s="9"/>
      <c r="OX914" s="9"/>
      <c r="OY914" s="9"/>
      <c r="OZ914" s="9"/>
      <c r="PA914" s="9"/>
      <c r="PB914" s="9"/>
      <c r="PC914" s="9"/>
      <c r="PD914" s="9"/>
      <c r="PE914" s="9"/>
      <c r="PF914" s="9"/>
      <c r="PG914" s="9"/>
      <c r="PH914" s="9"/>
      <c r="PI914" s="9"/>
      <c r="PJ914" s="9"/>
      <c r="PK914" s="9"/>
      <c r="PL914" s="9"/>
      <c r="PM914" s="9"/>
      <c r="PN914" s="9"/>
      <c r="PO914" s="9"/>
      <c r="PP914" s="9"/>
      <c r="PQ914" s="9"/>
      <c r="PR914" s="9"/>
      <c r="PS914" s="9"/>
      <c r="PT914" s="9"/>
      <c r="PU914" s="9"/>
      <c r="PV914" s="9"/>
      <c r="PW914" s="9"/>
      <c r="PX914" s="9"/>
      <c r="PY914" s="9"/>
      <c r="PZ914" s="9"/>
      <c r="QA914" s="9"/>
      <c r="QB914" s="9"/>
      <c r="QC914" s="9"/>
      <c r="QD914" s="9"/>
      <c r="QE914" s="9"/>
      <c r="QF914" s="9"/>
      <c r="QG914" s="9"/>
      <c r="QH914" s="9"/>
      <c r="QI914" s="9"/>
      <c r="QJ914" s="9"/>
      <c r="QK914" s="9"/>
      <c r="QL914" s="9"/>
      <c r="QM914" s="9"/>
      <c r="QN914" s="9"/>
      <c r="QO914" s="9"/>
      <c r="QP914" s="9"/>
      <c r="QQ914" s="9"/>
      <c r="QR914" s="9"/>
      <c r="QS914" s="9"/>
      <c r="QT914" s="9"/>
      <c r="QU914" s="9"/>
      <c r="QV914" s="9"/>
      <c r="QW914" s="9"/>
      <c r="QX914" s="9"/>
      <c r="QY914" s="9"/>
      <c r="QZ914" s="9"/>
      <c r="RA914" s="9"/>
      <c r="RB914" s="9"/>
      <c r="RC914" s="9"/>
      <c r="RD914" s="9"/>
      <c r="RE914" s="9"/>
      <c r="RF914" s="9"/>
      <c r="RG914" s="9"/>
      <c r="RH914" s="9"/>
      <c r="RI914" s="9"/>
      <c r="RJ914" s="9"/>
      <c r="RK914" s="9"/>
      <c r="RL914" s="9"/>
      <c r="RM914" s="9"/>
      <c r="RN914" s="9"/>
      <c r="RO914" s="9"/>
      <c r="RP914" s="9"/>
      <c r="RQ914" s="9"/>
      <c r="RR914" s="9"/>
      <c r="RS914" s="9"/>
      <c r="RT914" s="9"/>
      <c r="RU914" s="9"/>
      <c r="RV914" s="9"/>
      <c r="RW914" s="9"/>
      <c r="RX914" s="9"/>
      <c r="RY914" s="9"/>
      <c r="RZ914" s="9"/>
      <c r="SA914" s="9"/>
      <c r="SB914" s="9"/>
      <c r="SC914" s="9"/>
      <c r="SD914" s="9"/>
      <c r="SE914" s="9"/>
      <c r="SF914" s="9"/>
      <c r="SG914" s="9"/>
      <c r="SH914" s="9"/>
      <c r="SI914" s="9"/>
      <c r="SJ914" s="9"/>
      <c r="SK914" s="9"/>
      <c r="SL914" s="9"/>
      <c r="SM914" s="9"/>
      <c r="SN914" s="9"/>
      <c r="SO914" s="9"/>
      <c r="SP914" s="9"/>
      <c r="SQ914" s="9"/>
      <c r="SR914" s="9"/>
      <c r="SS914" s="9"/>
      <c r="ST914" s="9"/>
      <c r="SU914" s="9"/>
      <c r="SV914" s="9"/>
      <c r="SW914" s="9"/>
      <c r="SX914" s="9"/>
      <c r="SY914" s="9"/>
      <c r="SZ914" s="9"/>
      <c r="TA914" s="9"/>
      <c r="TB914" s="9"/>
      <c r="TC914" s="9"/>
      <c r="TD914" s="9"/>
      <c r="TE914" s="9"/>
      <c r="TF914" s="9"/>
      <c r="TG914" s="9"/>
      <c r="TH914" s="9"/>
      <c r="TI914" s="9"/>
      <c r="TJ914" s="9"/>
      <c r="TK914" s="9"/>
      <c r="TL914" s="9"/>
      <c r="TM914" s="9"/>
      <c r="TN914" s="9"/>
      <c r="TO914" s="9"/>
      <c r="TP914" s="9"/>
      <c r="TQ914" s="9"/>
      <c r="TR914" s="9"/>
      <c r="TS914" s="9"/>
      <c r="TT914" s="9"/>
      <c r="TU914" s="9"/>
      <c r="TV914" s="9"/>
      <c r="TW914" s="9"/>
      <c r="TX914" s="9"/>
      <c r="TY914" s="9"/>
      <c r="TZ914" s="9"/>
      <c r="UA914" s="9"/>
      <c r="UB914" s="9"/>
      <c r="UC914" s="9"/>
      <c r="UD914" s="9"/>
      <c r="UE914" s="9"/>
      <c r="UF914" s="9"/>
      <c r="UG914" s="9"/>
      <c r="UH914" s="9"/>
      <c r="UI914" s="9"/>
      <c r="UJ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  <c r="HZ915" s="9"/>
      <c r="IA915" s="9"/>
      <c r="IB915" s="9"/>
      <c r="IC915" s="9"/>
      <c r="ID915" s="9"/>
      <c r="IE915" s="9"/>
      <c r="IF915" s="9"/>
      <c r="IG915" s="9"/>
      <c r="IH915" s="9"/>
      <c r="II915" s="9"/>
      <c r="IJ915" s="9"/>
      <c r="IK915" s="9"/>
      <c r="IL915" s="9"/>
      <c r="IM915" s="9"/>
      <c r="IN915" s="9"/>
      <c r="IO915" s="9"/>
      <c r="IP915" s="9"/>
      <c r="IQ915" s="9"/>
      <c r="IR915" s="9"/>
      <c r="IS915" s="9"/>
      <c r="IT915" s="9"/>
      <c r="IU915" s="9"/>
      <c r="IV915" s="9"/>
      <c r="IW915" s="9"/>
      <c r="IX915" s="9"/>
      <c r="IY915" s="9"/>
      <c r="IZ915" s="9"/>
      <c r="JA915" s="9"/>
      <c r="JB915" s="9"/>
      <c r="JC915" s="9"/>
      <c r="JD915" s="9"/>
      <c r="JE915" s="9"/>
      <c r="JF915" s="9"/>
      <c r="JG915" s="9"/>
      <c r="JH915" s="9"/>
      <c r="JI915" s="9"/>
      <c r="JJ915" s="9"/>
      <c r="JK915" s="9"/>
      <c r="JL915" s="9"/>
      <c r="JM915" s="9"/>
      <c r="JN915" s="9"/>
      <c r="JO915" s="9"/>
      <c r="JP915" s="9"/>
      <c r="JQ915" s="9"/>
      <c r="JR915" s="9"/>
      <c r="JS915" s="9"/>
      <c r="JT915" s="9"/>
      <c r="JU915" s="9"/>
      <c r="JV915" s="9"/>
      <c r="JW915" s="9"/>
      <c r="JX915" s="9"/>
      <c r="JY915" s="9"/>
      <c r="JZ915" s="9"/>
      <c r="KA915" s="9"/>
      <c r="KB915" s="9"/>
      <c r="KC915" s="9"/>
      <c r="KD915" s="9"/>
      <c r="KE915" s="9"/>
      <c r="KF915" s="9"/>
      <c r="KG915" s="9"/>
      <c r="KH915" s="9"/>
      <c r="KI915" s="9"/>
      <c r="KJ915" s="9"/>
      <c r="KK915" s="9"/>
      <c r="KL915" s="9"/>
      <c r="KM915" s="9"/>
      <c r="KN915" s="9"/>
      <c r="KO915" s="9"/>
      <c r="KP915" s="9"/>
      <c r="KQ915" s="9"/>
      <c r="KR915" s="9"/>
      <c r="KS915" s="9"/>
      <c r="KT915" s="9"/>
      <c r="KU915" s="9"/>
      <c r="KV915" s="9"/>
      <c r="KW915" s="9"/>
      <c r="KX915" s="9"/>
      <c r="KY915" s="9"/>
      <c r="KZ915" s="9"/>
      <c r="LA915" s="9"/>
      <c r="LB915" s="9"/>
      <c r="LC915" s="9"/>
      <c r="LD915" s="9"/>
      <c r="LE915" s="9"/>
      <c r="LF915" s="9"/>
      <c r="LG915" s="9"/>
      <c r="LH915" s="9"/>
      <c r="LI915" s="9"/>
      <c r="LJ915" s="9"/>
      <c r="LK915" s="9"/>
      <c r="LL915" s="9"/>
      <c r="LM915" s="9"/>
      <c r="LN915" s="9"/>
      <c r="LO915" s="9"/>
      <c r="LP915" s="9"/>
      <c r="LQ915" s="9"/>
      <c r="LR915" s="9"/>
      <c r="LS915" s="9"/>
      <c r="LT915" s="9"/>
      <c r="LU915" s="9"/>
      <c r="LV915" s="9"/>
      <c r="LW915" s="9"/>
      <c r="LX915" s="9"/>
      <c r="LY915" s="9"/>
      <c r="LZ915" s="9"/>
      <c r="MA915" s="9"/>
      <c r="MB915" s="9"/>
      <c r="MC915" s="9"/>
      <c r="MD915" s="9"/>
      <c r="ME915" s="9"/>
      <c r="MF915" s="9"/>
      <c r="MG915" s="9"/>
      <c r="MH915" s="9"/>
      <c r="MI915" s="9"/>
      <c r="MJ915" s="9"/>
      <c r="MK915" s="9"/>
      <c r="ML915" s="9"/>
      <c r="MM915" s="9"/>
      <c r="MN915" s="9"/>
      <c r="MO915" s="9"/>
      <c r="MP915" s="9"/>
      <c r="MQ915" s="9"/>
      <c r="MR915" s="9"/>
      <c r="MS915" s="9"/>
      <c r="MT915" s="9"/>
      <c r="MU915" s="9"/>
      <c r="MV915" s="9"/>
      <c r="MW915" s="9"/>
      <c r="MX915" s="9"/>
      <c r="MY915" s="9"/>
      <c r="MZ915" s="9"/>
      <c r="NA915" s="9"/>
      <c r="NB915" s="9"/>
      <c r="NC915" s="9"/>
      <c r="ND915" s="9"/>
      <c r="NE915" s="9"/>
      <c r="NF915" s="9"/>
      <c r="NG915" s="9"/>
      <c r="NH915" s="9"/>
      <c r="NI915" s="9"/>
      <c r="NJ915" s="9"/>
      <c r="NK915" s="9"/>
      <c r="NL915" s="9"/>
      <c r="NM915" s="9"/>
      <c r="NN915" s="9"/>
      <c r="NO915" s="9"/>
      <c r="NP915" s="9"/>
      <c r="NQ915" s="9"/>
      <c r="NR915" s="9"/>
      <c r="NS915" s="9"/>
      <c r="NT915" s="9"/>
      <c r="NU915" s="9"/>
      <c r="NV915" s="9"/>
      <c r="NW915" s="9"/>
      <c r="NX915" s="9"/>
      <c r="NY915" s="9"/>
      <c r="NZ915" s="9"/>
      <c r="OA915" s="9"/>
      <c r="OB915" s="9"/>
      <c r="OC915" s="9"/>
      <c r="OD915" s="9"/>
      <c r="OE915" s="9"/>
      <c r="OF915" s="9"/>
      <c r="OG915" s="9"/>
      <c r="OH915" s="9"/>
      <c r="OI915" s="9"/>
      <c r="OJ915" s="9"/>
      <c r="OK915" s="9"/>
      <c r="OL915" s="9"/>
      <c r="OM915" s="9"/>
      <c r="ON915" s="9"/>
      <c r="OO915" s="9"/>
      <c r="OP915" s="9"/>
      <c r="OQ915" s="9"/>
      <c r="OR915" s="9"/>
      <c r="OS915" s="9"/>
      <c r="OT915" s="9"/>
      <c r="OU915" s="9"/>
      <c r="OV915" s="9"/>
      <c r="OW915" s="9"/>
      <c r="OX915" s="9"/>
      <c r="OY915" s="9"/>
      <c r="OZ915" s="9"/>
      <c r="PA915" s="9"/>
      <c r="PB915" s="9"/>
      <c r="PC915" s="9"/>
      <c r="PD915" s="9"/>
      <c r="PE915" s="9"/>
      <c r="PF915" s="9"/>
      <c r="PG915" s="9"/>
      <c r="PH915" s="9"/>
      <c r="PI915" s="9"/>
      <c r="PJ915" s="9"/>
      <c r="PK915" s="9"/>
      <c r="PL915" s="9"/>
      <c r="PM915" s="9"/>
      <c r="PN915" s="9"/>
      <c r="PO915" s="9"/>
      <c r="PP915" s="9"/>
      <c r="PQ915" s="9"/>
      <c r="PR915" s="9"/>
      <c r="PS915" s="9"/>
      <c r="PT915" s="9"/>
      <c r="PU915" s="9"/>
      <c r="PV915" s="9"/>
      <c r="PW915" s="9"/>
      <c r="PX915" s="9"/>
      <c r="PY915" s="9"/>
      <c r="PZ915" s="9"/>
      <c r="QA915" s="9"/>
      <c r="QB915" s="9"/>
      <c r="QC915" s="9"/>
      <c r="QD915" s="9"/>
      <c r="QE915" s="9"/>
      <c r="QF915" s="9"/>
      <c r="QG915" s="9"/>
      <c r="QH915" s="9"/>
      <c r="QI915" s="9"/>
      <c r="QJ915" s="9"/>
      <c r="QK915" s="9"/>
      <c r="QL915" s="9"/>
      <c r="QM915" s="9"/>
      <c r="QN915" s="9"/>
      <c r="QO915" s="9"/>
      <c r="QP915" s="9"/>
      <c r="QQ915" s="9"/>
      <c r="QR915" s="9"/>
      <c r="QS915" s="9"/>
      <c r="QT915" s="9"/>
      <c r="QU915" s="9"/>
      <c r="QV915" s="9"/>
      <c r="QW915" s="9"/>
      <c r="QX915" s="9"/>
      <c r="QY915" s="9"/>
      <c r="QZ915" s="9"/>
      <c r="RA915" s="9"/>
      <c r="RB915" s="9"/>
      <c r="RC915" s="9"/>
      <c r="RD915" s="9"/>
      <c r="RE915" s="9"/>
      <c r="RF915" s="9"/>
      <c r="RG915" s="9"/>
      <c r="RH915" s="9"/>
      <c r="RI915" s="9"/>
      <c r="RJ915" s="9"/>
      <c r="RK915" s="9"/>
      <c r="RL915" s="9"/>
      <c r="RM915" s="9"/>
      <c r="RN915" s="9"/>
      <c r="RO915" s="9"/>
      <c r="RP915" s="9"/>
      <c r="RQ915" s="9"/>
      <c r="RR915" s="9"/>
      <c r="RS915" s="9"/>
      <c r="RT915" s="9"/>
      <c r="RU915" s="9"/>
      <c r="RV915" s="9"/>
      <c r="RW915" s="9"/>
      <c r="RX915" s="9"/>
      <c r="RY915" s="9"/>
      <c r="RZ915" s="9"/>
      <c r="SA915" s="9"/>
      <c r="SB915" s="9"/>
      <c r="SC915" s="9"/>
      <c r="SD915" s="9"/>
      <c r="SE915" s="9"/>
      <c r="SF915" s="9"/>
      <c r="SG915" s="9"/>
      <c r="SH915" s="9"/>
      <c r="SI915" s="9"/>
      <c r="SJ915" s="9"/>
      <c r="SK915" s="9"/>
      <c r="SL915" s="9"/>
      <c r="SM915" s="9"/>
      <c r="SN915" s="9"/>
      <c r="SO915" s="9"/>
      <c r="SP915" s="9"/>
      <c r="SQ915" s="9"/>
      <c r="SR915" s="9"/>
      <c r="SS915" s="9"/>
      <c r="ST915" s="9"/>
      <c r="SU915" s="9"/>
      <c r="SV915" s="9"/>
      <c r="SW915" s="9"/>
      <c r="SX915" s="9"/>
      <c r="SY915" s="9"/>
      <c r="SZ915" s="9"/>
      <c r="TA915" s="9"/>
      <c r="TB915" s="9"/>
      <c r="TC915" s="9"/>
      <c r="TD915" s="9"/>
      <c r="TE915" s="9"/>
      <c r="TF915" s="9"/>
      <c r="TG915" s="9"/>
      <c r="TH915" s="9"/>
      <c r="TI915" s="9"/>
      <c r="TJ915" s="9"/>
      <c r="TK915" s="9"/>
      <c r="TL915" s="9"/>
      <c r="TM915" s="9"/>
      <c r="TN915" s="9"/>
      <c r="TO915" s="9"/>
      <c r="TP915" s="9"/>
      <c r="TQ915" s="9"/>
      <c r="TR915" s="9"/>
      <c r="TS915" s="9"/>
      <c r="TT915" s="9"/>
      <c r="TU915" s="9"/>
      <c r="TV915" s="9"/>
      <c r="TW915" s="9"/>
      <c r="TX915" s="9"/>
      <c r="TY915" s="9"/>
      <c r="TZ915" s="9"/>
      <c r="UA915" s="9"/>
      <c r="UB915" s="9"/>
      <c r="UC915" s="9"/>
      <c r="UD915" s="9"/>
      <c r="UE915" s="9"/>
      <c r="UF915" s="9"/>
      <c r="UG915" s="9"/>
      <c r="UH915" s="9"/>
      <c r="UI915" s="9"/>
      <c r="UJ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  <c r="GA916" s="9"/>
      <c r="GB916" s="9"/>
      <c r="GC916" s="9"/>
      <c r="GD916" s="9"/>
      <c r="GE916" s="9"/>
      <c r="GF916" s="9"/>
      <c r="GG916" s="9"/>
      <c r="GH916" s="9"/>
      <c r="GI916" s="9"/>
      <c r="GJ916" s="9"/>
      <c r="GK916" s="9"/>
      <c r="GL916" s="9"/>
      <c r="GM916" s="9"/>
      <c r="GN916" s="9"/>
      <c r="GO916" s="9"/>
      <c r="GP916" s="9"/>
      <c r="GQ916" s="9"/>
      <c r="GR916" s="9"/>
      <c r="GS916" s="9"/>
      <c r="GT916" s="9"/>
      <c r="GU916" s="9"/>
      <c r="GV916" s="9"/>
      <c r="GW916" s="9"/>
      <c r="GX916" s="9"/>
      <c r="GY916" s="9"/>
      <c r="GZ916" s="9"/>
      <c r="HA916" s="9"/>
      <c r="HB916" s="9"/>
      <c r="HC916" s="9"/>
      <c r="HD916" s="9"/>
      <c r="HE916" s="9"/>
      <c r="HF916" s="9"/>
      <c r="HG916" s="9"/>
      <c r="HH916" s="9"/>
      <c r="HI916" s="9"/>
      <c r="HJ916" s="9"/>
      <c r="HK916" s="9"/>
      <c r="HL916" s="9"/>
      <c r="HM916" s="9"/>
      <c r="HN916" s="9"/>
      <c r="HO916" s="9"/>
      <c r="HP916" s="9"/>
      <c r="HQ916" s="9"/>
      <c r="HR916" s="9"/>
      <c r="HS916" s="9"/>
      <c r="HT916" s="9"/>
      <c r="HU916" s="9"/>
      <c r="HV916" s="9"/>
      <c r="HW916" s="9"/>
      <c r="HX916" s="9"/>
      <c r="HY916" s="9"/>
      <c r="HZ916" s="9"/>
      <c r="IA916" s="9"/>
      <c r="IB916" s="9"/>
      <c r="IC916" s="9"/>
      <c r="ID916" s="9"/>
      <c r="IE916" s="9"/>
      <c r="IF916" s="9"/>
      <c r="IG916" s="9"/>
      <c r="IH916" s="9"/>
      <c r="II916" s="9"/>
      <c r="IJ916" s="9"/>
      <c r="IK916" s="9"/>
      <c r="IL916" s="9"/>
      <c r="IM916" s="9"/>
      <c r="IN916" s="9"/>
      <c r="IO916" s="9"/>
      <c r="IP916" s="9"/>
      <c r="IQ916" s="9"/>
      <c r="IR916" s="9"/>
      <c r="IS916" s="9"/>
      <c r="IT916" s="9"/>
      <c r="IU916" s="9"/>
      <c r="IV916" s="9"/>
      <c r="IW916" s="9"/>
      <c r="IX916" s="9"/>
      <c r="IY916" s="9"/>
      <c r="IZ916" s="9"/>
      <c r="JA916" s="9"/>
      <c r="JB916" s="9"/>
      <c r="JC916" s="9"/>
      <c r="JD916" s="9"/>
      <c r="JE916" s="9"/>
      <c r="JF916" s="9"/>
      <c r="JG916" s="9"/>
      <c r="JH916" s="9"/>
      <c r="JI916" s="9"/>
      <c r="JJ916" s="9"/>
      <c r="JK916" s="9"/>
      <c r="JL916" s="9"/>
      <c r="JM916" s="9"/>
      <c r="JN916" s="9"/>
      <c r="JO916" s="9"/>
      <c r="JP916" s="9"/>
      <c r="JQ916" s="9"/>
      <c r="JR916" s="9"/>
      <c r="JS916" s="9"/>
      <c r="JT916" s="9"/>
      <c r="JU916" s="9"/>
      <c r="JV916" s="9"/>
      <c r="JW916" s="9"/>
      <c r="JX916" s="9"/>
      <c r="JY916" s="9"/>
      <c r="JZ916" s="9"/>
      <c r="KA916" s="9"/>
      <c r="KB916" s="9"/>
      <c r="KC916" s="9"/>
      <c r="KD916" s="9"/>
      <c r="KE916" s="9"/>
      <c r="KF916" s="9"/>
      <c r="KG916" s="9"/>
      <c r="KH916" s="9"/>
      <c r="KI916" s="9"/>
      <c r="KJ916" s="9"/>
      <c r="KK916" s="9"/>
      <c r="KL916" s="9"/>
      <c r="KM916" s="9"/>
      <c r="KN916" s="9"/>
      <c r="KO916" s="9"/>
      <c r="KP916" s="9"/>
      <c r="KQ916" s="9"/>
      <c r="KR916" s="9"/>
      <c r="KS916" s="9"/>
      <c r="KT916" s="9"/>
      <c r="KU916" s="9"/>
      <c r="KV916" s="9"/>
      <c r="KW916" s="9"/>
      <c r="KX916" s="9"/>
      <c r="KY916" s="9"/>
      <c r="KZ916" s="9"/>
      <c r="LA916" s="9"/>
      <c r="LB916" s="9"/>
      <c r="LC916" s="9"/>
      <c r="LD916" s="9"/>
      <c r="LE916" s="9"/>
      <c r="LF916" s="9"/>
      <c r="LG916" s="9"/>
      <c r="LH916" s="9"/>
      <c r="LI916" s="9"/>
      <c r="LJ916" s="9"/>
      <c r="LK916" s="9"/>
      <c r="LL916" s="9"/>
      <c r="LM916" s="9"/>
      <c r="LN916" s="9"/>
      <c r="LO916" s="9"/>
      <c r="LP916" s="9"/>
      <c r="LQ916" s="9"/>
      <c r="LR916" s="9"/>
      <c r="LS916" s="9"/>
      <c r="LT916" s="9"/>
      <c r="LU916" s="9"/>
      <c r="LV916" s="9"/>
      <c r="LW916" s="9"/>
      <c r="LX916" s="9"/>
      <c r="LY916" s="9"/>
      <c r="LZ916" s="9"/>
      <c r="MA916" s="9"/>
      <c r="MB916" s="9"/>
      <c r="MC916" s="9"/>
      <c r="MD916" s="9"/>
      <c r="ME916" s="9"/>
      <c r="MF916" s="9"/>
      <c r="MG916" s="9"/>
      <c r="MH916" s="9"/>
      <c r="MI916" s="9"/>
      <c r="MJ916" s="9"/>
      <c r="MK916" s="9"/>
      <c r="ML916" s="9"/>
      <c r="MM916" s="9"/>
      <c r="MN916" s="9"/>
      <c r="MO916" s="9"/>
      <c r="MP916" s="9"/>
      <c r="MQ916" s="9"/>
      <c r="MR916" s="9"/>
      <c r="MS916" s="9"/>
      <c r="MT916" s="9"/>
      <c r="MU916" s="9"/>
      <c r="MV916" s="9"/>
      <c r="MW916" s="9"/>
      <c r="MX916" s="9"/>
      <c r="MY916" s="9"/>
      <c r="MZ916" s="9"/>
      <c r="NA916" s="9"/>
      <c r="NB916" s="9"/>
      <c r="NC916" s="9"/>
      <c r="ND916" s="9"/>
      <c r="NE916" s="9"/>
      <c r="NF916" s="9"/>
      <c r="NG916" s="9"/>
      <c r="NH916" s="9"/>
      <c r="NI916" s="9"/>
      <c r="NJ916" s="9"/>
      <c r="NK916" s="9"/>
      <c r="NL916" s="9"/>
      <c r="NM916" s="9"/>
      <c r="NN916" s="9"/>
      <c r="NO916" s="9"/>
      <c r="NP916" s="9"/>
      <c r="NQ916" s="9"/>
      <c r="NR916" s="9"/>
      <c r="NS916" s="9"/>
      <c r="NT916" s="9"/>
      <c r="NU916" s="9"/>
      <c r="NV916" s="9"/>
      <c r="NW916" s="9"/>
      <c r="NX916" s="9"/>
      <c r="NY916" s="9"/>
      <c r="NZ916" s="9"/>
      <c r="OA916" s="9"/>
      <c r="OB916" s="9"/>
      <c r="OC916" s="9"/>
      <c r="OD916" s="9"/>
      <c r="OE916" s="9"/>
      <c r="OF916" s="9"/>
      <c r="OG916" s="9"/>
      <c r="OH916" s="9"/>
      <c r="OI916" s="9"/>
      <c r="OJ916" s="9"/>
      <c r="OK916" s="9"/>
      <c r="OL916" s="9"/>
      <c r="OM916" s="9"/>
      <c r="ON916" s="9"/>
      <c r="OO916" s="9"/>
      <c r="OP916" s="9"/>
      <c r="OQ916" s="9"/>
      <c r="OR916" s="9"/>
      <c r="OS916" s="9"/>
      <c r="OT916" s="9"/>
      <c r="OU916" s="9"/>
      <c r="OV916" s="9"/>
      <c r="OW916" s="9"/>
      <c r="OX916" s="9"/>
      <c r="OY916" s="9"/>
      <c r="OZ916" s="9"/>
      <c r="PA916" s="9"/>
      <c r="PB916" s="9"/>
      <c r="PC916" s="9"/>
      <c r="PD916" s="9"/>
      <c r="PE916" s="9"/>
      <c r="PF916" s="9"/>
      <c r="PG916" s="9"/>
      <c r="PH916" s="9"/>
      <c r="PI916" s="9"/>
      <c r="PJ916" s="9"/>
      <c r="PK916" s="9"/>
      <c r="PL916" s="9"/>
      <c r="PM916" s="9"/>
      <c r="PN916" s="9"/>
      <c r="PO916" s="9"/>
      <c r="PP916" s="9"/>
      <c r="PQ916" s="9"/>
      <c r="PR916" s="9"/>
      <c r="PS916" s="9"/>
      <c r="PT916" s="9"/>
      <c r="PU916" s="9"/>
      <c r="PV916" s="9"/>
      <c r="PW916" s="9"/>
      <c r="PX916" s="9"/>
      <c r="PY916" s="9"/>
      <c r="PZ916" s="9"/>
      <c r="QA916" s="9"/>
      <c r="QB916" s="9"/>
      <c r="QC916" s="9"/>
      <c r="QD916" s="9"/>
      <c r="QE916" s="9"/>
      <c r="QF916" s="9"/>
      <c r="QG916" s="9"/>
      <c r="QH916" s="9"/>
      <c r="QI916" s="9"/>
      <c r="QJ916" s="9"/>
      <c r="QK916" s="9"/>
      <c r="QL916" s="9"/>
      <c r="QM916" s="9"/>
      <c r="QN916" s="9"/>
      <c r="QO916" s="9"/>
      <c r="QP916" s="9"/>
      <c r="QQ916" s="9"/>
      <c r="QR916" s="9"/>
      <c r="QS916" s="9"/>
      <c r="QT916" s="9"/>
      <c r="QU916" s="9"/>
      <c r="QV916" s="9"/>
      <c r="QW916" s="9"/>
      <c r="QX916" s="9"/>
      <c r="QY916" s="9"/>
      <c r="QZ916" s="9"/>
      <c r="RA916" s="9"/>
      <c r="RB916" s="9"/>
      <c r="RC916" s="9"/>
      <c r="RD916" s="9"/>
      <c r="RE916" s="9"/>
      <c r="RF916" s="9"/>
      <c r="RG916" s="9"/>
      <c r="RH916" s="9"/>
      <c r="RI916" s="9"/>
      <c r="RJ916" s="9"/>
      <c r="RK916" s="9"/>
      <c r="RL916" s="9"/>
      <c r="RM916" s="9"/>
      <c r="RN916" s="9"/>
      <c r="RO916" s="9"/>
      <c r="RP916" s="9"/>
      <c r="RQ916" s="9"/>
      <c r="RR916" s="9"/>
      <c r="RS916" s="9"/>
      <c r="RT916" s="9"/>
      <c r="RU916" s="9"/>
      <c r="RV916" s="9"/>
      <c r="RW916" s="9"/>
      <c r="RX916" s="9"/>
      <c r="RY916" s="9"/>
      <c r="RZ916" s="9"/>
      <c r="SA916" s="9"/>
      <c r="SB916" s="9"/>
      <c r="SC916" s="9"/>
      <c r="SD916" s="9"/>
      <c r="SE916" s="9"/>
      <c r="SF916" s="9"/>
      <c r="SG916" s="9"/>
      <c r="SH916" s="9"/>
      <c r="SI916" s="9"/>
      <c r="SJ916" s="9"/>
      <c r="SK916" s="9"/>
      <c r="SL916" s="9"/>
      <c r="SM916" s="9"/>
      <c r="SN916" s="9"/>
      <c r="SO916" s="9"/>
      <c r="SP916" s="9"/>
      <c r="SQ916" s="9"/>
      <c r="SR916" s="9"/>
      <c r="SS916" s="9"/>
      <c r="ST916" s="9"/>
      <c r="SU916" s="9"/>
      <c r="SV916" s="9"/>
      <c r="SW916" s="9"/>
      <c r="SX916" s="9"/>
      <c r="SY916" s="9"/>
      <c r="SZ916" s="9"/>
      <c r="TA916" s="9"/>
      <c r="TB916" s="9"/>
      <c r="TC916" s="9"/>
      <c r="TD916" s="9"/>
      <c r="TE916" s="9"/>
      <c r="TF916" s="9"/>
      <c r="TG916" s="9"/>
      <c r="TH916" s="9"/>
      <c r="TI916" s="9"/>
      <c r="TJ916" s="9"/>
      <c r="TK916" s="9"/>
      <c r="TL916" s="9"/>
      <c r="TM916" s="9"/>
      <c r="TN916" s="9"/>
      <c r="TO916" s="9"/>
      <c r="TP916" s="9"/>
      <c r="TQ916" s="9"/>
      <c r="TR916" s="9"/>
      <c r="TS916" s="9"/>
      <c r="TT916" s="9"/>
      <c r="TU916" s="9"/>
      <c r="TV916" s="9"/>
      <c r="TW916" s="9"/>
      <c r="TX916" s="9"/>
      <c r="TY916" s="9"/>
      <c r="TZ916" s="9"/>
      <c r="UA916" s="9"/>
      <c r="UB916" s="9"/>
      <c r="UC916" s="9"/>
      <c r="UD916" s="9"/>
      <c r="UE916" s="9"/>
      <c r="UF916" s="9"/>
      <c r="UG916" s="9"/>
      <c r="UH916" s="9"/>
      <c r="UI916" s="9"/>
      <c r="UJ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  <c r="HO917" s="9"/>
      <c r="HP917" s="9"/>
      <c r="HQ917" s="9"/>
      <c r="HR917" s="9"/>
      <c r="HS917" s="9"/>
      <c r="HT917" s="9"/>
      <c r="HU917" s="9"/>
      <c r="HV917" s="9"/>
      <c r="HW917" s="9"/>
      <c r="HX917" s="9"/>
      <c r="HY917" s="9"/>
      <c r="HZ917" s="9"/>
      <c r="IA917" s="9"/>
      <c r="IB917" s="9"/>
      <c r="IC917" s="9"/>
      <c r="ID917" s="9"/>
      <c r="IE917" s="9"/>
      <c r="IF917" s="9"/>
      <c r="IG917" s="9"/>
      <c r="IH917" s="9"/>
      <c r="II917" s="9"/>
      <c r="IJ917" s="9"/>
      <c r="IK917" s="9"/>
      <c r="IL917" s="9"/>
      <c r="IM917" s="9"/>
      <c r="IN917" s="9"/>
      <c r="IO917" s="9"/>
      <c r="IP917" s="9"/>
      <c r="IQ917" s="9"/>
      <c r="IR917" s="9"/>
      <c r="IS917" s="9"/>
      <c r="IT917" s="9"/>
      <c r="IU917" s="9"/>
      <c r="IV917" s="9"/>
      <c r="IW917" s="9"/>
      <c r="IX917" s="9"/>
      <c r="IY917" s="9"/>
      <c r="IZ917" s="9"/>
      <c r="JA917" s="9"/>
      <c r="JB917" s="9"/>
      <c r="JC917" s="9"/>
      <c r="JD917" s="9"/>
      <c r="JE917" s="9"/>
      <c r="JF917" s="9"/>
      <c r="JG917" s="9"/>
      <c r="JH917" s="9"/>
      <c r="JI917" s="9"/>
      <c r="JJ917" s="9"/>
      <c r="JK917" s="9"/>
      <c r="JL917" s="9"/>
      <c r="JM917" s="9"/>
      <c r="JN917" s="9"/>
      <c r="JO917" s="9"/>
      <c r="JP917" s="9"/>
      <c r="JQ917" s="9"/>
      <c r="JR917" s="9"/>
      <c r="JS917" s="9"/>
      <c r="JT917" s="9"/>
      <c r="JU917" s="9"/>
      <c r="JV917" s="9"/>
      <c r="JW917" s="9"/>
      <c r="JX917" s="9"/>
      <c r="JY917" s="9"/>
      <c r="JZ917" s="9"/>
      <c r="KA917" s="9"/>
      <c r="KB917" s="9"/>
      <c r="KC917" s="9"/>
      <c r="KD917" s="9"/>
      <c r="KE917" s="9"/>
      <c r="KF917" s="9"/>
      <c r="KG917" s="9"/>
      <c r="KH917" s="9"/>
      <c r="KI917" s="9"/>
      <c r="KJ917" s="9"/>
      <c r="KK917" s="9"/>
      <c r="KL917" s="9"/>
      <c r="KM917" s="9"/>
      <c r="KN917" s="9"/>
      <c r="KO917" s="9"/>
      <c r="KP917" s="9"/>
      <c r="KQ917" s="9"/>
      <c r="KR917" s="9"/>
      <c r="KS917" s="9"/>
      <c r="KT917" s="9"/>
      <c r="KU917" s="9"/>
      <c r="KV917" s="9"/>
      <c r="KW917" s="9"/>
      <c r="KX917" s="9"/>
      <c r="KY917" s="9"/>
      <c r="KZ917" s="9"/>
      <c r="LA917" s="9"/>
      <c r="LB917" s="9"/>
      <c r="LC917" s="9"/>
      <c r="LD917" s="9"/>
      <c r="LE917" s="9"/>
      <c r="LF917" s="9"/>
      <c r="LG917" s="9"/>
      <c r="LH917" s="9"/>
      <c r="LI917" s="9"/>
      <c r="LJ917" s="9"/>
      <c r="LK917" s="9"/>
      <c r="LL917" s="9"/>
      <c r="LM917" s="9"/>
      <c r="LN917" s="9"/>
      <c r="LO917" s="9"/>
      <c r="LP917" s="9"/>
      <c r="LQ917" s="9"/>
      <c r="LR917" s="9"/>
      <c r="LS917" s="9"/>
      <c r="LT917" s="9"/>
      <c r="LU917" s="9"/>
      <c r="LV917" s="9"/>
      <c r="LW917" s="9"/>
      <c r="LX917" s="9"/>
      <c r="LY917" s="9"/>
      <c r="LZ917" s="9"/>
      <c r="MA917" s="9"/>
      <c r="MB917" s="9"/>
      <c r="MC917" s="9"/>
      <c r="MD917" s="9"/>
      <c r="ME917" s="9"/>
      <c r="MF917" s="9"/>
      <c r="MG917" s="9"/>
      <c r="MH917" s="9"/>
      <c r="MI917" s="9"/>
      <c r="MJ917" s="9"/>
      <c r="MK917" s="9"/>
      <c r="ML917" s="9"/>
      <c r="MM917" s="9"/>
      <c r="MN917" s="9"/>
      <c r="MO917" s="9"/>
      <c r="MP917" s="9"/>
      <c r="MQ917" s="9"/>
      <c r="MR917" s="9"/>
      <c r="MS917" s="9"/>
      <c r="MT917" s="9"/>
      <c r="MU917" s="9"/>
      <c r="MV917" s="9"/>
      <c r="MW917" s="9"/>
      <c r="MX917" s="9"/>
      <c r="MY917" s="9"/>
      <c r="MZ917" s="9"/>
      <c r="NA917" s="9"/>
      <c r="NB917" s="9"/>
      <c r="NC917" s="9"/>
      <c r="ND917" s="9"/>
      <c r="NE917" s="9"/>
      <c r="NF917" s="9"/>
      <c r="NG917" s="9"/>
      <c r="NH917" s="9"/>
      <c r="NI917" s="9"/>
      <c r="NJ917" s="9"/>
      <c r="NK917" s="9"/>
      <c r="NL917" s="9"/>
      <c r="NM917" s="9"/>
      <c r="NN917" s="9"/>
      <c r="NO917" s="9"/>
      <c r="NP917" s="9"/>
      <c r="NQ917" s="9"/>
      <c r="NR917" s="9"/>
      <c r="NS917" s="9"/>
      <c r="NT917" s="9"/>
      <c r="NU917" s="9"/>
      <c r="NV917" s="9"/>
      <c r="NW917" s="9"/>
      <c r="NX917" s="9"/>
      <c r="NY917" s="9"/>
      <c r="NZ917" s="9"/>
      <c r="OA917" s="9"/>
      <c r="OB917" s="9"/>
      <c r="OC917" s="9"/>
      <c r="OD917" s="9"/>
      <c r="OE917" s="9"/>
      <c r="OF917" s="9"/>
      <c r="OG917" s="9"/>
      <c r="OH917" s="9"/>
      <c r="OI917" s="9"/>
      <c r="OJ917" s="9"/>
      <c r="OK917" s="9"/>
      <c r="OL917" s="9"/>
      <c r="OM917" s="9"/>
      <c r="ON917" s="9"/>
      <c r="OO917" s="9"/>
      <c r="OP917" s="9"/>
      <c r="OQ917" s="9"/>
      <c r="OR917" s="9"/>
      <c r="OS917" s="9"/>
      <c r="OT917" s="9"/>
      <c r="OU917" s="9"/>
      <c r="OV917" s="9"/>
      <c r="OW917" s="9"/>
      <c r="OX917" s="9"/>
      <c r="OY917" s="9"/>
      <c r="OZ917" s="9"/>
      <c r="PA917" s="9"/>
      <c r="PB917" s="9"/>
      <c r="PC917" s="9"/>
      <c r="PD917" s="9"/>
      <c r="PE917" s="9"/>
      <c r="PF917" s="9"/>
      <c r="PG917" s="9"/>
      <c r="PH917" s="9"/>
      <c r="PI917" s="9"/>
      <c r="PJ917" s="9"/>
      <c r="PK917" s="9"/>
      <c r="PL917" s="9"/>
      <c r="PM917" s="9"/>
      <c r="PN917" s="9"/>
      <c r="PO917" s="9"/>
      <c r="PP917" s="9"/>
      <c r="PQ917" s="9"/>
      <c r="PR917" s="9"/>
      <c r="PS917" s="9"/>
      <c r="PT917" s="9"/>
      <c r="PU917" s="9"/>
      <c r="PV917" s="9"/>
      <c r="PW917" s="9"/>
      <c r="PX917" s="9"/>
      <c r="PY917" s="9"/>
      <c r="PZ917" s="9"/>
      <c r="QA917" s="9"/>
      <c r="QB917" s="9"/>
      <c r="QC917" s="9"/>
      <c r="QD917" s="9"/>
      <c r="QE917" s="9"/>
      <c r="QF917" s="9"/>
      <c r="QG917" s="9"/>
      <c r="QH917" s="9"/>
      <c r="QI917" s="9"/>
      <c r="QJ917" s="9"/>
      <c r="QK917" s="9"/>
      <c r="QL917" s="9"/>
      <c r="QM917" s="9"/>
      <c r="QN917" s="9"/>
      <c r="QO917" s="9"/>
      <c r="QP917" s="9"/>
      <c r="QQ917" s="9"/>
      <c r="QR917" s="9"/>
      <c r="QS917" s="9"/>
      <c r="QT917" s="9"/>
      <c r="QU917" s="9"/>
      <c r="QV917" s="9"/>
      <c r="QW917" s="9"/>
      <c r="QX917" s="9"/>
      <c r="QY917" s="9"/>
      <c r="QZ917" s="9"/>
      <c r="RA917" s="9"/>
      <c r="RB917" s="9"/>
      <c r="RC917" s="9"/>
      <c r="RD917" s="9"/>
      <c r="RE917" s="9"/>
      <c r="RF917" s="9"/>
      <c r="RG917" s="9"/>
      <c r="RH917" s="9"/>
      <c r="RI917" s="9"/>
      <c r="RJ917" s="9"/>
      <c r="RK917" s="9"/>
      <c r="RL917" s="9"/>
      <c r="RM917" s="9"/>
      <c r="RN917" s="9"/>
      <c r="RO917" s="9"/>
      <c r="RP917" s="9"/>
      <c r="RQ917" s="9"/>
      <c r="RR917" s="9"/>
      <c r="RS917" s="9"/>
      <c r="RT917" s="9"/>
      <c r="RU917" s="9"/>
      <c r="RV917" s="9"/>
      <c r="RW917" s="9"/>
      <c r="RX917" s="9"/>
      <c r="RY917" s="9"/>
      <c r="RZ917" s="9"/>
      <c r="SA917" s="9"/>
      <c r="SB917" s="9"/>
      <c r="SC917" s="9"/>
      <c r="SD917" s="9"/>
      <c r="SE917" s="9"/>
      <c r="SF917" s="9"/>
      <c r="SG917" s="9"/>
      <c r="SH917" s="9"/>
      <c r="SI917" s="9"/>
      <c r="SJ917" s="9"/>
      <c r="SK917" s="9"/>
      <c r="SL917" s="9"/>
      <c r="SM917" s="9"/>
      <c r="SN917" s="9"/>
      <c r="SO917" s="9"/>
      <c r="SP917" s="9"/>
      <c r="SQ917" s="9"/>
      <c r="SR917" s="9"/>
      <c r="SS917" s="9"/>
      <c r="ST917" s="9"/>
      <c r="SU917" s="9"/>
      <c r="SV917" s="9"/>
      <c r="SW917" s="9"/>
      <c r="SX917" s="9"/>
      <c r="SY917" s="9"/>
      <c r="SZ917" s="9"/>
      <c r="TA917" s="9"/>
      <c r="TB917" s="9"/>
      <c r="TC917" s="9"/>
      <c r="TD917" s="9"/>
      <c r="TE917" s="9"/>
      <c r="TF917" s="9"/>
      <c r="TG917" s="9"/>
      <c r="TH917" s="9"/>
      <c r="TI917" s="9"/>
      <c r="TJ917" s="9"/>
      <c r="TK917" s="9"/>
      <c r="TL917" s="9"/>
      <c r="TM917" s="9"/>
      <c r="TN917" s="9"/>
      <c r="TO917" s="9"/>
      <c r="TP917" s="9"/>
      <c r="TQ917" s="9"/>
      <c r="TR917" s="9"/>
      <c r="TS917" s="9"/>
      <c r="TT917" s="9"/>
      <c r="TU917" s="9"/>
      <c r="TV917" s="9"/>
      <c r="TW917" s="9"/>
      <c r="TX917" s="9"/>
      <c r="TY917" s="9"/>
      <c r="TZ917" s="9"/>
      <c r="UA917" s="9"/>
      <c r="UB917" s="9"/>
      <c r="UC917" s="9"/>
      <c r="UD917" s="9"/>
      <c r="UE917" s="9"/>
      <c r="UF917" s="9"/>
      <c r="UG917" s="9"/>
      <c r="UH917" s="9"/>
      <c r="UI917" s="9"/>
      <c r="UJ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9"/>
      <c r="GV918" s="9"/>
      <c r="GW918" s="9"/>
      <c r="GX918" s="9"/>
      <c r="GY918" s="9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  <c r="HO918" s="9"/>
      <c r="HP918" s="9"/>
      <c r="HQ918" s="9"/>
      <c r="HR918" s="9"/>
      <c r="HS918" s="9"/>
      <c r="HT918" s="9"/>
      <c r="HU918" s="9"/>
      <c r="HV918" s="9"/>
      <c r="HW918" s="9"/>
      <c r="HX918" s="9"/>
      <c r="HY918" s="9"/>
      <c r="HZ918" s="9"/>
      <c r="IA918" s="9"/>
      <c r="IB918" s="9"/>
      <c r="IC918" s="9"/>
      <c r="ID918" s="9"/>
      <c r="IE918" s="9"/>
      <c r="IF918" s="9"/>
      <c r="IG918" s="9"/>
      <c r="IH918" s="9"/>
      <c r="II918" s="9"/>
      <c r="IJ918" s="9"/>
      <c r="IK918" s="9"/>
      <c r="IL918" s="9"/>
      <c r="IM918" s="9"/>
      <c r="IN918" s="9"/>
      <c r="IO918" s="9"/>
      <c r="IP918" s="9"/>
      <c r="IQ918" s="9"/>
      <c r="IR918" s="9"/>
      <c r="IS918" s="9"/>
      <c r="IT918" s="9"/>
      <c r="IU918" s="9"/>
      <c r="IV918" s="9"/>
      <c r="IW918" s="9"/>
      <c r="IX918" s="9"/>
      <c r="IY918" s="9"/>
      <c r="IZ918" s="9"/>
      <c r="JA918" s="9"/>
      <c r="JB918" s="9"/>
      <c r="JC918" s="9"/>
      <c r="JD918" s="9"/>
      <c r="JE918" s="9"/>
      <c r="JF918" s="9"/>
      <c r="JG918" s="9"/>
      <c r="JH918" s="9"/>
      <c r="JI918" s="9"/>
      <c r="JJ918" s="9"/>
      <c r="JK918" s="9"/>
      <c r="JL918" s="9"/>
      <c r="JM918" s="9"/>
      <c r="JN918" s="9"/>
      <c r="JO918" s="9"/>
      <c r="JP918" s="9"/>
      <c r="JQ918" s="9"/>
      <c r="JR918" s="9"/>
      <c r="JS918" s="9"/>
      <c r="JT918" s="9"/>
      <c r="JU918" s="9"/>
      <c r="JV918" s="9"/>
      <c r="JW918" s="9"/>
      <c r="JX918" s="9"/>
      <c r="JY918" s="9"/>
      <c r="JZ918" s="9"/>
      <c r="KA918" s="9"/>
      <c r="KB918" s="9"/>
      <c r="KC918" s="9"/>
      <c r="KD918" s="9"/>
      <c r="KE918" s="9"/>
      <c r="KF918" s="9"/>
      <c r="KG918" s="9"/>
      <c r="KH918" s="9"/>
      <c r="KI918" s="9"/>
      <c r="KJ918" s="9"/>
      <c r="KK918" s="9"/>
      <c r="KL918" s="9"/>
      <c r="KM918" s="9"/>
      <c r="KN918" s="9"/>
      <c r="KO918" s="9"/>
      <c r="KP918" s="9"/>
      <c r="KQ918" s="9"/>
      <c r="KR918" s="9"/>
      <c r="KS918" s="9"/>
      <c r="KT918" s="9"/>
      <c r="KU918" s="9"/>
      <c r="KV918" s="9"/>
      <c r="KW918" s="9"/>
      <c r="KX918" s="9"/>
      <c r="KY918" s="9"/>
      <c r="KZ918" s="9"/>
      <c r="LA918" s="9"/>
      <c r="LB918" s="9"/>
      <c r="LC918" s="9"/>
      <c r="LD918" s="9"/>
      <c r="LE918" s="9"/>
      <c r="LF918" s="9"/>
      <c r="LG918" s="9"/>
      <c r="LH918" s="9"/>
      <c r="LI918" s="9"/>
      <c r="LJ918" s="9"/>
      <c r="LK918" s="9"/>
      <c r="LL918" s="9"/>
      <c r="LM918" s="9"/>
      <c r="LN918" s="9"/>
      <c r="LO918" s="9"/>
      <c r="LP918" s="9"/>
      <c r="LQ918" s="9"/>
      <c r="LR918" s="9"/>
      <c r="LS918" s="9"/>
      <c r="LT918" s="9"/>
      <c r="LU918" s="9"/>
      <c r="LV918" s="9"/>
      <c r="LW918" s="9"/>
      <c r="LX918" s="9"/>
      <c r="LY918" s="9"/>
      <c r="LZ918" s="9"/>
      <c r="MA918" s="9"/>
      <c r="MB918" s="9"/>
      <c r="MC918" s="9"/>
      <c r="MD918" s="9"/>
      <c r="ME918" s="9"/>
      <c r="MF918" s="9"/>
      <c r="MG918" s="9"/>
      <c r="MH918" s="9"/>
      <c r="MI918" s="9"/>
      <c r="MJ918" s="9"/>
      <c r="MK918" s="9"/>
      <c r="ML918" s="9"/>
      <c r="MM918" s="9"/>
      <c r="MN918" s="9"/>
      <c r="MO918" s="9"/>
      <c r="MP918" s="9"/>
      <c r="MQ918" s="9"/>
      <c r="MR918" s="9"/>
      <c r="MS918" s="9"/>
      <c r="MT918" s="9"/>
      <c r="MU918" s="9"/>
      <c r="MV918" s="9"/>
      <c r="MW918" s="9"/>
      <c r="MX918" s="9"/>
      <c r="MY918" s="9"/>
      <c r="MZ918" s="9"/>
      <c r="NA918" s="9"/>
      <c r="NB918" s="9"/>
      <c r="NC918" s="9"/>
      <c r="ND918" s="9"/>
      <c r="NE918" s="9"/>
      <c r="NF918" s="9"/>
      <c r="NG918" s="9"/>
      <c r="NH918" s="9"/>
      <c r="NI918" s="9"/>
      <c r="NJ918" s="9"/>
      <c r="NK918" s="9"/>
      <c r="NL918" s="9"/>
      <c r="NM918" s="9"/>
      <c r="NN918" s="9"/>
      <c r="NO918" s="9"/>
      <c r="NP918" s="9"/>
      <c r="NQ918" s="9"/>
      <c r="NR918" s="9"/>
      <c r="NS918" s="9"/>
      <c r="NT918" s="9"/>
      <c r="NU918" s="9"/>
      <c r="NV918" s="9"/>
      <c r="NW918" s="9"/>
      <c r="NX918" s="9"/>
      <c r="NY918" s="9"/>
      <c r="NZ918" s="9"/>
      <c r="OA918" s="9"/>
      <c r="OB918" s="9"/>
      <c r="OC918" s="9"/>
      <c r="OD918" s="9"/>
      <c r="OE918" s="9"/>
      <c r="OF918" s="9"/>
      <c r="OG918" s="9"/>
      <c r="OH918" s="9"/>
      <c r="OI918" s="9"/>
      <c r="OJ918" s="9"/>
      <c r="OK918" s="9"/>
      <c r="OL918" s="9"/>
      <c r="OM918" s="9"/>
      <c r="ON918" s="9"/>
      <c r="OO918" s="9"/>
      <c r="OP918" s="9"/>
      <c r="OQ918" s="9"/>
      <c r="OR918" s="9"/>
      <c r="OS918" s="9"/>
      <c r="OT918" s="9"/>
      <c r="OU918" s="9"/>
      <c r="OV918" s="9"/>
      <c r="OW918" s="9"/>
      <c r="OX918" s="9"/>
      <c r="OY918" s="9"/>
      <c r="OZ918" s="9"/>
      <c r="PA918" s="9"/>
      <c r="PB918" s="9"/>
      <c r="PC918" s="9"/>
      <c r="PD918" s="9"/>
      <c r="PE918" s="9"/>
      <c r="PF918" s="9"/>
      <c r="PG918" s="9"/>
      <c r="PH918" s="9"/>
      <c r="PI918" s="9"/>
      <c r="PJ918" s="9"/>
      <c r="PK918" s="9"/>
      <c r="PL918" s="9"/>
      <c r="PM918" s="9"/>
      <c r="PN918" s="9"/>
      <c r="PO918" s="9"/>
      <c r="PP918" s="9"/>
      <c r="PQ918" s="9"/>
      <c r="PR918" s="9"/>
      <c r="PS918" s="9"/>
      <c r="PT918" s="9"/>
      <c r="PU918" s="9"/>
      <c r="PV918" s="9"/>
      <c r="PW918" s="9"/>
      <c r="PX918" s="9"/>
      <c r="PY918" s="9"/>
      <c r="PZ918" s="9"/>
      <c r="QA918" s="9"/>
      <c r="QB918" s="9"/>
      <c r="QC918" s="9"/>
      <c r="QD918" s="9"/>
      <c r="QE918" s="9"/>
      <c r="QF918" s="9"/>
      <c r="QG918" s="9"/>
      <c r="QH918" s="9"/>
      <c r="QI918" s="9"/>
      <c r="QJ918" s="9"/>
      <c r="QK918" s="9"/>
      <c r="QL918" s="9"/>
      <c r="QM918" s="9"/>
      <c r="QN918" s="9"/>
      <c r="QO918" s="9"/>
      <c r="QP918" s="9"/>
      <c r="QQ918" s="9"/>
      <c r="QR918" s="9"/>
      <c r="QS918" s="9"/>
      <c r="QT918" s="9"/>
      <c r="QU918" s="9"/>
      <c r="QV918" s="9"/>
      <c r="QW918" s="9"/>
      <c r="QX918" s="9"/>
      <c r="QY918" s="9"/>
      <c r="QZ918" s="9"/>
      <c r="RA918" s="9"/>
      <c r="RB918" s="9"/>
      <c r="RC918" s="9"/>
      <c r="RD918" s="9"/>
      <c r="RE918" s="9"/>
      <c r="RF918" s="9"/>
      <c r="RG918" s="9"/>
      <c r="RH918" s="9"/>
      <c r="RI918" s="9"/>
      <c r="RJ918" s="9"/>
      <c r="RK918" s="9"/>
      <c r="RL918" s="9"/>
      <c r="RM918" s="9"/>
      <c r="RN918" s="9"/>
      <c r="RO918" s="9"/>
      <c r="RP918" s="9"/>
      <c r="RQ918" s="9"/>
      <c r="RR918" s="9"/>
      <c r="RS918" s="9"/>
      <c r="RT918" s="9"/>
      <c r="RU918" s="9"/>
      <c r="RV918" s="9"/>
      <c r="RW918" s="9"/>
      <c r="RX918" s="9"/>
      <c r="RY918" s="9"/>
      <c r="RZ918" s="9"/>
      <c r="SA918" s="9"/>
      <c r="SB918" s="9"/>
      <c r="SC918" s="9"/>
      <c r="SD918" s="9"/>
      <c r="SE918" s="9"/>
      <c r="SF918" s="9"/>
      <c r="SG918" s="9"/>
      <c r="SH918" s="9"/>
      <c r="SI918" s="9"/>
      <c r="SJ918" s="9"/>
      <c r="SK918" s="9"/>
      <c r="SL918" s="9"/>
      <c r="SM918" s="9"/>
      <c r="SN918" s="9"/>
      <c r="SO918" s="9"/>
      <c r="SP918" s="9"/>
      <c r="SQ918" s="9"/>
      <c r="SR918" s="9"/>
      <c r="SS918" s="9"/>
      <c r="ST918" s="9"/>
      <c r="SU918" s="9"/>
      <c r="SV918" s="9"/>
      <c r="SW918" s="9"/>
      <c r="SX918" s="9"/>
      <c r="SY918" s="9"/>
      <c r="SZ918" s="9"/>
      <c r="TA918" s="9"/>
      <c r="TB918" s="9"/>
      <c r="TC918" s="9"/>
      <c r="TD918" s="9"/>
      <c r="TE918" s="9"/>
      <c r="TF918" s="9"/>
      <c r="TG918" s="9"/>
      <c r="TH918" s="9"/>
      <c r="TI918" s="9"/>
      <c r="TJ918" s="9"/>
      <c r="TK918" s="9"/>
      <c r="TL918" s="9"/>
      <c r="TM918" s="9"/>
      <c r="TN918" s="9"/>
      <c r="TO918" s="9"/>
      <c r="TP918" s="9"/>
      <c r="TQ918" s="9"/>
      <c r="TR918" s="9"/>
      <c r="TS918" s="9"/>
      <c r="TT918" s="9"/>
      <c r="TU918" s="9"/>
      <c r="TV918" s="9"/>
      <c r="TW918" s="9"/>
      <c r="TX918" s="9"/>
      <c r="TY918" s="9"/>
      <c r="TZ918" s="9"/>
      <c r="UA918" s="9"/>
      <c r="UB918" s="9"/>
      <c r="UC918" s="9"/>
      <c r="UD918" s="9"/>
      <c r="UE918" s="9"/>
      <c r="UF918" s="9"/>
      <c r="UG918" s="9"/>
      <c r="UH918" s="9"/>
      <c r="UI918" s="9"/>
      <c r="UJ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  <c r="EW919" s="9"/>
      <c r="EX919" s="9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9"/>
      <c r="FP919" s="9"/>
      <c r="FQ919" s="9"/>
      <c r="FR919" s="9"/>
      <c r="FS919" s="9"/>
      <c r="FT919" s="9"/>
      <c r="FU919" s="9"/>
      <c r="FV919" s="9"/>
      <c r="FW919" s="9"/>
      <c r="FX919" s="9"/>
      <c r="FY919" s="9"/>
      <c r="FZ919" s="9"/>
      <c r="GA919" s="9"/>
      <c r="GB919" s="9"/>
      <c r="GC919" s="9"/>
      <c r="GD919" s="9"/>
      <c r="GE919" s="9"/>
      <c r="GF919" s="9"/>
      <c r="GG919" s="9"/>
      <c r="GH919" s="9"/>
      <c r="GI919" s="9"/>
      <c r="GJ919" s="9"/>
      <c r="GK919" s="9"/>
      <c r="GL919" s="9"/>
      <c r="GM919" s="9"/>
      <c r="GN919" s="9"/>
      <c r="GO919" s="9"/>
      <c r="GP919" s="9"/>
      <c r="GQ919" s="9"/>
      <c r="GR919" s="9"/>
      <c r="GS919" s="9"/>
      <c r="GT919" s="9"/>
      <c r="GU919" s="9"/>
      <c r="GV919" s="9"/>
      <c r="GW919" s="9"/>
      <c r="GX919" s="9"/>
      <c r="GY919" s="9"/>
      <c r="GZ919" s="9"/>
      <c r="HA919" s="9"/>
      <c r="HB919" s="9"/>
      <c r="HC919" s="9"/>
      <c r="HD919" s="9"/>
      <c r="HE919" s="9"/>
      <c r="HF919" s="9"/>
      <c r="HG919" s="9"/>
      <c r="HH919" s="9"/>
      <c r="HI919" s="9"/>
      <c r="HJ919" s="9"/>
      <c r="HK919" s="9"/>
      <c r="HL919" s="9"/>
      <c r="HM919" s="9"/>
      <c r="HN919" s="9"/>
      <c r="HO919" s="9"/>
      <c r="HP919" s="9"/>
      <c r="HQ919" s="9"/>
      <c r="HR919" s="9"/>
      <c r="HS919" s="9"/>
      <c r="HT919" s="9"/>
      <c r="HU919" s="9"/>
      <c r="HV919" s="9"/>
      <c r="HW919" s="9"/>
      <c r="HX919" s="9"/>
      <c r="HY919" s="9"/>
      <c r="HZ919" s="9"/>
      <c r="IA919" s="9"/>
      <c r="IB919" s="9"/>
      <c r="IC919" s="9"/>
      <c r="ID919" s="9"/>
      <c r="IE919" s="9"/>
      <c r="IF919" s="9"/>
      <c r="IG919" s="9"/>
      <c r="IH919" s="9"/>
      <c r="II919" s="9"/>
      <c r="IJ919" s="9"/>
      <c r="IK919" s="9"/>
      <c r="IL919" s="9"/>
      <c r="IM919" s="9"/>
      <c r="IN919" s="9"/>
      <c r="IO919" s="9"/>
      <c r="IP919" s="9"/>
      <c r="IQ919" s="9"/>
      <c r="IR919" s="9"/>
      <c r="IS919" s="9"/>
      <c r="IT919" s="9"/>
      <c r="IU919" s="9"/>
      <c r="IV919" s="9"/>
      <c r="IW919" s="9"/>
      <c r="IX919" s="9"/>
      <c r="IY919" s="9"/>
      <c r="IZ919" s="9"/>
      <c r="JA919" s="9"/>
      <c r="JB919" s="9"/>
      <c r="JC919" s="9"/>
      <c r="JD919" s="9"/>
      <c r="JE919" s="9"/>
      <c r="JF919" s="9"/>
      <c r="JG919" s="9"/>
      <c r="JH919" s="9"/>
      <c r="JI919" s="9"/>
      <c r="JJ919" s="9"/>
      <c r="JK919" s="9"/>
      <c r="JL919" s="9"/>
      <c r="JM919" s="9"/>
      <c r="JN919" s="9"/>
      <c r="JO919" s="9"/>
      <c r="JP919" s="9"/>
      <c r="JQ919" s="9"/>
      <c r="JR919" s="9"/>
      <c r="JS919" s="9"/>
      <c r="JT919" s="9"/>
      <c r="JU919" s="9"/>
      <c r="JV919" s="9"/>
      <c r="JW919" s="9"/>
      <c r="JX919" s="9"/>
      <c r="JY919" s="9"/>
      <c r="JZ919" s="9"/>
      <c r="KA919" s="9"/>
      <c r="KB919" s="9"/>
      <c r="KC919" s="9"/>
      <c r="KD919" s="9"/>
      <c r="KE919" s="9"/>
      <c r="KF919" s="9"/>
      <c r="KG919" s="9"/>
      <c r="KH919" s="9"/>
      <c r="KI919" s="9"/>
      <c r="KJ919" s="9"/>
      <c r="KK919" s="9"/>
      <c r="KL919" s="9"/>
      <c r="KM919" s="9"/>
      <c r="KN919" s="9"/>
      <c r="KO919" s="9"/>
      <c r="KP919" s="9"/>
      <c r="KQ919" s="9"/>
      <c r="KR919" s="9"/>
      <c r="KS919" s="9"/>
      <c r="KT919" s="9"/>
      <c r="KU919" s="9"/>
      <c r="KV919" s="9"/>
      <c r="KW919" s="9"/>
      <c r="KX919" s="9"/>
      <c r="KY919" s="9"/>
      <c r="KZ919" s="9"/>
      <c r="LA919" s="9"/>
      <c r="LB919" s="9"/>
      <c r="LC919" s="9"/>
      <c r="LD919" s="9"/>
      <c r="LE919" s="9"/>
      <c r="LF919" s="9"/>
      <c r="LG919" s="9"/>
      <c r="LH919" s="9"/>
      <c r="LI919" s="9"/>
      <c r="LJ919" s="9"/>
      <c r="LK919" s="9"/>
      <c r="LL919" s="9"/>
      <c r="LM919" s="9"/>
      <c r="LN919" s="9"/>
      <c r="LO919" s="9"/>
      <c r="LP919" s="9"/>
      <c r="LQ919" s="9"/>
      <c r="LR919" s="9"/>
      <c r="LS919" s="9"/>
      <c r="LT919" s="9"/>
      <c r="LU919" s="9"/>
      <c r="LV919" s="9"/>
      <c r="LW919" s="9"/>
      <c r="LX919" s="9"/>
      <c r="LY919" s="9"/>
      <c r="LZ919" s="9"/>
      <c r="MA919" s="9"/>
      <c r="MB919" s="9"/>
      <c r="MC919" s="9"/>
      <c r="MD919" s="9"/>
      <c r="ME919" s="9"/>
      <c r="MF919" s="9"/>
      <c r="MG919" s="9"/>
      <c r="MH919" s="9"/>
      <c r="MI919" s="9"/>
      <c r="MJ919" s="9"/>
      <c r="MK919" s="9"/>
      <c r="ML919" s="9"/>
      <c r="MM919" s="9"/>
      <c r="MN919" s="9"/>
      <c r="MO919" s="9"/>
      <c r="MP919" s="9"/>
      <c r="MQ919" s="9"/>
      <c r="MR919" s="9"/>
      <c r="MS919" s="9"/>
      <c r="MT919" s="9"/>
      <c r="MU919" s="9"/>
      <c r="MV919" s="9"/>
      <c r="MW919" s="9"/>
      <c r="MX919" s="9"/>
      <c r="MY919" s="9"/>
      <c r="MZ919" s="9"/>
      <c r="NA919" s="9"/>
      <c r="NB919" s="9"/>
      <c r="NC919" s="9"/>
      <c r="ND919" s="9"/>
      <c r="NE919" s="9"/>
      <c r="NF919" s="9"/>
      <c r="NG919" s="9"/>
      <c r="NH919" s="9"/>
      <c r="NI919" s="9"/>
      <c r="NJ919" s="9"/>
      <c r="NK919" s="9"/>
      <c r="NL919" s="9"/>
      <c r="NM919" s="9"/>
      <c r="NN919" s="9"/>
      <c r="NO919" s="9"/>
      <c r="NP919" s="9"/>
      <c r="NQ919" s="9"/>
      <c r="NR919" s="9"/>
      <c r="NS919" s="9"/>
      <c r="NT919" s="9"/>
      <c r="NU919" s="9"/>
      <c r="NV919" s="9"/>
      <c r="NW919" s="9"/>
      <c r="NX919" s="9"/>
      <c r="NY919" s="9"/>
      <c r="NZ919" s="9"/>
      <c r="OA919" s="9"/>
      <c r="OB919" s="9"/>
      <c r="OC919" s="9"/>
      <c r="OD919" s="9"/>
      <c r="OE919" s="9"/>
      <c r="OF919" s="9"/>
      <c r="OG919" s="9"/>
      <c r="OH919" s="9"/>
      <c r="OI919" s="9"/>
      <c r="OJ919" s="9"/>
      <c r="OK919" s="9"/>
      <c r="OL919" s="9"/>
      <c r="OM919" s="9"/>
      <c r="ON919" s="9"/>
      <c r="OO919" s="9"/>
      <c r="OP919" s="9"/>
      <c r="OQ919" s="9"/>
      <c r="OR919" s="9"/>
      <c r="OS919" s="9"/>
      <c r="OT919" s="9"/>
      <c r="OU919" s="9"/>
      <c r="OV919" s="9"/>
      <c r="OW919" s="9"/>
      <c r="OX919" s="9"/>
      <c r="OY919" s="9"/>
      <c r="OZ919" s="9"/>
      <c r="PA919" s="9"/>
      <c r="PB919" s="9"/>
      <c r="PC919" s="9"/>
      <c r="PD919" s="9"/>
      <c r="PE919" s="9"/>
      <c r="PF919" s="9"/>
      <c r="PG919" s="9"/>
      <c r="PH919" s="9"/>
      <c r="PI919" s="9"/>
      <c r="PJ919" s="9"/>
      <c r="PK919" s="9"/>
      <c r="PL919" s="9"/>
      <c r="PM919" s="9"/>
      <c r="PN919" s="9"/>
      <c r="PO919" s="9"/>
      <c r="PP919" s="9"/>
      <c r="PQ919" s="9"/>
      <c r="PR919" s="9"/>
      <c r="PS919" s="9"/>
      <c r="PT919" s="9"/>
      <c r="PU919" s="9"/>
      <c r="PV919" s="9"/>
      <c r="PW919" s="9"/>
      <c r="PX919" s="9"/>
      <c r="PY919" s="9"/>
      <c r="PZ919" s="9"/>
      <c r="QA919" s="9"/>
      <c r="QB919" s="9"/>
      <c r="QC919" s="9"/>
      <c r="QD919" s="9"/>
      <c r="QE919" s="9"/>
      <c r="QF919" s="9"/>
      <c r="QG919" s="9"/>
      <c r="QH919" s="9"/>
      <c r="QI919" s="9"/>
      <c r="QJ919" s="9"/>
      <c r="QK919" s="9"/>
      <c r="QL919" s="9"/>
      <c r="QM919" s="9"/>
      <c r="QN919" s="9"/>
      <c r="QO919" s="9"/>
      <c r="QP919" s="9"/>
      <c r="QQ919" s="9"/>
      <c r="QR919" s="9"/>
      <c r="QS919" s="9"/>
      <c r="QT919" s="9"/>
      <c r="QU919" s="9"/>
      <c r="QV919" s="9"/>
      <c r="QW919" s="9"/>
      <c r="QX919" s="9"/>
      <c r="QY919" s="9"/>
      <c r="QZ919" s="9"/>
      <c r="RA919" s="9"/>
      <c r="RB919" s="9"/>
      <c r="RC919" s="9"/>
      <c r="RD919" s="9"/>
      <c r="RE919" s="9"/>
      <c r="RF919" s="9"/>
      <c r="RG919" s="9"/>
      <c r="RH919" s="9"/>
      <c r="RI919" s="9"/>
      <c r="RJ919" s="9"/>
      <c r="RK919" s="9"/>
      <c r="RL919" s="9"/>
      <c r="RM919" s="9"/>
      <c r="RN919" s="9"/>
      <c r="RO919" s="9"/>
      <c r="RP919" s="9"/>
      <c r="RQ919" s="9"/>
      <c r="RR919" s="9"/>
      <c r="RS919" s="9"/>
      <c r="RT919" s="9"/>
      <c r="RU919" s="9"/>
      <c r="RV919" s="9"/>
      <c r="RW919" s="9"/>
      <c r="RX919" s="9"/>
      <c r="RY919" s="9"/>
      <c r="RZ919" s="9"/>
      <c r="SA919" s="9"/>
      <c r="SB919" s="9"/>
      <c r="SC919" s="9"/>
      <c r="SD919" s="9"/>
      <c r="SE919" s="9"/>
      <c r="SF919" s="9"/>
      <c r="SG919" s="9"/>
      <c r="SH919" s="9"/>
      <c r="SI919" s="9"/>
      <c r="SJ919" s="9"/>
      <c r="SK919" s="9"/>
      <c r="SL919" s="9"/>
      <c r="SM919" s="9"/>
      <c r="SN919" s="9"/>
      <c r="SO919" s="9"/>
      <c r="SP919" s="9"/>
      <c r="SQ919" s="9"/>
      <c r="SR919" s="9"/>
      <c r="SS919" s="9"/>
      <c r="ST919" s="9"/>
      <c r="SU919" s="9"/>
      <c r="SV919" s="9"/>
      <c r="SW919" s="9"/>
      <c r="SX919" s="9"/>
      <c r="SY919" s="9"/>
      <c r="SZ919" s="9"/>
      <c r="TA919" s="9"/>
      <c r="TB919" s="9"/>
      <c r="TC919" s="9"/>
      <c r="TD919" s="9"/>
      <c r="TE919" s="9"/>
      <c r="TF919" s="9"/>
      <c r="TG919" s="9"/>
      <c r="TH919" s="9"/>
      <c r="TI919" s="9"/>
      <c r="TJ919" s="9"/>
      <c r="TK919" s="9"/>
      <c r="TL919" s="9"/>
      <c r="TM919" s="9"/>
      <c r="TN919" s="9"/>
      <c r="TO919" s="9"/>
      <c r="TP919" s="9"/>
      <c r="TQ919" s="9"/>
      <c r="TR919" s="9"/>
      <c r="TS919" s="9"/>
      <c r="TT919" s="9"/>
      <c r="TU919" s="9"/>
      <c r="TV919" s="9"/>
      <c r="TW919" s="9"/>
      <c r="TX919" s="9"/>
      <c r="TY919" s="9"/>
      <c r="TZ919" s="9"/>
      <c r="UA919" s="9"/>
      <c r="UB919" s="9"/>
      <c r="UC919" s="9"/>
      <c r="UD919" s="9"/>
      <c r="UE919" s="9"/>
      <c r="UF919" s="9"/>
      <c r="UG919" s="9"/>
      <c r="UH919" s="9"/>
      <c r="UI919" s="9"/>
      <c r="UJ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  <c r="GA920" s="9"/>
      <c r="GB920" s="9"/>
      <c r="GC920" s="9"/>
      <c r="GD920" s="9"/>
      <c r="GE920" s="9"/>
      <c r="GF920" s="9"/>
      <c r="GG920" s="9"/>
      <c r="GH920" s="9"/>
      <c r="GI920" s="9"/>
      <c r="GJ920" s="9"/>
      <c r="GK920" s="9"/>
      <c r="GL920" s="9"/>
      <c r="GM920" s="9"/>
      <c r="GN920" s="9"/>
      <c r="GO920" s="9"/>
      <c r="GP920" s="9"/>
      <c r="GQ920" s="9"/>
      <c r="GR920" s="9"/>
      <c r="GS920" s="9"/>
      <c r="GT920" s="9"/>
      <c r="GU920" s="9"/>
      <c r="GV920" s="9"/>
      <c r="GW920" s="9"/>
      <c r="GX920" s="9"/>
      <c r="GY920" s="9"/>
      <c r="GZ920" s="9"/>
      <c r="HA920" s="9"/>
      <c r="HB920" s="9"/>
      <c r="HC920" s="9"/>
      <c r="HD920" s="9"/>
      <c r="HE920" s="9"/>
      <c r="HF920" s="9"/>
      <c r="HG920" s="9"/>
      <c r="HH920" s="9"/>
      <c r="HI920" s="9"/>
      <c r="HJ920" s="9"/>
      <c r="HK920" s="9"/>
      <c r="HL920" s="9"/>
      <c r="HM920" s="9"/>
      <c r="HN920" s="9"/>
      <c r="HO920" s="9"/>
      <c r="HP920" s="9"/>
      <c r="HQ920" s="9"/>
      <c r="HR920" s="9"/>
      <c r="HS920" s="9"/>
      <c r="HT920" s="9"/>
      <c r="HU920" s="9"/>
      <c r="HV920" s="9"/>
      <c r="HW920" s="9"/>
      <c r="HX920" s="9"/>
      <c r="HY920" s="9"/>
      <c r="HZ920" s="9"/>
      <c r="IA920" s="9"/>
      <c r="IB920" s="9"/>
      <c r="IC920" s="9"/>
      <c r="ID920" s="9"/>
      <c r="IE920" s="9"/>
      <c r="IF920" s="9"/>
      <c r="IG920" s="9"/>
      <c r="IH920" s="9"/>
      <c r="II920" s="9"/>
      <c r="IJ920" s="9"/>
      <c r="IK920" s="9"/>
      <c r="IL920" s="9"/>
      <c r="IM920" s="9"/>
      <c r="IN920" s="9"/>
      <c r="IO920" s="9"/>
      <c r="IP920" s="9"/>
      <c r="IQ920" s="9"/>
      <c r="IR920" s="9"/>
      <c r="IS920" s="9"/>
      <c r="IT920" s="9"/>
      <c r="IU920" s="9"/>
      <c r="IV920" s="9"/>
      <c r="IW920" s="9"/>
      <c r="IX920" s="9"/>
      <c r="IY920" s="9"/>
      <c r="IZ920" s="9"/>
      <c r="JA920" s="9"/>
      <c r="JB920" s="9"/>
      <c r="JC920" s="9"/>
      <c r="JD920" s="9"/>
      <c r="JE920" s="9"/>
      <c r="JF920" s="9"/>
      <c r="JG920" s="9"/>
      <c r="JH920" s="9"/>
      <c r="JI920" s="9"/>
      <c r="JJ920" s="9"/>
      <c r="JK920" s="9"/>
      <c r="JL920" s="9"/>
      <c r="JM920" s="9"/>
      <c r="JN920" s="9"/>
      <c r="JO920" s="9"/>
      <c r="JP920" s="9"/>
      <c r="JQ920" s="9"/>
      <c r="JR920" s="9"/>
      <c r="JS920" s="9"/>
      <c r="JT920" s="9"/>
      <c r="JU920" s="9"/>
      <c r="JV920" s="9"/>
      <c r="JW920" s="9"/>
      <c r="JX920" s="9"/>
      <c r="JY920" s="9"/>
      <c r="JZ920" s="9"/>
      <c r="KA920" s="9"/>
      <c r="KB920" s="9"/>
      <c r="KC920" s="9"/>
      <c r="KD920" s="9"/>
      <c r="KE920" s="9"/>
      <c r="KF920" s="9"/>
      <c r="KG920" s="9"/>
      <c r="KH920" s="9"/>
      <c r="KI920" s="9"/>
      <c r="KJ920" s="9"/>
      <c r="KK920" s="9"/>
      <c r="KL920" s="9"/>
      <c r="KM920" s="9"/>
      <c r="KN920" s="9"/>
      <c r="KO920" s="9"/>
      <c r="KP920" s="9"/>
      <c r="KQ920" s="9"/>
      <c r="KR920" s="9"/>
      <c r="KS920" s="9"/>
      <c r="KT920" s="9"/>
      <c r="KU920" s="9"/>
      <c r="KV920" s="9"/>
      <c r="KW920" s="9"/>
      <c r="KX920" s="9"/>
      <c r="KY920" s="9"/>
      <c r="KZ920" s="9"/>
      <c r="LA920" s="9"/>
      <c r="LB920" s="9"/>
      <c r="LC920" s="9"/>
      <c r="LD920" s="9"/>
      <c r="LE920" s="9"/>
      <c r="LF920" s="9"/>
      <c r="LG920" s="9"/>
      <c r="LH920" s="9"/>
      <c r="LI920" s="9"/>
      <c r="LJ920" s="9"/>
      <c r="LK920" s="9"/>
      <c r="LL920" s="9"/>
      <c r="LM920" s="9"/>
      <c r="LN920" s="9"/>
      <c r="LO920" s="9"/>
      <c r="LP920" s="9"/>
      <c r="LQ920" s="9"/>
      <c r="LR920" s="9"/>
      <c r="LS920" s="9"/>
      <c r="LT920" s="9"/>
      <c r="LU920" s="9"/>
      <c r="LV920" s="9"/>
      <c r="LW920" s="9"/>
      <c r="LX920" s="9"/>
      <c r="LY920" s="9"/>
      <c r="LZ920" s="9"/>
      <c r="MA920" s="9"/>
      <c r="MB920" s="9"/>
      <c r="MC920" s="9"/>
      <c r="MD920" s="9"/>
      <c r="ME920" s="9"/>
      <c r="MF920" s="9"/>
      <c r="MG920" s="9"/>
      <c r="MH920" s="9"/>
      <c r="MI920" s="9"/>
      <c r="MJ920" s="9"/>
      <c r="MK920" s="9"/>
      <c r="ML920" s="9"/>
      <c r="MM920" s="9"/>
      <c r="MN920" s="9"/>
      <c r="MO920" s="9"/>
      <c r="MP920" s="9"/>
      <c r="MQ920" s="9"/>
      <c r="MR920" s="9"/>
      <c r="MS920" s="9"/>
      <c r="MT920" s="9"/>
      <c r="MU920" s="9"/>
      <c r="MV920" s="9"/>
      <c r="MW920" s="9"/>
      <c r="MX920" s="9"/>
      <c r="MY920" s="9"/>
      <c r="MZ920" s="9"/>
      <c r="NA920" s="9"/>
      <c r="NB920" s="9"/>
      <c r="NC920" s="9"/>
      <c r="ND920" s="9"/>
      <c r="NE920" s="9"/>
      <c r="NF920" s="9"/>
      <c r="NG920" s="9"/>
      <c r="NH920" s="9"/>
      <c r="NI920" s="9"/>
      <c r="NJ920" s="9"/>
      <c r="NK920" s="9"/>
      <c r="NL920" s="9"/>
      <c r="NM920" s="9"/>
      <c r="NN920" s="9"/>
      <c r="NO920" s="9"/>
      <c r="NP920" s="9"/>
      <c r="NQ920" s="9"/>
      <c r="NR920" s="9"/>
      <c r="NS920" s="9"/>
      <c r="NT920" s="9"/>
      <c r="NU920" s="9"/>
      <c r="NV920" s="9"/>
      <c r="NW920" s="9"/>
      <c r="NX920" s="9"/>
      <c r="NY920" s="9"/>
      <c r="NZ920" s="9"/>
      <c r="OA920" s="9"/>
      <c r="OB920" s="9"/>
      <c r="OC920" s="9"/>
      <c r="OD920" s="9"/>
      <c r="OE920" s="9"/>
      <c r="OF920" s="9"/>
      <c r="OG920" s="9"/>
      <c r="OH920" s="9"/>
      <c r="OI920" s="9"/>
      <c r="OJ920" s="9"/>
      <c r="OK920" s="9"/>
      <c r="OL920" s="9"/>
      <c r="OM920" s="9"/>
      <c r="ON920" s="9"/>
      <c r="OO920" s="9"/>
      <c r="OP920" s="9"/>
      <c r="OQ920" s="9"/>
      <c r="OR920" s="9"/>
      <c r="OS920" s="9"/>
      <c r="OT920" s="9"/>
      <c r="OU920" s="9"/>
      <c r="OV920" s="9"/>
      <c r="OW920" s="9"/>
      <c r="OX920" s="9"/>
      <c r="OY920" s="9"/>
      <c r="OZ920" s="9"/>
      <c r="PA920" s="9"/>
      <c r="PB920" s="9"/>
      <c r="PC920" s="9"/>
      <c r="PD920" s="9"/>
      <c r="PE920" s="9"/>
      <c r="PF920" s="9"/>
      <c r="PG920" s="9"/>
      <c r="PH920" s="9"/>
      <c r="PI920" s="9"/>
      <c r="PJ920" s="9"/>
      <c r="PK920" s="9"/>
      <c r="PL920" s="9"/>
      <c r="PM920" s="9"/>
      <c r="PN920" s="9"/>
      <c r="PO920" s="9"/>
      <c r="PP920" s="9"/>
      <c r="PQ920" s="9"/>
      <c r="PR920" s="9"/>
      <c r="PS920" s="9"/>
      <c r="PT920" s="9"/>
      <c r="PU920" s="9"/>
      <c r="PV920" s="9"/>
      <c r="PW920" s="9"/>
      <c r="PX920" s="9"/>
      <c r="PY920" s="9"/>
      <c r="PZ920" s="9"/>
      <c r="QA920" s="9"/>
      <c r="QB920" s="9"/>
      <c r="QC920" s="9"/>
      <c r="QD920" s="9"/>
      <c r="QE920" s="9"/>
      <c r="QF920" s="9"/>
      <c r="QG920" s="9"/>
      <c r="QH920" s="9"/>
      <c r="QI920" s="9"/>
      <c r="QJ920" s="9"/>
      <c r="QK920" s="9"/>
      <c r="QL920" s="9"/>
      <c r="QM920" s="9"/>
      <c r="QN920" s="9"/>
      <c r="QO920" s="9"/>
      <c r="QP920" s="9"/>
      <c r="QQ920" s="9"/>
      <c r="QR920" s="9"/>
      <c r="QS920" s="9"/>
      <c r="QT920" s="9"/>
      <c r="QU920" s="9"/>
      <c r="QV920" s="9"/>
      <c r="QW920" s="9"/>
      <c r="QX920" s="9"/>
      <c r="QY920" s="9"/>
      <c r="QZ920" s="9"/>
      <c r="RA920" s="9"/>
      <c r="RB920" s="9"/>
      <c r="RC920" s="9"/>
      <c r="RD920" s="9"/>
      <c r="RE920" s="9"/>
      <c r="RF920" s="9"/>
      <c r="RG920" s="9"/>
      <c r="RH920" s="9"/>
      <c r="RI920" s="9"/>
      <c r="RJ920" s="9"/>
      <c r="RK920" s="9"/>
      <c r="RL920" s="9"/>
      <c r="RM920" s="9"/>
      <c r="RN920" s="9"/>
      <c r="RO920" s="9"/>
      <c r="RP920" s="9"/>
      <c r="RQ920" s="9"/>
      <c r="RR920" s="9"/>
      <c r="RS920" s="9"/>
      <c r="RT920" s="9"/>
      <c r="RU920" s="9"/>
      <c r="RV920" s="9"/>
      <c r="RW920" s="9"/>
      <c r="RX920" s="9"/>
      <c r="RY920" s="9"/>
      <c r="RZ920" s="9"/>
      <c r="SA920" s="9"/>
      <c r="SB920" s="9"/>
      <c r="SC920" s="9"/>
      <c r="SD920" s="9"/>
      <c r="SE920" s="9"/>
      <c r="SF920" s="9"/>
      <c r="SG920" s="9"/>
      <c r="SH920" s="9"/>
      <c r="SI920" s="9"/>
      <c r="SJ920" s="9"/>
      <c r="SK920" s="9"/>
      <c r="SL920" s="9"/>
      <c r="SM920" s="9"/>
      <c r="SN920" s="9"/>
      <c r="SO920" s="9"/>
      <c r="SP920" s="9"/>
      <c r="SQ920" s="9"/>
      <c r="SR920" s="9"/>
      <c r="SS920" s="9"/>
      <c r="ST920" s="9"/>
      <c r="SU920" s="9"/>
      <c r="SV920" s="9"/>
      <c r="SW920" s="9"/>
      <c r="SX920" s="9"/>
      <c r="SY920" s="9"/>
      <c r="SZ920" s="9"/>
      <c r="TA920" s="9"/>
      <c r="TB920" s="9"/>
      <c r="TC920" s="9"/>
      <c r="TD920" s="9"/>
      <c r="TE920" s="9"/>
      <c r="TF920" s="9"/>
      <c r="TG920" s="9"/>
      <c r="TH920" s="9"/>
      <c r="TI920" s="9"/>
      <c r="TJ920" s="9"/>
      <c r="TK920" s="9"/>
      <c r="TL920" s="9"/>
      <c r="TM920" s="9"/>
      <c r="TN920" s="9"/>
      <c r="TO920" s="9"/>
      <c r="TP920" s="9"/>
      <c r="TQ920" s="9"/>
      <c r="TR920" s="9"/>
      <c r="TS920" s="9"/>
      <c r="TT920" s="9"/>
      <c r="TU920" s="9"/>
      <c r="TV920" s="9"/>
      <c r="TW920" s="9"/>
      <c r="TX920" s="9"/>
      <c r="TY920" s="9"/>
      <c r="TZ920" s="9"/>
      <c r="UA920" s="9"/>
      <c r="UB920" s="9"/>
      <c r="UC920" s="9"/>
      <c r="UD920" s="9"/>
      <c r="UE920" s="9"/>
      <c r="UF920" s="9"/>
      <c r="UG920" s="9"/>
      <c r="UH920" s="9"/>
      <c r="UI920" s="9"/>
      <c r="UJ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9"/>
      <c r="FP921" s="9"/>
      <c r="FQ921" s="9"/>
      <c r="FR921" s="9"/>
      <c r="FS921" s="9"/>
      <c r="FT921" s="9"/>
      <c r="FU921" s="9"/>
      <c r="FV921" s="9"/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9"/>
      <c r="GH921" s="9"/>
      <c r="GI921" s="9"/>
      <c r="GJ921" s="9"/>
      <c r="GK921" s="9"/>
      <c r="GL921" s="9"/>
      <c r="GM921" s="9"/>
      <c r="GN921" s="9"/>
      <c r="GO921" s="9"/>
      <c r="GP921" s="9"/>
      <c r="GQ921" s="9"/>
      <c r="GR921" s="9"/>
      <c r="GS921" s="9"/>
      <c r="GT921" s="9"/>
      <c r="GU921" s="9"/>
      <c r="GV921" s="9"/>
      <c r="GW921" s="9"/>
      <c r="GX921" s="9"/>
      <c r="GY921" s="9"/>
      <c r="GZ921" s="9"/>
      <c r="HA921" s="9"/>
      <c r="HB921" s="9"/>
      <c r="HC921" s="9"/>
      <c r="HD921" s="9"/>
      <c r="HE921" s="9"/>
      <c r="HF921" s="9"/>
      <c r="HG921" s="9"/>
      <c r="HH921" s="9"/>
      <c r="HI921" s="9"/>
      <c r="HJ921" s="9"/>
      <c r="HK921" s="9"/>
      <c r="HL921" s="9"/>
      <c r="HM921" s="9"/>
      <c r="HN921" s="9"/>
      <c r="HO921" s="9"/>
      <c r="HP921" s="9"/>
      <c r="HQ921" s="9"/>
      <c r="HR921" s="9"/>
      <c r="HS921" s="9"/>
      <c r="HT921" s="9"/>
      <c r="HU921" s="9"/>
      <c r="HV921" s="9"/>
      <c r="HW921" s="9"/>
      <c r="HX921" s="9"/>
      <c r="HY921" s="9"/>
      <c r="HZ921" s="9"/>
      <c r="IA921" s="9"/>
      <c r="IB921" s="9"/>
      <c r="IC921" s="9"/>
      <c r="ID921" s="9"/>
      <c r="IE921" s="9"/>
      <c r="IF921" s="9"/>
      <c r="IG921" s="9"/>
      <c r="IH921" s="9"/>
      <c r="II921" s="9"/>
      <c r="IJ921" s="9"/>
      <c r="IK921" s="9"/>
      <c r="IL921" s="9"/>
      <c r="IM921" s="9"/>
      <c r="IN921" s="9"/>
      <c r="IO921" s="9"/>
      <c r="IP921" s="9"/>
      <c r="IQ921" s="9"/>
      <c r="IR921" s="9"/>
      <c r="IS921" s="9"/>
      <c r="IT921" s="9"/>
      <c r="IU921" s="9"/>
      <c r="IV921" s="9"/>
      <c r="IW921" s="9"/>
      <c r="IX921" s="9"/>
      <c r="IY921" s="9"/>
      <c r="IZ921" s="9"/>
      <c r="JA921" s="9"/>
      <c r="JB921" s="9"/>
      <c r="JC921" s="9"/>
      <c r="JD921" s="9"/>
      <c r="JE921" s="9"/>
      <c r="JF921" s="9"/>
      <c r="JG921" s="9"/>
      <c r="JH921" s="9"/>
      <c r="JI921" s="9"/>
      <c r="JJ921" s="9"/>
      <c r="JK921" s="9"/>
      <c r="JL921" s="9"/>
      <c r="JM921" s="9"/>
      <c r="JN921" s="9"/>
      <c r="JO921" s="9"/>
      <c r="JP921" s="9"/>
      <c r="JQ921" s="9"/>
      <c r="JR921" s="9"/>
      <c r="JS921" s="9"/>
      <c r="JT921" s="9"/>
      <c r="JU921" s="9"/>
      <c r="JV921" s="9"/>
      <c r="JW921" s="9"/>
      <c r="JX921" s="9"/>
      <c r="JY921" s="9"/>
      <c r="JZ921" s="9"/>
      <c r="KA921" s="9"/>
      <c r="KB921" s="9"/>
      <c r="KC921" s="9"/>
      <c r="KD921" s="9"/>
      <c r="KE921" s="9"/>
      <c r="KF921" s="9"/>
      <c r="KG921" s="9"/>
      <c r="KH921" s="9"/>
      <c r="KI921" s="9"/>
      <c r="KJ921" s="9"/>
      <c r="KK921" s="9"/>
      <c r="KL921" s="9"/>
      <c r="KM921" s="9"/>
      <c r="KN921" s="9"/>
      <c r="KO921" s="9"/>
      <c r="KP921" s="9"/>
      <c r="KQ921" s="9"/>
      <c r="KR921" s="9"/>
      <c r="KS921" s="9"/>
      <c r="KT921" s="9"/>
      <c r="KU921" s="9"/>
      <c r="KV921" s="9"/>
      <c r="KW921" s="9"/>
      <c r="KX921" s="9"/>
      <c r="KY921" s="9"/>
      <c r="KZ921" s="9"/>
      <c r="LA921" s="9"/>
      <c r="LB921" s="9"/>
      <c r="LC921" s="9"/>
      <c r="LD921" s="9"/>
      <c r="LE921" s="9"/>
      <c r="LF921" s="9"/>
      <c r="LG921" s="9"/>
      <c r="LH921" s="9"/>
      <c r="LI921" s="9"/>
      <c r="LJ921" s="9"/>
      <c r="LK921" s="9"/>
      <c r="LL921" s="9"/>
      <c r="LM921" s="9"/>
      <c r="LN921" s="9"/>
      <c r="LO921" s="9"/>
      <c r="LP921" s="9"/>
      <c r="LQ921" s="9"/>
      <c r="LR921" s="9"/>
      <c r="LS921" s="9"/>
      <c r="LT921" s="9"/>
      <c r="LU921" s="9"/>
      <c r="LV921" s="9"/>
      <c r="LW921" s="9"/>
      <c r="LX921" s="9"/>
      <c r="LY921" s="9"/>
      <c r="LZ921" s="9"/>
      <c r="MA921" s="9"/>
      <c r="MB921" s="9"/>
      <c r="MC921" s="9"/>
      <c r="MD921" s="9"/>
      <c r="ME921" s="9"/>
      <c r="MF921" s="9"/>
      <c r="MG921" s="9"/>
      <c r="MH921" s="9"/>
      <c r="MI921" s="9"/>
      <c r="MJ921" s="9"/>
      <c r="MK921" s="9"/>
      <c r="ML921" s="9"/>
      <c r="MM921" s="9"/>
      <c r="MN921" s="9"/>
      <c r="MO921" s="9"/>
      <c r="MP921" s="9"/>
      <c r="MQ921" s="9"/>
      <c r="MR921" s="9"/>
      <c r="MS921" s="9"/>
      <c r="MT921" s="9"/>
      <c r="MU921" s="9"/>
      <c r="MV921" s="9"/>
      <c r="MW921" s="9"/>
      <c r="MX921" s="9"/>
      <c r="MY921" s="9"/>
      <c r="MZ921" s="9"/>
      <c r="NA921" s="9"/>
      <c r="NB921" s="9"/>
      <c r="NC921" s="9"/>
      <c r="ND921" s="9"/>
      <c r="NE921" s="9"/>
      <c r="NF921" s="9"/>
      <c r="NG921" s="9"/>
      <c r="NH921" s="9"/>
      <c r="NI921" s="9"/>
      <c r="NJ921" s="9"/>
      <c r="NK921" s="9"/>
      <c r="NL921" s="9"/>
      <c r="NM921" s="9"/>
      <c r="NN921" s="9"/>
      <c r="NO921" s="9"/>
      <c r="NP921" s="9"/>
      <c r="NQ921" s="9"/>
      <c r="NR921" s="9"/>
      <c r="NS921" s="9"/>
      <c r="NT921" s="9"/>
      <c r="NU921" s="9"/>
      <c r="NV921" s="9"/>
      <c r="NW921" s="9"/>
      <c r="NX921" s="9"/>
      <c r="NY921" s="9"/>
      <c r="NZ921" s="9"/>
      <c r="OA921" s="9"/>
      <c r="OB921" s="9"/>
      <c r="OC921" s="9"/>
      <c r="OD921" s="9"/>
      <c r="OE921" s="9"/>
      <c r="OF921" s="9"/>
      <c r="OG921" s="9"/>
      <c r="OH921" s="9"/>
      <c r="OI921" s="9"/>
      <c r="OJ921" s="9"/>
      <c r="OK921" s="9"/>
      <c r="OL921" s="9"/>
      <c r="OM921" s="9"/>
      <c r="ON921" s="9"/>
      <c r="OO921" s="9"/>
      <c r="OP921" s="9"/>
      <c r="OQ921" s="9"/>
      <c r="OR921" s="9"/>
      <c r="OS921" s="9"/>
      <c r="OT921" s="9"/>
      <c r="OU921" s="9"/>
      <c r="OV921" s="9"/>
      <c r="OW921" s="9"/>
      <c r="OX921" s="9"/>
      <c r="OY921" s="9"/>
      <c r="OZ921" s="9"/>
      <c r="PA921" s="9"/>
      <c r="PB921" s="9"/>
      <c r="PC921" s="9"/>
      <c r="PD921" s="9"/>
      <c r="PE921" s="9"/>
      <c r="PF921" s="9"/>
      <c r="PG921" s="9"/>
      <c r="PH921" s="9"/>
      <c r="PI921" s="9"/>
      <c r="PJ921" s="9"/>
      <c r="PK921" s="9"/>
      <c r="PL921" s="9"/>
      <c r="PM921" s="9"/>
      <c r="PN921" s="9"/>
      <c r="PO921" s="9"/>
      <c r="PP921" s="9"/>
      <c r="PQ921" s="9"/>
      <c r="PR921" s="9"/>
      <c r="PS921" s="9"/>
      <c r="PT921" s="9"/>
      <c r="PU921" s="9"/>
      <c r="PV921" s="9"/>
      <c r="PW921" s="9"/>
      <c r="PX921" s="9"/>
      <c r="PY921" s="9"/>
      <c r="PZ921" s="9"/>
      <c r="QA921" s="9"/>
      <c r="QB921" s="9"/>
      <c r="QC921" s="9"/>
      <c r="QD921" s="9"/>
      <c r="QE921" s="9"/>
      <c r="QF921" s="9"/>
      <c r="QG921" s="9"/>
      <c r="QH921" s="9"/>
      <c r="QI921" s="9"/>
      <c r="QJ921" s="9"/>
      <c r="QK921" s="9"/>
      <c r="QL921" s="9"/>
      <c r="QM921" s="9"/>
      <c r="QN921" s="9"/>
      <c r="QO921" s="9"/>
      <c r="QP921" s="9"/>
      <c r="QQ921" s="9"/>
      <c r="QR921" s="9"/>
      <c r="QS921" s="9"/>
      <c r="QT921" s="9"/>
      <c r="QU921" s="9"/>
      <c r="QV921" s="9"/>
      <c r="QW921" s="9"/>
      <c r="QX921" s="9"/>
      <c r="QY921" s="9"/>
      <c r="QZ921" s="9"/>
      <c r="RA921" s="9"/>
      <c r="RB921" s="9"/>
      <c r="RC921" s="9"/>
      <c r="RD921" s="9"/>
      <c r="RE921" s="9"/>
      <c r="RF921" s="9"/>
      <c r="RG921" s="9"/>
      <c r="RH921" s="9"/>
      <c r="RI921" s="9"/>
      <c r="RJ921" s="9"/>
      <c r="RK921" s="9"/>
      <c r="RL921" s="9"/>
      <c r="RM921" s="9"/>
      <c r="RN921" s="9"/>
      <c r="RO921" s="9"/>
      <c r="RP921" s="9"/>
      <c r="RQ921" s="9"/>
      <c r="RR921" s="9"/>
      <c r="RS921" s="9"/>
      <c r="RT921" s="9"/>
      <c r="RU921" s="9"/>
      <c r="RV921" s="9"/>
      <c r="RW921" s="9"/>
      <c r="RX921" s="9"/>
      <c r="RY921" s="9"/>
      <c r="RZ921" s="9"/>
      <c r="SA921" s="9"/>
      <c r="SB921" s="9"/>
      <c r="SC921" s="9"/>
      <c r="SD921" s="9"/>
      <c r="SE921" s="9"/>
      <c r="SF921" s="9"/>
      <c r="SG921" s="9"/>
      <c r="SH921" s="9"/>
      <c r="SI921" s="9"/>
      <c r="SJ921" s="9"/>
      <c r="SK921" s="9"/>
      <c r="SL921" s="9"/>
      <c r="SM921" s="9"/>
      <c r="SN921" s="9"/>
      <c r="SO921" s="9"/>
      <c r="SP921" s="9"/>
      <c r="SQ921" s="9"/>
      <c r="SR921" s="9"/>
      <c r="SS921" s="9"/>
      <c r="ST921" s="9"/>
      <c r="SU921" s="9"/>
      <c r="SV921" s="9"/>
      <c r="SW921" s="9"/>
      <c r="SX921" s="9"/>
      <c r="SY921" s="9"/>
      <c r="SZ921" s="9"/>
      <c r="TA921" s="9"/>
      <c r="TB921" s="9"/>
      <c r="TC921" s="9"/>
      <c r="TD921" s="9"/>
      <c r="TE921" s="9"/>
      <c r="TF921" s="9"/>
      <c r="TG921" s="9"/>
      <c r="TH921" s="9"/>
      <c r="TI921" s="9"/>
      <c r="TJ921" s="9"/>
      <c r="TK921" s="9"/>
      <c r="TL921" s="9"/>
      <c r="TM921" s="9"/>
      <c r="TN921" s="9"/>
      <c r="TO921" s="9"/>
      <c r="TP921" s="9"/>
      <c r="TQ921" s="9"/>
      <c r="TR921" s="9"/>
      <c r="TS921" s="9"/>
      <c r="TT921" s="9"/>
      <c r="TU921" s="9"/>
      <c r="TV921" s="9"/>
      <c r="TW921" s="9"/>
      <c r="TX921" s="9"/>
      <c r="TY921" s="9"/>
      <c r="TZ921" s="9"/>
      <c r="UA921" s="9"/>
      <c r="UB921" s="9"/>
      <c r="UC921" s="9"/>
      <c r="UD921" s="9"/>
      <c r="UE921" s="9"/>
      <c r="UF921" s="9"/>
      <c r="UG921" s="9"/>
      <c r="UH921" s="9"/>
      <c r="UI921" s="9"/>
      <c r="UJ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9"/>
      <c r="GV922" s="9"/>
      <c r="GW922" s="9"/>
      <c r="GX922" s="9"/>
      <c r="GY922" s="9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  <c r="HO922" s="9"/>
      <c r="HP922" s="9"/>
      <c r="HQ922" s="9"/>
      <c r="HR922" s="9"/>
      <c r="HS922" s="9"/>
      <c r="HT922" s="9"/>
      <c r="HU922" s="9"/>
      <c r="HV922" s="9"/>
      <c r="HW922" s="9"/>
      <c r="HX922" s="9"/>
      <c r="HY922" s="9"/>
      <c r="HZ922" s="9"/>
      <c r="IA922" s="9"/>
      <c r="IB922" s="9"/>
      <c r="IC922" s="9"/>
      <c r="ID922" s="9"/>
      <c r="IE922" s="9"/>
      <c r="IF922" s="9"/>
      <c r="IG922" s="9"/>
      <c r="IH922" s="9"/>
      <c r="II922" s="9"/>
      <c r="IJ922" s="9"/>
      <c r="IK922" s="9"/>
      <c r="IL922" s="9"/>
      <c r="IM922" s="9"/>
      <c r="IN922" s="9"/>
      <c r="IO922" s="9"/>
      <c r="IP922" s="9"/>
      <c r="IQ922" s="9"/>
      <c r="IR922" s="9"/>
      <c r="IS922" s="9"/>
      <c r="IT922" s="9"/>
      <c r="IU922" s="9"/>
      <c r="IV922" s="9"/>
      <c r="IW922" s="9"/>
      <c r="IX922" s="9"/>
      <c r="IY922" s="9"/>
      <c r="IZ922" s="9"/>
      <c r="JA922" s="9"/>
      <c r="JB922" s="9"/>
      <c r="JC922" s="9"/>
      <c r="JD922" s="9"/>
      <c r="JE922" s="9"/>
      <c r="JF922" s="9"/>
      <c r="JG922" s="9"/>
      <c r="JH922" s="9"/>
      <c r="JI922" s="9"/>
      <c r="JJ922" s="9"/>
      <c r="JK922" s="9"/>
      <c r="JL922" s="9"/>
      <c r="JM922" s="9"/>
      <c r="JN922" s="9"/>
      <c r="JO922" s="9"/>
      <c r="JP922" s="9"/>
      <c r="JQ922" s="9"/>
      <c r="JR922" s="9"/>
      <c r="JS922" s="9"/>
      <c r="JT922" s="9"/>
      <c r="JU922" s="9"/>
      <c r="JV922" s="9"/>
      <c r="JW922" s="9"/>
      <c r="JX922" s="9"/>
      <c r="JY922" s="9"/>
      <c r="JZ922" s="9"/>
      <c r="KA922" s="9"/>
      <c r="KB922" s="9"/>
      <c r="KC922" s="9"/>
      <c r="KD922" s="9"/>
      <c r="KE922" s="9"/>
      <c r="KF922" s="9"/>
      <c r="KG922" s="9"/>
      <c r="KH922" s="9"/>
      <c r="KI922" s="9"/>
      <c r="KJ922" s="9"/>
      <c r="KK922" s="9"/>
      <c r="KL922" s="9"/>
      <c r="KM922" s="9"/>
      <c r="KN922" s="9"/>
      <c r="KO922" s="9"/>
      <c r="KP922" s="9"/>
      <c r="KQ922" s="9"/>
      <c r="KR922" s="9"/>
      <c r="KS922" s="9"/>
      <c r="KT922" s="9"/>
      <c r="KU922" s="9"/>
      <c r="KV922" s="9"/>
      <c r="KW922" s="9"/>
      <c r="KX922" s="9"/>
      <c r="KY922" s="9"/>
      <c r="KZ922" s="9"/>
      <c r="LA922" s="9"/>
      <c r="LB922" s="9"/>
      <c r="LC922" s="9"/>
      <c r="LD922" s="9"/>
      <c r="LE922" s="9"/>
      <c r="LF922" s="9"/>
      <c r="LG922" s="9"/>
      <c r="LH922" s="9"/>
      <c r="LI922" s="9"/>
      <c r="LJ922" s="9"/>
      <c r="LK922" s="9"/>
      <c r="LL922" s="9"/>
      <c r="LM922" s="9"/>
      <c r="LN922" s="9"/>
      <c r="LO922" s="9"/>
      <c r="LP922" s="9"/>
      <c r="LQ922" s="9"/>
      <c r="LR922" s="9"/>
      <c r="LS922" s="9"/>
      <c r="LT922" s="9"/>
      <c r="LU922" s="9"/>
      <c r="LV922" s="9"/>
      <c r="LW922" s="9"/>
      <c r="LX922" s="9"/>
      <c r="LY922" s="9"/>
      <c r="LZ922" s="9"/>
      <c r="MA922" s="9"/>
      <c r="MB922" s="9"/>
      <c r="MC922" s="9"/>
      <c r="MD922" s="9"/>
      <c r="ME922" s="9"/>
      <c r="MF922" s="9"/>
      <c r="MG922" s="9"/>
      <c r="MH922" s="9"/>
      <c r="MI922" s="9"/>
      <c r="MJ922" s="9"/>
      <c r="MK922" s="9"/>
      <c r="ML922" s="9"/>
      <c r="MM922" s="9"/>
      <c r="MN922" s="9"/>
      <c r="MO922" s="9"/>
      <c r="MP922" s="9"/>
      <c r="MQ922" s="9"/>
      <c r="MR922" s="9"/>
      <c r="MS922" s="9"/>
      <c r="MT922" s="9"/>
      <c r="MU922" s="9"/>
      <c r="MV922" s="9"/>
      <c r="MW922" s="9"/>
      <c r="MX922" s="9"/>
      <c r="MY922" s="9"/>
      <c r="MZ922" s="9"/>
      <c r="NA922" s="9"/>
      <c r="NB922" s="9"/>
      <c r="NC922" s="9"/>
      <c r="ND922" s="9"/>
      <c r="NE922" s="9"/>
      <c r="NF922" s="9"/>
      <c r="NG922" s="9"/>
      <c r="NH922" s="9"/>
      <c r="NI922" s="9"/>
      <c r="NJ922" s="9"/>
      <c r="NK922" s="9"/>
      <c r="NL922" s="9"/>
      <c r="NM922" s="9"/>
      <c r="NN922" s="9"/>
      <c r="NO922" s="9"/>
      <c r="NP922" s="9"/>
      <c r="NQ922" s="9"/>
      <c r="NR922" s="9"/>
      <c r="NS922" s="9"/>
      <c r="NT922" s="9"/>
      <c r="NU922" s="9"/>
      <c r="NV922" s="9"/>
      <c r="NW922" s="9"/>
      <c r="NX922" s="9"/>
      <c r="NY922" s="9"/>
      <c r="NZ922" s="9"/>
      <c r="OA922" s="9"/>
      <c r="OB922" s="9"/>
      <c r="OC922" s="9"/>
      <c r="OD922" s="9"/>
      <c r="OE922" s="9"/>
      <c r="OF922" s="9"/>
      <c r="OG922" s="9"/>
      <c r="OH922" s="9"/>
      <c r="OI922" s="9"/>
      <c r="OJ922" s="9"/>
      <c r="OK922" s="9"/>
      <c r="OL922" s="9"/>
      <c r="OM922" s="9"/>
      <c r="ON922" s="9"/>
      <c r="OO922" s="9"/>
      <c r="OP922" s="9"/>
      <c r="OQ922" s="9"/>
      <c r="OR922" s="9"/>
      <c r="OS922" s="9"/>
      <c r="OT922" s="9"/>
      <c r="OU922" s="9"/>
      <c r="OV922" s="9"/>
      <c r="OW922" s="9"/>
      <c r="OX922" s="9"/>
      <c r="OY922" s="9"/>
      <c r="OZ922" s="9"/>
      <c r="PA922" s="9"/>
      <c r="PB922" s="9"/>
      <c r="PC922" s="9"/>
      <c r="PD922" s="9"/>
      <c r="PE922" s="9"/>
      <c r="PF922" s="9"/>
      <c r="PG922" s="9"/>
      <c r="PH922" s="9"/>
      <c r="PI922" s="9"/>
      <c r="PJ922" s="9"/>
      <c r="PK922" s="9"/>
      <c r="PL922" s="9"/>
      <c r="PM922" s="9"/>
      <c r="PN922" s="9"/>
      <c r="PO922" s="9"/>
      <c r="PP922" s="9"/>
      <c r="PQ922" s="9"/>
      <c r="PR922" s="9"/>
      <c r="PS922" s="9"/>
      <c r="PT922" s="9"/>
      <c r="PU922" s="9"/>
      <c r="PV922" s="9"/>
      <c r="PW922" s="9"/>
      <c r="PX922" s="9"/>
      <c r="PY922" s="9"/>
      <c r="PZ922" s="9"/>
      <c r="QA922" s="9"/>
      <c r="QB922" s="9"/>
      <c r="QC922" s="9"/>
      <c r="QD922" s="9"/>
      <c r="QE922" s="9"/>
      <c r="QF922" s="9"/>
      <c r="QG922" s="9"/>
      <c r="QH922" s="9"/>
      <c r="QI922" s="9"/>
      <c r="QJ922" s="9"/>
      <c r="QK922" s="9"/>
      <c r="QL922" s="9"/>
      <c r="QM922" s="9"/>
      <c r="QN922" s="9"/>
      <c r="QO922" s="9"/>
      <c r="QP922" s="9"/>
      <c r="QQ922" s="9"/>
      <c r="QR922" s="9"/>
      <c r="QS922" s="9"/>
      <c r="QT922" s="9"/>
      <c r="QU922" s="9"/>
      <c r="QV922" s="9"/>
      <c r="QW922" s="9"/>
      <c r="QX922" s="9"/>
      <c r="QY922" s="9"/>
      <c r="QZ922" s="9"/>
      <c r="RA922" s="9"/>
      <c r="RB922" s="9"/>
      <c r="RC922" s="9"/>
      <c r="RD922" s="9"/>
      <c r="RE922" s="9"/>
      <c r="RF922" s="9"/>
      <c r="RG922" s="9"/>
      <c r="RH922" s="9"/>
      <c r="RI922" s="9"/>
      <c r="RJ922" s="9"/>
      <c r="RK922" s="9"/>
      <c r="RL922" s="9"/>
      <c r="RM922" s="9"/>
      <c r="RN922" s="9"/>
      <c r="RO922" s="9"/>
      <c r="RP922" s="9"/>
      <c r="RQ922" s="9"/>
      <c r="RR922" s="9"/>
      <c r="RS922" s="9"/>
      <c r="RT922" s="9"/>
      <c r="RU922" s="9"/>
      <c r="RV922" s="9"/>
      <c r="RW922" s="9"/>
      <c r="RX922" s="9"/>
      <c r="RY922" s="9"/>
      <c r="RZ922" s="9"/>
      <c r="SA922" s="9"/>
      <c r="SB922" s="9"/>
      <c r="SC922" s="9"/>
      <c r="SD922" s="9"/>
      <c r="SE922" s="9"/>
      <c r="SF922" s="9"/>
      <c r="SG922" s="9"/>
      <c r="SH922" s="9"/>
      <c r="SI922" s="9"/>
      <c r="SJ922" s="9"/>
      <c r="SK922" s="9"/>
      <c r="SL922" s="9"/>
      <c r="SM922" s="9"/>
      <c r="SN922" s="9"/>
      <c r="SO922" s="9"/>
      <c r="SP922" s="9"/>
      <c r="SQ922" s="9"/>
      <c r="SR922" s="9"/>
      <c r="SS922" s="9"/>
      <c r="ST922" s="9"/>
      <c r="SU922" s="9"/>
      <c r="SV922" s="9"/>
      <c r="SW922" s="9"/>
      <c r="SX922" s="9"/>
      <c r="SY922" s="9"/>
      <c r="SZ922" s="9"/>
      <c r="TA922" s="9"/>
      <c r="TB922" s="9"/>
      <c r="TC922" s="9"/>
      <c r="TD922" s="9"/>
      <c r="TE922" s="9"/>
      <c r="TF922" s="9"/>
      <c r="TG922" s="9"/>
      <c r="TH922" s="9"/>
      <c r="TI922" s="9"/>
      <c r="TJ922" s="9"/>
      <c r="TK922" s="9"/>
      <c r="TL922" s="9"/>
      <c r="TM922" s="9"/>
      <c r="TN922" s="9"/>
      <c r="TO922" s="9"/>
      <c r="TP922" s="9"/>
      <c r="TQ922" s="9"/>
      <c r="TR922" s="9"/>
      <c r="TS922" s="9"/>
      <c r="TT922" s="9"/>
      <c r="TU922" s="9"/>
      <c r="TV922" s="9"/>
      <c r="TW922" s="9"/>
      <c r="TX922" s="9"/>
      <c r="TY922" s="9"/>
      <c r="TZ922" s="9"/>
      <c r="UA922" s="9"/>
      <c r="UB922" s="9"/>
      <c r="UC922" s="9"/>
      <c r="UD922" s="9"/>
      <c r="UE922" s="9"/>
      <c r="UF922" s="9"/>
      <c r="UG922" s="9"/>
      <c r="UH922" s="9"/>
      <c r="UI922" s="9"/>
      <c r="UJ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9"/>
      <c r="FP923" s="9"/>
      <c r="FQ923" s="9"/>
      <c r="FR923" s="9"/>
      <c r="FS923" s="9"/>
      <c r="FT923" s="9"/>
      <c r="FU923" s="9"/>
      <c r="FV923" s="9"/>
      <c r="FW923" s="9"/>
      <c r="FX923" s="9"/>
      <c r="FY923" s="9"/>
      <c r="FZ923" s="9"/>
      <c r="GA923" s="9"/>
      <c r="GB923" s="9"/>
      <c r="GC923" s="9"/>
      <c r="GD923" s="9"/>
      <c r="GE923" s="9"/>
      <c r="GF923" s="9"/>
      <c r="GG923" s="9"/>
      <c r="GH923" s="9"/>
      <c r="GI923" s="9"/>
      <c r="GJ923" s="9"/>
      <c r="GK923" s="9"/>
      <c r="GL923" s="9"/>
      <c r="GM923" s="9"/>
      <c r="GN923" s="9"/>
      <c r="GO923" s="9"/>
      <c r="GP923" s="9"/>
      <c r="GQ923" s="9"/>
      <c r="GR923" s="9"/>
      <c r="GS923" s="9"/>
      <c r="GT923" s="9"/>
      <c r="GU923" s="9"/>
      <c r="GV923" s="9"/>
      <c r="GW923" s="9"/>
      <c r="GX923" s="9"/>
      <c r="GY923" s="9"/>
      <c r="GZ923" s="9"/>
      <c r="HA923" s="9"/>
      <c r="HB923" s="9"/>
      <c r="HC923" s="9"/>
      <c r="HD923" s="9"/>
      <c r="HE923" s="9"/>
      <c r="HF923" s="9"/>
      <c r="HG923" s="9"/>
      <c r="HH923" s="9"/>
      <c r="HI923" s="9"/>
      <c r="HJ923" s="9"/>
      <c r="HK923" s="9"/>
      <c r="HL923" s="9"/>
      <c r="HM923" s="9"/>
      <c r="HN923" s="9"/>
      <c r="HO923" s="9"/>
      <c r="HP923" s="9"/>
      <c r="HQ923" s="9"/>
      <c r="HR923" s="9"/>
      <c r="HS923" s="9"/>
      <c r="HT923" s="9"/>
      <c r="HU923" s="9"/>
      <c r="HV923" s="9"/>
      <c r="HW923" s="9"/>
      <c r="HX923" s="9"/>
      <c r="HY923" s="9"/>
      <c r="HZ923" s="9"/>
      <c r="IA923" s="9"/>
      <c r="IB923" s="9"/>
      <c r="IC923" s="9"/>
      <c r="ID923" s="9"/>
      <c r="IE923" s="9"/>
      <c r="IF923" s="9"/>
      <c r="IG923" s="9"/>
      <c r="IH923" s="9"/>
      <c r="II923" s="9"/>
      <c r="IJ923" s="9"/>
      <c r="IK923" s="9"/>
      <c r="IL923" s="9"/>
      <c r="IM923" s="9"/>
      <c r="IN923" s="9"/>
      <c r="IO923" s="9"/>
      <c r="IP923" s="9"/>
      <c r="IQ923" s="9"/>
      <c r="IR923" s="9"/>
      <c r="IS923" s="9"/>
      <c r="IT923" s="9"/>
      <c r="IU923" s="9"/>
      <c r="IV923" s="9"/>
      <c r="IW923" s="9"/>
      <c r="IX923" s="9"/>
      <c r="IY923" s="9"/>
      <c r="IZ923" s="9"/>
      <c r="JA923" s="9"/>
      <c r="JB923" s="9"/>
      <c r="JC923" s="9"/>
      <c r="JD923" s="9"/>
      <c r="JE923" s="9"/>
      <c r="JF923" s="9"/>
      <c r="JG923" s="9"/>
      <c r="JH923" s="9"/>
      <c r="JI923" s="9"/>
      <c r="JJ923" s="9"/>
      <c r="JK923" s="9"/>
      <c r="JL923" s="9"/>
      <c r="JM923" s="9"/>
      <c r="JN923" s="9"/>
      <c r="JO923" s="9"/>
      <c r="JP923" s="9"/>
      <c r="JQ923" s="9"/>
      <c r="JR923" s="9"/>
      <c r="JS923" s="9"/>
      <c r="JT923" s="9"/>
      <c r="JU923" s="9"/>
      <c r="JV923" s="9"/>
      <c r="JW923" s="9"/>
      <c r="JX923" s="9"/>
      <c r="JY923" s="9"/>
      <c r="JZ923" s="9"/>
      <c r="KA923" s="9"/>
      <c r="KB923" s="9"/>
      <c r="KC923" s="9"/>
      <c r="KD923" s="9"/>
      <c r="KE923" s="9"/>
      <c r="KF923" s="9"/>
      <c r="KG923" s="9"/>
      <c r="KH923" s="9"/>
      <c r="KI923" s="9"/>
      <c r="KJ923" s="9"/>
      <c r="KK923" s="9"/>
      <c r="KL923" s="9"/>
      <c r="KM923" s="9"/>
      <c r="KN923" s="9"/>
      <c r="KO923" s="9"/>
      <c r="KP923" s="9"/>
      <c r="KQ923" s="9"/>
      <c r="KR923" s="9"/>
      <c r="KS923" s="9"/>
      <c r="KT923" s="9"/>
      <c r="KU923" s="9"/>
      <c r="KV923" s="9"/>
      <c r="KW923" s="9"/>
      <c r="KX923" s="9"/>
      <c r="KY923" s="9"/>
      <c r="KZ923" s="9"/>
      <c r="LA923" s="9"/>
      <c r="LB923" s="9"/>
      <c r="LC923" s="9"/>
      <c r="LD923" s="9"/>
      <c r="LE923" s="9"/>
      <c r="LF923" s="9"/>
      <c r="LG923" s="9"/>
      <c r="LH923" s="9"/>
      <c r="LI923" s="9"/>
      <c r="LJ923" s="9"/>
      <c r="LK923" s="9"/>
      <c r="LL923" s="9"/>
      <c r="LM923" s="9"/>
      <c r="LN923" s="9"/>
      <c r="LO923" s="9"/>
      <c r="LP923" s="9"/>
      <c r="LQ923" s="9"/>
      <c r="LR923" s="9"/>
      <c r="LS923" s="9"/>
      <c r="LT923" s="9"/>
      <c r="LU923" s="9"/>
      <c r="LV923" s="9"/>
      <c r="LW923" s="9"/>
      <c r="LX923" s="9"/>
      <c r="LY923" s="9"/>
      <c r="LZ923" s="9"/>
      <c r="MA923" s="9"/>
      <c r="MB923" s="9"/>
      <c r="MC923" s="9"/>
      <c r="MD923" s="9"/>
      <c r="ME923" s="9"/>
      <c r="MF923" s="9"/>
      <c r="MG923" s="9"/>
      <c r="MH923" s="9"/>
      <c r="MI923" s="9"/>
      <c r="MJ923" s="9"/>
      <c r="MK923" s="9"/>
      <c r="ML923" s="9"/>
      <c r="MM923" s="9"/>
      <c r="MN923" s="9"/>
      <c r="MO923" s="9"/>
      <c r="MP923" s="9"/>
      <c r="MQ923" s="9"/>
      <c r="MR923" s="9"/>
      <c r="MS923" s="9"/>
      <c r="MT923" s="9"/>
      <c r="MU923" s="9"/>
      <c r="MV923" s="9"/>
      <c r="MW923" s="9"/>
      <c r="MX923" s="9"/>
      <c r="MY923" s="9"/>
      <c r="MZ923" s="9"/>
      <c r="NA923" s="9"/>
      <c r="NB923" s="9"/>
      <c r="NC923" s="9"/>
      <c r="ND923" s="9"/>
      <c r="NE923" s="9"/>
      <c r="NF923" s="9"/>
      <c r="NG923" s="9"/>
      <c r="NH923" s="9"/>
      <c r="NI923" s="9"/>
      <c r="NJ923" s="9"/>
      <c r="NK923" s="9"/>
      <c r="NL923" s="9"/>
      <c r="NM923" s="9"/>
      <c r="NN923" s="9"/>
      <c r="NO923" s="9"/>
      <c r="NP923" s="9"/>
      <c r="NQ923" s="9"/>
      <c r="NR923" s="9"/>
      <c r="NS923" s="9"/>
      <c r="NT923" s="9"/>
      <c r="NU923" s="9"/>
      <c r="NV923" s="9"/>
      <c r="NW923" s="9"/>
      <c r="NX923" s="9"/>
      <c r="NY923" s="9"/>
      <c r="NZ923" s="9"/>
      <c r="OA923" s="9"/>
      <c r="OB923" s="9"/>
      <c r="OC923" s="9"/>
      <c r="OD923" s="9"/>
      <c r="OE923" s="9"/>
      <c r="OF923" s="9"/>
      <c r="OG923" s="9"/>
      <c r="OH923" s="9"/>
      <c r="OI923" s="9"/>
      <c r="OJ923" s="9"/>
      <c r="OK923" s="9"/>
      <c r="OL923" s="9"/>
      <c r="OM923" s="9"/>
      <c r="ON923" s="9"/>
      <c r="OO923" s="9"/>
      <c r="OP923" s="9"/>
      <c r="OQ923" s="9"/>
      <c r="OR923" s="9"/>
      <c r="OS923" s="9"/>
      <c r="OT923" s="9"/>
      <c r="OU923" s="9"/>
      <c r="OV923" s="9"/>
      <c r="OW923" s="9"/>
      <c r="OX923" s="9"/>
      <c r="OY923" s="9"/>
      <c r="OZ923" s="9"/>
      <c r="PA923" s="9"/>
      <c r="PB923" s="9"/>
      <c r="PC923" s="9"/>
      <c r="PD923" s="9"/>
      <c r="PE923" s="9"/>
      <c r="PF923" s="9"/>
      <c r="PG923" s="9"/>
      <c r="PH923" s="9"/>
      <c r="PI923" s="9"/>
      <c r="PJ923" s="9"/>
      <c r="PK923" s="9"/>
      <c r="PL923" s="9"/>
      <c r="PM923" s="9"/>
      <c r="PN923" s="9"/>
      <c r="PO923" s="9"/>
      <c r="PP923" s="9"/>
      <c r="PQ923" s="9"/>
      <c r="PR923" s="9"/>
      <c r="PS923" s="9"/>
      <c r="PT923" s="9"/>
      <c r="PU923" s="9"/>
      <c r="PV923" s="9"/>
      <c r="PW923" s="9"/>
      <c r="PX923" s="9"/>
      <c r="PY923" s="9"/>
      <c r="PZ923" s="9"/>
      <c r="QA923" s="9"/>
      <c r="QB923" s="9"/>
      <c r="QC923" s="9"/>
      <c r="QD923" s="9"/>
      <c r="QE923" s="9"/>
      <c r="QF923" s="9"/>
      <c r="QG923" s="9"/>
      <c r="QH923" s="9"/>
      <c r="QI923" s="9"/>
      <c r="QJ923" s="9"/>
      <c r="QK923" s="9"/>
      <c r="QL923" s="9"/>
      <c r="QM923" s="9"/>
      <c r="QN923" s="9"/>
      <c r="QO923" s="9"/>
      <c r="QP923" s="9"/>
      <c r="QQ923" s="9"/>
      <c r="QR923" s="9"/>
      <c r="QS923" s="9"/>
      <c r="QT923" s="9"/>
      <c r="QU923" s="9"/>
      <c r="QV923" s="9"/>
      <c r="QW923" s="9"/>
      <c r="QX923" s="9"/>
      <c r="QY923" s="9"/>
      <c r="QZ923" s="9"/>
      <c r="RA923" s="9"/>
      <c r="RB923" s="9"/>
      <c r="RC923" s="9"/>
      <c r="RD923" s="9"/>
      <c r="RE923" s="9"/>
      <c r="RF923" s="9"/>
      <c r="RG923" s="9"/>
      <c r="RH923" s="9"/>
      <c r="RI923" s="9"/>
      <c r="RJ923" s="9"/>
      <c r="RK923" s="9"/>
      <c r="RL923" s="9"/>
      <c r="RM923" s="9"/>
      <c r="RN923" s="9"/>
      <c r="RO923" s="9"/>
      <c r="RP923" s="9"/>
      <c r="RQ923" s="9"/>
      <c r="RR923" s="9"/>
      <c r="RS923" s="9"/>
      <c r="RT923" s="9"/>
      <c r="RU923" s="9"/>
      <c r="RV923" s="9"/>
      <c r="RW923" s="9"/>
      <c r="RX923" s="9"/>
      <c r="RY923" s="9"/>
      <c r="RZ923" s="9"/>
      <c r="SA923" s="9"/>
      <c r="SB923" s="9"/>
      <c r="SC923" s="9"/>
      <c r="SD923" s="9"/>
      <c r="SE923" s="9"/>
      <c r="SF923" s="9"/>
      <c r="SG923" s="9"/>
      <c r="SH923" s="9"/>
      <c r="SI923" s="9"/>
      <c r="SJ923" s="9"/>
      <c r="SK923" s="9"/>
      <c r="SL923" s="9"/>
      <c r="SM923" s="9"/>
      <c r="SN923" s="9"/>
      <c r="SO923" s="9"/>
      <c r="SP923" s="9"/>
      <c r="SQ923" s="9"/>
      <c r="SR923" s="9"/>
      <c r="SS923" s="9"/>
      <c r="ST923" s="9"/>
      <c r="SU923" s="9"/>
      <c r="SV923" s="9"/>
      <c r="SW923" s="9"/>
      <c r="SX923" s="9"/>
      <c r="SY923" s="9"/>
      <c r="SZ923" s="9"/>
      <c r="TA923" s="9"/>
      <c r="TB923" s="9"/>
      <c r="TC923" s="9"/>
      <c r="TD923" s="9"/>
      <c r="TE923" s="9"/>
      <c r="TF923" s="9"/>
      <c r="TG923" s="9"/>
      <c r="TH923" s="9"/>
      <c r="TI923" s="9"/>
      <c r="TJ923" s="9"/>
      <c r="TK923" s="9"/>
      <c r="TL923" s="9"/>
      <c r="TM923" s="9"/>
      <c r="TN923" s="9"/>
      <c r="TO923" s="9"/>
      <c r="TP923" s="9"/>
      <c r="TQ923" s="9"/>
      <c r="TR923" s="9"/>
      <c r="TS923" s="9"/>
      <c r="TT923" s="9"/>
      <c r="TU923" s="9"/>
      <c r="TV923" s="9"/>
      <c r="TW923" s="9"/>
      <c r="TX923" s="9"/>
      <c r="TY923" s="9"/>
      <c r="TZ923" s="9"/>
      <c r="UA923" s="9"/>
      <c r="UB923" s="9"/>
      <c r="UC923" s="9"/>
      <c r="UD923" s="9"/>
      <c r="UE923" s="9"/>
      <c r="UF923" s="9"/>
      <c r="UG923" s="9"/>
      <c r="UH923" s="9"/>
      <c r="UI923" s="9"/>
      <c r="UJ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9"/>
      <c r="FO924" s="9"/>
      <c r="FP924" s="9"/>
      <c r="FQ924" s="9"/>
      <c r="FR924" s="9"/>
      <c r="FS924" s="9"/>
      <c r="FT924" s="9"/>
      <c r="FU924" s="9"/>
      <c r="FV924" s="9"/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9"/>
      <c r="GH924" s="9"/>
      <c r="GI924" s="9"/>
      <c r="GJ924" s="9"/>
      <c r="GK924" s="9"/>
      <c r="GL924" s="9"/>
      <c r="GM924" s="9"/>
      <c r="GN924" s="9"/>
      <c r="GO924" s="9"/>
      <c r="GP924" s="9"/>
      <c r="GQ924" s="9"/>
      <c r="GR924" s="9"/>
      <c r="GS924" s="9"/>
      <c r="GT924" s="9"/>
      <c r="GU924" s="9"/>
      <c r="GV924" s="9"/>
      <c r="GW924" s="9"/>
      <c r="GX924" s="9"/>
      <c r="GY924" s="9"/>
      <c r="GZ924" s="9"/>
      <c r="HA924" s="9"/>
      <c r="HB924" s="9"/>
      <c r="HC924" s="9"/>
      <c r="HD924" s="9"/>
      <c r="HE924" s="9"/>
      <c r="HF924" s="9"/>
      <c r="HG924" s="9"/>
      <c r="HH924" s="9"/>
      <c r="HI924" s="9"/>
      <c r="HJ924" s="9"/>
      <c r="HK924" s="9"/>
      <c r="HL924" s="9"/>
      <c r="HM924" s="9"/>
      <c r="HN924" s="9"/>
      <c r="HO924" s="9"/>
      <c r="HP924" s="9"/>
      <c r="HQ924" s="9"/>
      <c r="HR924" s="9"/>
      <c r="HS924" s="9"/>
      <c r="HT924" s="9"/>
      <c r="HU924" s="9"/>
      <c r="HV924" s="9"/>
      <c r="HW924" s="9"/>
      <c r="HX924" s="9"/>
      <c r="HY924" s="9"/>
      <c r="HZ924" s="9"/>
      <c r="IA924" s="9"/>
      <c r="IB924" s="9"/>
      <c r="IC924" s="9"/>
      <c r="ID924" s="9"/>
      <c r="IE924" s="9"/>
      <c r="IF924" s="9"/>
      <c r="IG924" s="9"/>
      <c r="IH924" s="9"/>
      <c r="II924" s="9"/>
      <c r="IJ924" s="9"/>
      <c r="IK924" s="9"/>
      <c r="IL924" s="9"/>
      <c r="IM924" s="9"/>
      <c r="IN924" s="9"/>
      <c r="IO924" s="9"/>
      <c r="IP924" s="9"/>
      <c r="IQ924" s="9"/>
      <c r="IR924" s="9"/>
      <c r="IS924" s="9"/>
      <c r="IT924" s="9"/>
      <c r="IU924" s="9"/>
      <c r="IV924" s="9"/>
      <c r="IW924" s="9"/>
      <c r="IX924" s="9"/>
      <c r="IY924" s="9"/>
      <c r="IZ924" s="9"/>
      <c r="JA924" s="9"/>
      <c r="JB924" s="9"/>
      <c r="JC924" s="9"/>
      <c r="JD924" s="9"/>
      <c r="JE924" s="9"/>
      <c r="JF924" s="9"/>
      <c r="JG924" s="9"/>
      <c r="JH924" s="9"/>
      <c r="JI924" s="9"/>
      <c r="JJ924" s="9"/>
      <c r="JK924" s="9"/>
      <c r="JL924" s="9"/>
      <c r="JM924" s="9"/>
      <c r="JN924" s="9"/>
      <c r="JO924" s="9"/>
      <c r="JP924" s="9"/>
      <c r="JQ924" s="9"/>
      <c r="JR924" s="9"/>
      <c r="JS924" s="9"/>
      <c r="JT924" s="9"/>
      <c r="JU924" s="9"/>
      <c r="JV924" s="9"/>
      <c r="JW924" s="9"/>
      <c r="JX924" s="9"/>
      <c r="JY924" s="9"/>
      <c r="JZ924" s="9"/>
      <c r="KA924" s="9"/>
      <c r="KB924" s="9"/>
      <c r="KC924" s="9"/>
      <c r="KD924" s="9"/>
      <c r="KE924" s="9"/>
      <c r="KF924" s="9"/>
      <c r="KG924" s="9"/>
      <c r="KH924" s="9"/>
      <c r="KI924" s="9"/>
      <c r="KJ924" s="9"/>
      <c r="KK924" s="9"/>
      <c r="KL924" s="9"/>
      <c r="KM924" s="9"/>
      <c r="KN924" s="9"/>
      <c r="KO924" s="9"/>
      <c r="KP924" s="9"/>
      <c r="KQ924" s="9"/>
      <c r="KR924" s="9"/>
      <c r="KS924" s="9"/>
      <c r="KT924" s="9"/>
      <c r="KU924" s="9"/>
      <c r="KV924" s="9"/>
      <c r="KW924" s="9"/>
      <c r="KX924" s="9"/>
      <c r="KY924" s="9"/>
      <c r="KZ924" s="9"/>
      <c r="LA924" s="9"/>
      <c r="LB924" s="9"/>
      <c r="LC924" s="9"/>
      <c r="LD924" s="9"/>
      <c r="LE924" s="9"/>
      <c r="LF924" s="9"/>
      <c r="LG924" s="9"/>
      <c r="LH924" s="9"/>
      <c r="LI924" s="9"/>
      <c r="LJ924" s="9"/>
      <c r="LK924" s="9"/>
      <c r="LL924" s="9"/>
      <c r="LM924" s="9"/>
      <c r="LN924" s="9"/>
      <c r="LO924" s="9"/>
      <c r="LP924" s="9"/>
      <c r="LQ924" s="9"/>
      <c r="LR924" s="9"/>
      <c r="LS924" s="9"/>
      <c r="LT924" s="9"/>
      <c r="LU924" s="9"/>
      <c r="LV924" s="9"/>
      <c r="LW924" s="9"/>
      <c r="LX924" s="9"/>
      <c r="LY924" s="9"/>
      <c r="LZ924" s="9"/>
      <c r="MA924" s="9"/>
      <c r="MB924" s="9"/>
      <c r="MC924" s="9"/>
      <c r="MD924" s="9"/>
      <c r="ME924" s="9"/>
      <c r="MF924" s="9"/>
      <c r="MG924" s="9"/>
      <c r="MH924" s="9"/>
      <c r="MI924" s="9"/>
      <c r="MJ924" s="9"/>
      <c r="MK924" s="9"/>
      <c r="ML924" s="9"/>
      <c r="MM924" s="9"/>
      <c r="MN924" s="9"/>
      <c r="MO924" s="9"/>
      <c r="MP924" s="9"/>
      <c r="MQ924" s="9"/>
      <c r="MR924" s="9"/>
      <c r="MS924" s="9"/>
      <c r="MT924" s="9"/>
      <c r="MU924" s="9"/>
      <c r="MV924" s="9"/>
      <c r="MW924" s="9"/>
      <c r="MX924" s="9"/>
      <c r="MY924" s="9"/>
      <c r="MZ924" s="9"/>
      <c r="NA924" s="9"/>
      <c r="NB924" s="9"/>
      <c r="NC924" s="9"/>
      <c r="ND924" s="9"/>
      <c r="NE924" s="9"/>
      <c r="NF924" s="9"/>
      <c r="NG924" s="9"/>
      <c r="NH924" s="9"/>
      <c r="NI924" s="9"/>
      <c r="NJ924" s="9"/>
      <c r="NK924" s="9"/>
      <c r="NL924" s="9"/>
      <c r="NM924" s="9"/>
      <c r="NN924" s="9"/>
      <c r="NO924" s="9"/>
      <c r="NP924" s="9"/>
      <c r="NQ924" s="9"/>
      <c r="NR924" s="9"/>
      <c r="NS924" s="9"/>
      <c r="NT924" s="9"/>
      <c r="NU924" s="9"/>
      <c r="NV924" s="9"/>
      <c r="NW924" s="9"/>
      <c r="NX924" s="9"/>
      <c r="NY924" s="9"/>
      <c r="NZ924" s="9"/>
      <c r="OA924" s="9"/>
      <c r="OB924" s="9"/>
      <c r="OC924" s="9"/>
      <c r="OD924" s="9"/>
      <c r="OE924" s="9"/>
      <c r="OF924" s="9"/>
      <c r="OG924" s="9"/>
      <c r="OH924" s="9"/>
      <c r="OI924" s="9"/>
      <c r="OJ924" s="9"/>
      <c r="OK924" s="9"/>
      <c r="OL924" s="9"/>
      <c r="OM924" s="9"/>
      <c r="ON924" s="9"/>
      <c r="OO924" s="9"/>
      <c r="OP924" s="9"/>
      <c r="OQ924" s="9"/>
      <c r="OR924" s="9"/>
      <c r="OS924" s="9"/>
      <c r="OT924" s="9"/>
      <c r="OU924" s="9"/>
      <c r="OV924" s="9"/>
      <c r="OW924" s="9"/>
      <c r="OX924" s="9"/>
      <c r="OY924" s="9"/>
      <c r="OZ924" s="9"/>
      <c r="PA924" s="9"/>
      <c r="PB924" s="9"/>
      <c r="PC924" s="9"/>
      <c r="PD924" s="9"/>
      <c r="PE924" s="9"/>
      <c r="PF924" s="9"/>
      <c r="PG924" s="9"/>
      <c r="PH924" s="9"/>
      <c r="PI924" s="9"/>
      <c r="PJ924" s="9"/>
      <c r="PK924" s="9"/>
      <c r="PL924" s="9"/>
      <c r="PM924" s="9"/>
      <c r="PN924" s="9"/>
      <c r="PO924" s="9"/>
      <c r="PP924" s="9"/>
      <c r="PQ924" s="9"/>
      <c r="PR924" s="9"/>
      <c r="PS924" s="9"/>
      <c r="PT924" s="9"/>
      <c r="PU924" s="9"/>
      <c r="PV924" s="9"/>
      <c r="PW924" s="9"/>
      <c r="PX924" s="9"/>
      <c r="PY924" s="9"/>
      <c r="PZ924" s="9"/>
      <c r="QA924" s="9"/>
      <c r="QB924" s="9"/>
      <c r="QC924" s="9"/>
      <c r="QD924" s="9"/>
      <c r="QE924" s="9"/>
      <c r="QF924" s="9"/>
      <c r="QG924" s="9"/>
      <c r="QH924" s="9"/>
      <c r="QI924" s="9"/>
      <c r="QJ924" s="9"/>
      <c r="QK924" s="9"/>
      <c r="QL924" s="9"/>
      <c r="QM924" s="9"/>
      <c r="QN924" s="9"/>
      <c r="QO924" s="9"/>
      <c r="QP924" s="9"/>
      <c r="QQ924" s="9"/>
      <c r="QR924" s="9"/>
      <c r="QS924" s="9"/>
      <c r="QT924" s="9"/>
      <c r="QU924" s="9"/>
      <c r="QV924" s="9"/>
      <c r="QW924" s="9"/>
      <c r="QX924" s="9"/>
      <c r="QY924" s="9"/>
      <c r="QZ924" s="9"/>
      <c r="RA924" s="9"/>
      <c r="RB924" s="9"/>
      <c r="RC924" s="9"/>
      <c r="RD924" s="9"/>
      <c r="RE924" s="9"/>
      <c r="RF924" s="9"/>
      <c r="RG924" s="9"/>
      <c r="RH924" s="9"/>
      <c r="RI924" s="9"/>
      <c r="RJ924" s="9"/>
      <c r="RK924" s="9"/>
      <c r="RL924" s="9"/>
      <c r="RM924" s="9"/>
      <c r="RN924" s="9"/>
      <c r="RO924" s="9"/>
      <c r="RP924" s="9"/>
      <c r="RQ924" s="9"/>
      <c r="RR924" s="9"/>
      <c r="RS924" s="9"/>
      <c r="RT924" s="9"/>
      <c r="RU924" s="9"/>
      <c r="RV924" s="9"/>
      <c r="RW924" s="9"/>
      <c r="RX924" s="9"/>
      <c r="RY924" s="9"/>
      <c r="RZ924" s="9"/>
      <c r="SA924" s="9"/>
      <c r="SB924" s="9"/>
      <c r="SC924" s="9"/>
      <c r="SD924" s="9"/>
      <c r="SE924" s="9"/>
      <c r="SF924" s="9"/>
      <c r="SG924" s="9"/>
      <c r="SH924" s="9"/>
      <c r="SI924" s="9"/>
      <c r="SJ924" s="9"/>
      <c r="SK924" s="9"/>
      <c r="SL924" s="9"/>
      <c r="SM924" s="9"/>
      <c r="SN924" s="9"/>
      <c r="SO924" s="9"/>
      <c r="SP924" s="9"/>
      <c r="SQ924" s="9"/>
      <c r="SR924" s="9"/>
      <c r="SS924" s="9"/>
      <c r="ST924" s="9"/>
      <c r="SU924" s="9"/>
      <c r="SV924" s="9"/>
      <c r="SW924" s="9"/>
      <c r="SX924" s="9"/>
      <c r="SY924" s="9"/>
      <c r="SZ924" s="9"/>
      <c r="TA924" s="9"/>
      <c r="TB924" s="9"/>
      <c r="TC924" s="9"/>
      <c r="TD924" s="9"/>
      <c r="TE924" s="9"/>
      <c r="TF924" s="9"/>
      <c r="TG924" s="9"/>
      <c r="TH924" s="9"/>
      <c r="TI924" s="9"/>
      <c r="TJ924" s="9"/>
      <c r="TK924" s="9"/>
      <c r="TL924" s="9"/>
      <c r="TM924" s="9"/>
      <c r="TN924" s="9"/>
      <c r="TO924" s="9"/>
      <c r="TP924" s="9"/>
      <c r="TQ924" s="9"/>
      <c r="TR924" s="9"/>
      <c r="TS924" s="9"/>
      <c r="TT924" s="9"/>
      <c r="TU924" s="9"/>
      <c r="TV924" s="9"/>
      <c r="TW924" s="9"/>
      <c r="TX924" s="9"/>
      <c r="TY924" s="9"/>
      <c r="TZ924" s="9"/>
      <c r="UA924" s="9"/>
      <c r="UB924" s="9"/>
      <c r="UC924" s="9"/>
      <c r="UD924" s="9"/>
      <c r="UE924" s="9"/>
      <c r="UF924" s="9"/>
      <c r="UG924" s="9"/>
      <c r="UH924" s="9"/>
      <c r="UI924" s="9"/>
      <c r="UJ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/>
      <c r="FL925" s="9"/>
      <c r="FM925" s="9"/>
      <c r="FN925" s="9"/>
      <c r="FO925" s="9"/>
      <c r="FP925" s="9"/>
      <c r="FQ925" s="9"/>
      <c r="FR925" s="9"/>
      <c r="FS925" s="9"/>
      <c r="FT925" s="9"/>
      <c r="FU925" s="9"/>
      <c r="FV925" s="9"/>
      <c r="FW925" s="9"/>
      <c r="FX925" s="9"/>
      <c r="FY925" s="9"/>
      <c r="FZ925" s="9"/>
      <c r="GA925" s="9"/>
      <c r="GB925" s="9"/>
      <c r="GC925" s="9"/>
      <c r="GD925" s="9"/>
      <c r="GE925" s="9"/>
      <c r="GF925" s="9"/>
      <c r="GG925" s="9"/>
      <c r="GH925" s="9"/>
      <c r="GI925" s="9"/>
      <c r="GJ925" s="9"/>
      <c r="GK925" s="9"/>
      <c r="GL925" s="9"/>
      <c r="GM925" s="9"/>
      <c r="GN925" s="9"/>
      <c r="GO925" s="9"/>
      <c r="GP925" s="9"/>
      <c r="GQ925" s="9"/>
      <c r="GR925" s="9"/>
      <c r="GS925" s="9"/>
      <c r="GT925" s="9"/>
      <c r="GU925" s="9"/>
      <c r="GV925" s="9"/>
      <c r="GW925" s="9"/>
      <c r="GX925" s="9"/>
      <c r="GY925" s="9"/>
      <c r="GZ925" s="9"/>
      <c r="HA925" s="9"/>
      <c r="HB925" s="9"/>
      <c r="HC925" s="9"/>
      <c r="HD925" s="9"/>
      <c r="HE925" s="9"/>
      <c r="HF925" s="9"/>
      <c r="HG925" s="9"/>
      <c r="HH925" s="9"/>
      <c r="HI925" s="9"/>
      <c r="HJ925" s="9"/>
      <c r="HK925" s="9"/>
      <c r="HL925" s="9"/>
      <c r="HM925" s="9"/>
      <c r="HN925" s="9"/>
      <c r="HO925" s="9"/>
      <c r="HP925" s="9"/>
      <c r="HQ925" s="9"/>
      <c r="HR925" s="9"/>
      <c r="HS925" s="9"/>
      <c r="HT925" s="9"/>
      <c r="HU925" s="9"/>
      <c r="HV925" s="9"/>
      <c r="HW925" s="9"/>
      <c r="HX925" s="9"/>
      <c r="HY925" s="9"/>
      <c r="HZ925" s="9"/>
      <c r="IA925" s="9"/>
      <c r="IB925" s="9"/>
      <c r="IC925" s="9"/>
      <c r="ID925" s="9"/>
      <c r="IE925" s="9"/>
      <c r="IF925" s="9"/>
      <c r="IG925" s="9"/>
      <c r="IH925" s="9"/>
      <c r="II925" s="9"/>
      <c r="IJ925" s="9"/>
      <c r="IK925" s="9"/>
      <c r="IL925" s="9"/>
      <c r="IM925" s="9"/>
      <c r="IN925" s="9"/>
      <c r="IO925" s="9"/>
      <c r="IP925" s="9"/>
      <c r="IQ925" s="9"/>
      <c r="IR925" s="9"/>
      <c r="IS925" s="9"/>
      <c r="IT925" s="9"/>
      <c r="IU925" s="9"/>
      <c r="IV925" s="9"/>
      <c r="IW925" s="9"/>
      <c r="IX925" s="9"/>
      <c r="IY925" s="9"/>
      <c r="IZ925" s="9"/>
      <c r="JA925" s="9"/>
      <c r="JB925" s="9"/>
      <c r="JC925" s="9"/>
      <c r="JD925" s="9"/>
      <c r="JE925" s="9"/>
      <c r="JF925" s="9"/>
      <c r="JG925" s="9"/>
      <c r="JH925" s="9"/>
      <c r="JI925" s="9"/>
      <c r="JJ925" s="9"/>
      <c r="JK925" s="9"/>
      <c r="JL925" s="9"/>
      <c r="JM925" s="9"/>
      <c r="JN925" s="9"/>
      <c r="JO925" s="9"/>
      <c r="JP925" s="9"/>
      <c r="JQ925" s="9"/>
      <c r="JR925" s="9"/>
      <c r="JS925" s="9"/>
      <c r="JT925" s="9"/>
      <c r="JU925" s="9"/>
      <c r="JV925" s="9"/>
      <c r="JW925" s="9"/>
      <c r="JX925" s="9"/>
      <c r="JY925" s="9"/>
      <c r="JZ925" s="9"/>
      <c r="KA925" s="9"/>
      <c r="KB925" s="9"/>
      <c r="KC925" s="9"/>
      <c r="KD925" s="9"/>
      <c r="KE925" s="9"/>
      <c r="KF925" s="9"/>
      <c r="KG925" s="9"/>
      <c r="KH925" s="9"/>
      <c r="KI925" s="9"/>
      <c r="KJ925" s="9"/>
      <c r="KK925" s="9"/>
      <c r="KL925" s="9"/>
      <c r="KM925" s="9"/>
      <c r="KN925" s="9"/>
      <c r="KO925" s="9"/>
      <c r="KP925" s="9"/>
      <c r="KQ925" s="9"/>
      <c r="KR925" s="9"/>
      <c r="KS925" s="9"/>
      <c r="KT925" s="9"/>
      <c r="KU925" s="9"/>
      <c r="KV925" s="9"/>
      <c r="KW925" s="9"/>
      <c r="KX925" s="9"/>
      <c r="KY925" s="9"/>
      <c r="KZ925" s="9"/>
      <c r="LA925" s="9"/>
      <c r="LB925" s="9"/>
      <c r="LC925" s="9"/>
      <c r="LD925" s="9"/>
      <c r="LE925" s="9"/>
      <c r="LF925" s="9"/>
      <c r="LG925" s="9"/>
      <c r="LH925" s="9"/>
      <c r="LI925" s="9"/>
      <c r="LJ925" s="9"/>
      <c r="LK925" s="9"/>
      <c r="LL925" s="9"/>
      <c r="LM925" s="9"/>
      <c r="LN925" s="9"/>
      <c r="LO925" s="9"/>
      <c r="LP925" s="9"/>
      <c r="LQ925" s="9"/>
      <c r="LR925" s="9"/>
      <c r="LS925" s="9"/>
      <c r="LT925" s="9"/>
      <c r="LU925" s="9"/>
      <c r="LV925" s="9"/>
      <c r="LW925" s="9"/>
      <c r="LX925" s="9"/>
      <c r="LY925" s="9"/>
      <c r="LZ925" s="9"/>
      <c r="MA925" s="9"/>
      <c r="MB925" s="9"/>
      <c r="MC925" s="9"/>
      <c r="MD925" s="9"/>
      <c r="ME925" s="9"/>
      <c r="MF925" s="9"/>
      <c r="MG925" s="9"/>
      <c r="MH925" s="9"/>
      <c r="MI925" s="9"/>
      <c r="MJ925" s="9"/>
      <c r="MK925" s="9"/>
      <c r="ML925" s="9"/>
      <c r="MM925" s="9"/>
      <c r="MN925" s="9"/>
      <c r="MO925" s="9"/>
      <c r="MP925" s="9"/>
      <c r="MQ925" s="9"/>
      <c r="MR925" s="9"/>
      <c r="MS925" s="9"/>
      <c r="MT925" s="9"/>
      <c r="MU925" s="9"/>
      <c r="MV925" s="9"/>
      <c r="MW925" s="9"/>
      <c r="MX925" s="9"/>
      <c r="MY925" s="9"/>
      <c r="MZ925" s="9"/>
      <c r="NA925" s="9"/>
      <c r="NB925" s="9"/>
      <c r="NC925" s="9"/>
      <c r="ND925" s="9"/>
      <c r="NE925" s="9"/>
      <c r="NF925" s="9"/>
      <c r="NG925" s="9"/>
      <c r="NH925" s="9"/>
      <c r="NI925" s="9"/>
      <c r="NJ925" s="9"/>
      <c r="NK925" s="9"/>
      <c r="NL925" s="9"/>
      <c r="NM925" s="9"/>
      <c r="NN925" s="9"/>
      <c r="NO925" s="9"/>
      <c r="NP925" s="9"/>
      <c r="NQ925" s="9"/>
      <c r="NR925" s="9"/>
      <c r="NS925" s="9"/>
      <c r="NT925" s="9"/>
      <c r="NU925" s="9"/>
      <c r="NV925" s="9"/>
      <c r="NW925" s="9"/>
      <c r="NX925" s="9"/>
      <c r="NY925" s="9"/>
      <c r="NZ925" s="9"/>
      <c r="OA925" s="9"/>
      <c r="OB925" s="9"/>
      <c r="OC925" s="9"/>
      <c r="OD925" s="9"/>
      <c r="OE925" s="9"/>
      <c r="OF925" s="9"/>
      <c r="OG925" s="9"/>
      <c r="OH925" s="9"/>
      <c r="OI925" s="9"/>
      <c r="OJ925" s="9"/>
      <c r="OK925" s="9"/>
      <c r="OL925" s="9"/>
      <c r="OM925" s="9"/>
      <c r="ON925" s="9"/>
      <c r="OO925" s="9"/>
      <c r="OP925" s="9"/>
      <c r="OQ925" s="9"/>
      <c r="OR925" s="9"/>
      <c r="OS925" s="9"/>
      <c r="OT925" s="9"/>
      <c r="OU925" s="9"/>
      <c r="OV925" s="9"/>
      <c r="OW925" s="9"/>
      <c r="OX925" s="9"/>
      <c r="OY925" s="9"/>
      <c r="OZ925" s="9"/>
      <c r="PA925" s="9"/>
      <c r="PB925" s="9"/>
      <c r="PC925" s="9"/>
      <c r="PD925" s="9"/>
      <c r="PE925" s="9"/>
      <c r="PF925" s="9"/>
      <c r="PG925" s="9"/>
      <c r="PH925" s="9"/>
      <c r="PI925" s="9"/>
      <c r="PJ925" s="9"/>
      <c r="PK925" s="9"/>
      <c r="PL925" s="9"/>
      <c r="PM925" s="9"/>
      <c r="PN925" s="9"/>
      <c r="PO925" s="9"/>
      <c r="PP925" s="9"/>
      <c r="PQ925" s="9"/>
      <c r="PR925" s="9"/>
      <c r="PS925" s="9"/>
      <c r="PT925" s="9"/>
      <c r="PU925" s="9"/>
      <c r="PV925" s="9"/>
      <c r="PW925" s="9"/>
      <c r="PX925" s="9"/>
      <c r="PY925" s="9"/>
      <c r="PZ925" s="9"/>
      <c r="QA925" s="9"/>
      <c r="QB925" s="9"/>
      <c r="QC925" s="9"/>
      <c r="QD925" s="9"/>
      <c r="QE925" s="9"/>
      <c r="QF925" s="9"/>
      <c r="QG925" s="9"/>
      <c r="QH925" s="9"/>
      <c r="QI925" s="9"/>
      <c r="QJ925" s="9"/>
      <c r="QK925" s="9"/>
      <c r="QL925" s="9"/>
      <c r="QM925" s="9"/>
      <c r="QN925" s="9"/>
      <c r="QO925" s="9"/>
      <c r="QP925" s="9"/>
      <c r="QQ925" s="9"/>
      <c r="QR925" s="9"/>
      <c r="QS925" s="9"/>
      <c r="QT925" s="9"/>
      <c r="QU925" s="9"/>
      <c r="QV925" s="9"/>
      <c r="QW925" s="9"/>
      <c r="QX925" s="9"/>
      <c r="QY925" s="9"/>
      <c r="QZ925" s="9"/>
      <c r="RA925" s="9"/>
      <c r="RB925" s="9"/>
      <c r="RC925" s="9"/>
      <c r="RD925" s="9"/>
      <c r="RE925" s="9"/>
      <c r="RF925" s="9"/>
      <c r="RG925" s="9"/>
      <c r="RH925" s="9"/>
      <c r="RI925" s="9"/>
      <c r="RJ925" s="9"/>
      <c r="RK925" s="9"/>
      <c r="RL925" s="9"/>
      <c r="RM925" s="9"/>
      <c r="RN925" s="9"/>
      <c r="RO925" s="9"/>
      <c r="RP925" s="9"/>
      <c r="RQ925" s="9"/>
      <c r="RR925" s="9"/>
      <c r="RS925" s="9"/>
      <c r="RT925" s="9"/>
      <c r="RU925" s="9"/>
      <c r="RV925" s="9"/>
      <c r="RW925" s="9"/>
      <c r="RX925" s="9"/>
      <c r="RY925" s="9"/>
      <c r="RZ925" s="9"/>
      <c r="SA925" s="9"/>
      <c r="SB925" s="9"/>
      <c r="SC925" s="9"/>
      <c r="SD925" s="9"/>
      <c r="SE925" s="9"/>
      <c r="SF925" s="9"/>
      <c r="SG925" s="9"/>
      <c r="SH925" s="9"/>
      <c r="SI925" s="9"/>
      <c r="SJ925" s="9"/>
      <c r="SK925" s="9"/>
      <c r="SL925" s="9"/>
      <c r="SM925" s="9"/>
      <c r="SN925" s="9"/>
      <c r="SO925" s="9"/>
      <c r="SP925" s="9"/>
      <c r="SQ925" s="9"/>
      <c r="SR925" s="9"/>
      <c r="SS925" s="9"/>
      <c r="ST925" s="9"/>
      <c r="SU925" s="9"/>
      <c r="SV925" s="9"/>
      <c r="SW925" s="9"/>
      <c r="SX925" s="9"/>
      <c r="SY925" s="9"/>
      <c r="SZ925" s="9"/>
      <c r="TA925" s="9"/>
      <c r="TB925" s="9"/>
      <c r="TC925" s="9"/>
      <c r="TD925" s="9"/>
      <c r="TE925" s="9"/>
      <c r="TF925" s="9"/>
      <c r="TG925" s="9"/>
      <c r="TH925" s="9"/>
      <c r="TI925" s="9"/>
      <c r="TJ925" s="9"/>
      <c r="TK925" s="9"/>
      <c r="TL925" s="9"/>
      <c r="TM925" s="9"/>
      <c r="TN925" s="9"/>
      <c r="TO925" s="9"/>
      <c r="TP925" s="9"/>
      <c r="TQ925" s="9"/>
      <c r="TR925" s="9"/>
      <c r="TS925" s="9"/>
      <c r="TT925" s="9"/>
      <c r="TU925" s="9"/>
      <c r="TV925" s="9"/>
      <c r="TW925" s="9"/>
      <c r="TX925" s="9"/>
      <c r="TY925" s="9"/>
      <c r="TZ925" s="9"/>
      <c r="UA925" s="9"/>
      <c r="UB925" s="9"/>
      <c r="UC925" s="9"/>
      <c r="UD925" s="9"/>
      <c r="UE925" s="9"/>
      <c r="UF925" s="9"/>
      <c r="UG925" s="9"/>
      <c r="UH925" s="9"/>
      <c r="UI925" s="9"/>
      <c r="UJ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9"/>
      <c r="GV926" s="9"/>
      <c r="GW926" s="9"/>
      <c r="GX926" s="9"/>
      <c r="GY926" s="9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  <c r="HO926" s="9"/>
      <c r="HP926" s="9"/>
      <c r="HQ926" s="9"/>
      <c r="HR926" s="9"/>
      <c r="HS926" s="9"/>
      <c r="HT926" s="9"/>
      <c r="HU926" s="9"/>
      <c r="HV926" s="9"/>
      <c r="HW926" s="9"/>
      <c r="HX926" s="9"/>
      <c r="HY926" s="9"/>
      <c r="HZ926" s="9"/>
      <c r="IA926" s="9"/>
      <c r="IB926" s="9"/>
      <c r="IC926" s="9"/>
      <c r="ID926" s="9"/>
      <c r="IE926" s="9"/>
      <c r="IF926" s="9"/>
      <c r="IG926" s="9"/>
      <c r="IH926" s="9"/>
      <c r="II926" s="9"/>
      <c r="IJ926" s="9"/>
      <c r="IK926" s="9"/>
      <c r="IL926" s="9"/>
      <c r="IM926" s="9"/>
      <c r="IN926" s="9"/>
      <c r="IO926" s="9"/>
      <c r="IP926" s="9"/>
      <c r="IQ926" s="9"/>
      <c r="IR926" s="9"/>
      <c r="IS926" s="9"/>
      <c r="IT926" s="9"/>
      <c r="IU926" s="9"/>
      <c r="IV926" s="9"/>
      <c r="IW926" s="9"/>
      <c r="IX926" s="9"/>
      <c r="IY926" s="9"/>
      <c r="IZ926" s="9"/>
      <c r="JA926" s="9"/>
      <c r="JB926" s="9"/>
      <c r="JC926" s="9"/>
      <c r="JD926" s="9"/>
      <c r="JE926" s="9"/>
      <c r="JF926" s="9"/>
      <c r="JG926" s="9"/>
      <c r="JH926" s="9"/>
      <c r="JI926" s="9"/>
      <c r="JJ926" s="9"/>
      <c r="JK926" s="9"/>
      <c r="JL926" s="9"/>
      <c r="JM926" s="9"/>
      <c r="JN926" s="9"/>
      <c r="JO926" s="9"/>
      <c r="JP926" s="9"/>
      <c r="JQ926" s="9"/>
      <c r="JR926" s="9"/>
      <c r="JS926" s="9"/>
      <c r="JT926" s="9"/>
      <c r="JU926" s="9"/>
      <c r="JV926" s="9"/>
      <c r="JW926" s="9"/>
      <c r="JX926" s="9"/>
      <c r="JY926" s="9"/>
      <c r="JZ926" s="9"/>
      <c r="KA926" s="9"/>
      <c r="KB926" s="9"/>
      <c r="KC926" s="9"/>
      <c r="KD926" s="9"/>
      <c r="KE926" s="9"/>
      <c r="KF926" s="9"/>
      <c r="KG926" s="9"/>
      <c r="KH926" s="9"/>
      <c r="KI926" s="9"/>
      <c r="KJ926" s="9"/>
      <c r="KK926" s="9"/>
      <c r="KL926" s="9"/>
      <c r="KM926" s="9"/>
      <c r="KN926" s="9"/>
      <c r="KO926" s="9"/>
      <c r="KP926" s="9"/>
      <c r="KQ926" s="9"/>
      <c r="KR926" s="9"/>
      <c r="KS926" s="9"/>
      <c r="KT926" s="9"/>
      <c r="KU926" s="9"/>
      <c r="KV926" s="9"/>
      <c r="KW926" s="9"/>
      <c r="KX926" s="9"/>
      <c r="KY926" s="9"/>
      <c r="KZ926" s="9"/>
      <c r="LA926" s="9"/>
      <c r="LB926" s="9"/>
      <c r="LC926" s="9"/>
      <c r="LD926" s="9"/>
      <c r="LE926" s="9"/>
      <c r="LF926" s="9"/>
      <c r="LG926" s="9"/>
      <c r="LH926" s="9"/>
      <c r="LI926" s="9"/>
      <c r="LJ926" s="9"/>
      <c r="LK926" s="9"/>
      <c r="LL926" s="9"/>
      <c r="LM926" s="9"/>
      <c r="LN926" s="9"/>
      <c r="LO926" s="9"/>
      <c r="LP926" s="9"/>
      <c r="LQ926" s="9"/>
      <c r="LR926" s="9"/>
      <c r="LS926" s="9"/>
      <c r="LT926" s="9"/>
      <c r="LU926" s="9"/>
      <c r="LV926" s="9"/>
      <c r="LW926" s="9"/>
      <c r="LX926" s="9"/>
      <c r="LY926" s="9"/>
      <c r="LZ926" s="9"/>
      <c r="MA926" s="9"/>
      <c r="MB926" s="9"/>
      <c r="MC926" s="9"/>
      <c r="MD926" s="9"/>
      <c r="ME926" s="9"/>
      <c r="MF926" s="9"/>
      <c r="MG926" s="9"/>
      <c r="MH926" s="9"/>
      <c r="MI926" s="9"/>
      <c r="MJ926" s="9"/>
      <c r="MK926" s="9"/>
      <c r="ML926" s="9"/>
      <c r="MM926" s="9"/>
      <c r="MN926" s="9"/>
      <c r="MO926" s="9"/>
      <c r="MP926" s="9"/>
      <c r="MQ926" s="9"/>
      <c r="MR926" s="9"/>
      <c r="MS926" s="9"/>
      <c r="MT926" s="9"/>
      <c r="MU926" s="9"/>
      <c r="MV926" s="9"/>
      <c r="MW926" s="9"/>
      <c r="MX926" s="9"/>
      <c r="MY926" s="9"/>
      <c r="MZ926" s="9"/>
      <c r="NA926" s="9"/>
      <c r="NB926" s="9"/>
      <c r="NC926" s="9"/>
      <c r="ND926" s="9"/>
      <c r="NE926" s="9"/>
      <c r="NF926" s="9"/>
      <c r="NG926" s="9"/>
      <c r="NH926" s="9"/>
      <c r="NI926" s="9"/>
      <c r="NJ926" s="9"/>
      <c r="NK926" s="9"/>
      <c r="NL926" s="9"/>
      <c r="NM926" s="9"/>
      <c r="NN926" s="9"/>
      <c r="NO926" s="9"/>
      <c r="NP926" s="9"/>
      <c r="NQ926" s="9"/>
      <c r="NR926" s="9"/>
      <c r="NS926" s="9"/>
      <c r="NT926" s="9"/>
      <c r="NU926" s="9"/>
      <c r="NV926" s="9"/>
      <c r="NW926" s="9"/>
      <c r="NX926" s="9"/>
      <c r="NY926" s="9"/>
      <c r="NZ926" s="9"/>
      <c r="OA926" s="9"/>
      <c r="OB926" s="9"/>
      <c r="OC926" s="9"/>
      <c r="OD926" s="9"/>
      <c r="OE926" s="9"/>
      <c r="OF926" s="9"/>
      <c r="OG926" s="9"/>
      <c r="OH926" s="9"/>
      <c r="OI926" s="9"/>
      <c r="OJ926" s="9"/>
      <c r="OK926" s="9"/>
      <c r="OL926" s="9"/>
      <c r="OM926" s="9"/>
      <c r="ON926" s="9"/>
      <c r="OO926" s="9"/>
      <c r="OP926" s="9"/>
      <c r="OQ926" s="9"/>
      <c r="OR926" s="9"/>
      <c r="OS926" s="9"/>
      <c r="OT926" s="9"/>
      <c r="OU926" s="9"/>
      <c r="OV926" s="9"/>
      <c r="OW926" s="9"/>
      <c r="OX926" s="9"/>
      <c r="OY926" s="9"/>
      <c r="OZ926" s="9"/>
      <c r="PA926" s="9"/>
      <c r="PB926" s="9"/>
      <c r="PC926" s="9"/>
      <c r="PD926" s="9"/>
      <c r="PE926" s="9"/>
      <c r="PF926" s="9"/>
      <c r="PG926" s="9"/>
      <c r="PH926" s="9"/>
      <c r="PI926" s="9"/>
      <c r="PJ926" s="9"/>
      <c r="PK926" s="9"/>
      <c r="PL926" s="9"/>
      <c r="PM926" s="9"/>
      <c r="PN926" s="9"/>
      <c r="PO926" s="9"/>
      <c r="PP926" s="9"/>
      <c r="PQ926" s="9"/>
      <c r="PR926" s="9"/>
      <c r="PS926" s="9"/>
      <c r="PT926" s="9"/>
      <c r="PU926" s="9"/>
      <c r="PV926" s="9"/>
      <c r="PW926" s="9"/>
      <c r="PX926" s="9"/>
      <c r="PY926" s="9"/>
      <c r="PZ926" s="9"/>
      <c r="QA926" s="9"/>
      <c r="QB926" s="9"/>
      <c r="QC926" s="9"/>
      <c r="QD926" s="9"/>
      <c r="QE926" s="9"/>
      <c r="QF926" s="9"/>
      <c r="QG926" s="9"/>
      <c r="QH926" s="9"/>
      <c r="QI926" s="9"/>
      <c r="QJ926" s="9"/>
      <c r="QK926" s="9"/>
      <c r="QL926" s="9"/>
      <c r="QM926" s="9"/>
      <c r="QN926" s="9"/>
      <c r="QO926" s="9"/>
      <c r="QP926" s="9"/>
      <c r="QQ926" s="9"/>
      <c r="QR926" s="9"/>
      <c r="QS926" s="9"/>
      <c r="QT926" s="9"/>
      <c r="QU926" s="9"/>
      <c r="QV926" s="9"/>
      <c r="QW926" s="9"/>
      <c r="QX926" s="9"/>
      <c r="QY926" s="9"/>
      <c r="QZ926" s="9"/>
      <c r="RA926" s="9"/>
      <c r="RB926" s="9"/>
      <c r="RC926" s="9"/>
      <c r="RD926" s="9"/>
      <c r="RE926" s="9"/>
      <c r="RF926" s="9"/>
      <c r="RG926" s="9"/>
      <c r="RH926" s="9"/>
      <c r="RI926" s="9"/>
      <c r="RJ926" s="9"/>
      <c r="RK926" s="9"/>
      <c r="RL926" s="9"/>
      <c r="RM926" s="9"/>
      <c r="RN926" s="9"/>
      <c r="RO926" s="9"/>
      <c r="RP926" s="9"/>
      <c r="RQ926" s="9"/>
      <c r="RR926" s="9"/>
      <c r="RS926" s="9"/>
      <c r="RT926" s="9"/>
      <c r="RU926" s="9"/>
      <c r="RV926" s="9"/>
      <c r="RW926" s="9"/>
      <c r="RX926" s="9"/>
      <c r="RY926" s="9"/>
      <c r="RZ926" s="9"/>
      <c r="SA926" s="9"/>
      <c r="SB926" s="9"/>
      <c r="SC926" s="9"/>
      <c r="SD926" s="9"/>
      <c r="SE926" s="9"/>
      <c r="SF926" s="9"/>
      <c r="SG926" s="9"/>
      <c r="SH926" s="9"/>
      <c r="SI926" s="9"/>
      <c r="SJ926" s="9"/>
      <c r="SK926" s="9"/>
      <c r="SL926" s="9"/>
      <c r="SM926" s="9"/>
      <c r="SN926" s="9"/>
      <c r="SO926" s="9"/>
      <c r="SP926" s="9"/>
      <c r="SQ926" s="9"/>
      <c r="SR926" s="9"/>
      <c r="SS926" s="9"/>
      <c r="ST926" s="9"/>
      <c r="SU926" s="9"/>
      <c r="SV926" s="9"/>
      <c r="SW926" s="9"/>
      <c r="SX926" s="9"/>
      <c r="SY926" s="9"/>
      <c r="SZ926" s="9"/>
      <c r="TA926" s="9"/>
      <c r="TB926" s="9"/>
      <c r="TC926" s="9"/>
      <c r="TD926" s="9"/>
      <c r="TE926" s="9"/>
      <c r="TF926" s="9"/>
      <c r="TG926" s="9"/>
      <c r="TH926" s="9"/>
      <c r="TI926" s="9"/>
      <c r="TJ926" s="9"/>
      <c r="TK926" s="9"/>
      <c r="TL926" s="9"/>
      <c r="TM926" s="9"/>
      <c r="TN926" s="9"/>
      <c r="TO926" s="9"/>
      <c r="TP926" s="9"/>
      <c r="TQ926" s="9"/>
      <c r="TR926" s="9"/>
      <c r="TS926" s="9"/>
      <c r="TT926" s="9"/>
      <c r="TU926" s="9"/>
      <c r="TV926" s="9"/>
      <c r="TW926" s="9"/>
      <c r="TX926" s="9"/>
      <c r="TY926" s="9"/>
      <c r="TZ926" s="9"/>
      <c r="UA926" s="9"/>
      <c r="UB926" s="9"/>
      <c r="UC926" s="9"/>
      <c r="UD926" s="9"/>
      <c r="UE926" s="9"/>
      <c r="UF926" s="9"/>
      <c r="UG926" s="9"/>
      <c r="UH926" s="9"/>
      <c r="UI926" s="9"/>
      <c r="UJ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  <c r="GA927" s="9"/>
      <c r="GB927" s="9"/>
      <c r="GC927" s="9"/>
      <c r="GD927" s="9"/>
      <c r="GE927" s="9"/>
      <c r="GF927" s="9"/>
      <c r="GG927" s="9"/>
      <c r="GH927" s="9"/>
      <c r="GI927" s="9"/>
      <c r="GJ927" s="9"/>
      <c r="GK927" s="9"/>
      <c r="GL927" s="9"/>
      <c r="GM927" s="9"/>
      <c r="GN927" s="9"/>
      <c r="GO927" s="9"/>
      <c r="GP927" s="9"/>
      <c r="GQ927" s="9"/>
      <c r="GR927" s="9"/>
      <c r="GS927" s="9"/>
      <c r="GT927" s="9"/>
      <c r="GU927" s="9"/>
      <c r="GV927" s="9"/>
      <c r="GW927" s="9"/>
      <c r="GX927" s="9"/>
      <c r="GY927" s="9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  <c r="HO927" s="9"/>
      <c r="HP927" s="9"/>
      <c r="HQ927" s="9"/>
      <c r="HR927" s="9"/>
      <c r="HS927" s="9"/>
      <c r="HT927" s="9"/>
      <c r="HU927" s="9"/>
      <c r="HV927" s="9"/>
      <c r="HW927" s="9"/>
      <c r="HX927" s="9"/>
      <c r="HY927" s="9"/>
      <c r="HZ927" s="9"/>
      <c r="IA927" s="9"/>
      <c r="IB927" s="9"/>
      <c r="IC927" s="9"/>
      <c r="ID927" s="9"/>
      <c r="IE927" s="9"/>
      <c r="IF927" s="9"/>
      <c r="IG927" s="9"/>
      <c r="IH927" s="9"/>
      <c r="II927" s="9"/>
      <c r="IJ927" s="9"/>
      <c r="IK927" s="9"/>
      <c r="IL927" s="9"/>
      <c r="IM927" s="9"/>
      <c r="IN927" s="9"/>
      <c r="IO927" s="9"/>
      <c r="IP927" s="9"/>
      <c r="IQ927" s="9"/>
      <c r="IR927" s="9"/>
      <c r="IS927" s="9"/>
      <c r="IT927" s="9"/>
      <c r="IU927" s="9"/>
      <c r="IV927" s="9"/>
      <c r="IW927" s="9"/>
      <c r="IX927" s="9"/>
      <c r="IY927" s="9"/>
      <c r="IZ927" s="9"/>
      <c r="JA927" s="9"/>
      <c r="JB927" s="9"/>
      <c r="JC927" s="9"/>
      <c r="JD927" s="9"/>
      <c r="JE927" s="9"/>
      <c r="JF927" s="9"/>
      <c r="JG927" s="9"/>
      <c r="JH927" s="9"/>
      <c r="JI927" s="9"/>
      <c r="JJ927" s="9"/>
      <c r="JK927" s="9"/>
      <c r="JL927" s="9"/>
      <c r="JM927" s="9"/>
      <c r="JN927" s="9"/>
      <c r="JO927" s="9"/>
      <c r="JP927" s="9"/>
      <c r="JQ927" s="9"/>
      <c r="JR927" s="9"/>
      <c r="JS927" s="9"/>
      <c r="JT927" s="9"/>
      <c r="JU927" s="9"/>
      <c r="JV927" s="9"/>
      <c r="JW927" s="9"/>
      <c r="JX927" s="9"/>
      <c r="JY927" s="9"/>
      <c r="JZ927" s="9"/>
      <c r="KA927" s="9"/>
      <c r="KB927" s="9"/>
      <c r="KC927" s="9"/>
      <c r="KD927" s="9"/>
      <c r="KE927" s="9"/>
      <c r="KF927" s="9"/>
      <c r="KG927" s="9"/>
      <c r="KH927" s="9"/>
      <c r="KI927" s="9"/>
      <c r="KJ927" s="9"/>
      <c r="KK927" s="9"/>
      <c r="KL927" s="9"/>
      <c r="KM927" s="9"/>
      <c r="KN927" s="9"/>
      <c r="KO927" s="9"/>
      <c r="KP927" s="9"/>
      <c r="KQ927" s="9"/>
      <c r="KR927" s="9"/>
      <c r="KS927" s="9"/>
      <c r="KT927" s="9"/>
      <c r="KU927" s="9"/>
      <c r="KV927" s="9"/>
      <c r="KW927" s="9"/>
      <c r="KX927" s="9"/>
      <c r="KY927" s="9"/>
      <c r="KZ927" s="9"/>
      <c r="LA927" s="9"/>
      <c r="LB927" s="9"/>
      <c r="LC927" s="9"/>
      <c r="LD927" s="9"/>
      <c r="LE927" s="9"/>
      <c r="LF927" s="9"/>
      <c r="LG927" s="9"/>
      <c r="LH927" s="9"/>
      <c r="LI927" s="9"/>
      <c r="LJ927" s="9"/>
      <c r="LK927" s="9"/>
      <c r="LL927" s="9"/>
      <c r="LM927" s="9"/>
      <c r="LN927" s="9"/>
      <c r="LO927" s="9"/>
      <c r="LP927" s="9"/>
      <c r="LQ927" s="9"/>
      <c r="LR927" s="9"/>
      <c r="LS927" s="9"/>
      <c r="LT927" s="9"/>
      <c r="LU927" s="9"/>
      <c r="LV927" s="9"/>
      <c r="LW927" s="9"/>
      <c r="LX927" s="9"/>
      <c r="LY927" s="9"/>
      <c r="LZ927" s="9"/>
      <c r="MA927" s="9"/>
      <c r="MB927" s="9"/>
      <c r="MC927" s="9"/>
      <c r="MD927" s="9"/>
      <c r="ME927" s="9"/>
      <c r="MF927" s="9"/>
      <c r="MG927" s="9"/>
      <c r="MH927" s="9"/>
      <c r="MI927" s="9"/>
      <c r="MJ927" s="9"/>
      <c r="MK927" s="9"/>
      <c r="ML927" s="9"/>
      <c r="MM927" s="9"/>
      <c r="MN927" s="9"/>
      <c r="MO927" s="9"/>
      <c r="MP927" s="9"/>
      <c r="MQ927" s="9"/>
      <c r="MR927" s="9"/>
      <c r="MS927" s="9"/>
      <c r="MT927" s="9"/>
      <c r="MU927" s="9"/>
      <c r="MV927" s="9"/>
      <c r="MW927" s="9"/>
      <c r="MX927" s="9"/>
      <c r="MY927" s="9"/>
      <c r="MZ927" s="9"/>
      <c r="NA927" s="9"/>
      <c r="NB927" s="9"/>
      <c r="NC927" s="9"/>
      <c r="ND927" s="9"/>
      <c r="NE927" s="9"/>
      <c r="NF927" s="9"/>
      <c r="NG927" s="9"/>
      <c r="NH927" s="9"/>
      <c r="NI927" s="9"/>
      <c r="NJ927" s="9"/>
      <c r="NK927" s="9"/>
      <c r="NL927" s="9"/>
      <c r="NM927" s="9"/>
      <c r="NN927" s="9"/>
      <c r="NO927" s="9"/>
      <c r="NP927" s="9"/>
      <c r="NQ927" s="9"/>
      <c r="NR927" s="9"/>
      <c r="NS927" s="9"/>
      <c r="NT927" s="9"/>
      <c r="NU927" s="9"/>
      <c r="NV927" s="9"/>
      <c r="NW927" s="9"/>
      <c r="NX927" s="9"/>
      <c r="NY927" s="9"/>
      <c r="NZ927" s="9"/>
      <c r="OA927" s="9"/>
      <c r="OB927" s="9"/>
      <c r="OC927" s="9"/>
      <c r="OD927" s="9"/>
      <c r="OE927" s="9"/>
      <c r="OF927" s="9"/>
      <c r="OG927" s="9"/>
      <c r="OH927" s="9"/>
      <c r="OI927" s="9"/>
      <c r="OJ927" s="9"/>
      <c r="OK927" s="9"/>
      <c r="OL927" s="9"/>
      <c r="OM927" s="9"/>
      <c r="ON927" s="9"/>
      <c r="OO927" s="9"/>
      <c r="OP927" s="9"/>
      <c r="OQ927" s="9"/>
      <c r="OR927" s="9"/>
      <c r="OS927" s="9"/>
      <c r="OT927" s="9"/>
      <c r="OU927" s="9"/>
      <c r="OV927" s="9"/>
      <c r="OW927" s="9"/>
      <c r="OX927" s="9"/>
      <c r="OY927" s="9"/>
      <c r="OZ927" s="9"/>
      <c r="PA927" s="9"/>
      <c r="PB927" s="9"/>
      <c r="PC927" s="9"/>
      <c r="PD927" s="9"/>
      <c r="PE927" s="9"/>
      <c r="PF927" s="9"/>
      <c r="PG927" s="9"/>
      <c r="PH927" s="9"/>
      <c r="PI927" s="9"/>
      <c r="PJ927" s="9"/>
      <c r="PK927" s="9"/>
      <c r="PL927" s="9"/>
      <c r="PM927" s="9"/>
      <c r="PN927" s="9"/>
      <c r="PO927" s="9"/>
      <c r="PP927" s="9"/>
      <c r="PQ927" s="9"/>
      <c r="PR927" s="9"/>
      <c r="PS927" s="9"/>
      <c r="PT927" s="9"/>
      <c r="PU927" s="9"/>
      <c r="PV927" s="9"/>
      <c r="PW927" s="9"/>
      <c r="PX927" s="9"/>
      <c r="PY927" s="9"/>
      <c r="PZ927" s="9"/>
      <c r="QA927" s="9"/>
      <c r="QB927" s="9"/>
      <c r="QC927" s="9"/>
      <c r="QD927" s="9"/>
      <c r="QE927" s="9"/>
      <c r="QF927" s="9"/>
      <c r="QG927" s="9"/>
      <c r="QH927" s="9"/>
      <c r="QI927" s="9"/>
      <c r="QJ927" s="9"/>
      <c r="QK927" s="9"/>
      <c r="QL927" s="9"/>
      <c r="QM927" s="9"/>
      <c r="QN927" s="9"/>
      <c r="QO927" s="9"/>
      <c r="QP927" s="9"/>
      <c r="QQ927" s="9"/>
      <c r="QR927" s="9"/>
      <c r="QS927" s="9"/>
      <c r="QT927" s="9"/>
      <c r="QU927" s="9"/>
      <c r="QV927" s="9"/>
      <c r="QW927" s="9"/>
      <c r="QX927" s="9"/>
      <c r="QY927" s="9"/>
      <c r="QZ927" s="9"/>
      <c r="RA927" s="9"/>
      <c r="RB927" s="9"/>
      <c r="RC927" s="9"/>
      <c r="RD927" s="9"/>
      <c r="RE927" s="9"/>
      <c r="RF927" s="9"/>
      <c r="RG927" s="9"/>
      <c r="RH927" s="9"/>
      <c r="RI927" s="9"/>
      <c r="RJ927" s="9"/>
      <c r="RK927" s="9"/>
      <c r="RL927" s="9"/>
      <c r="RM927" s="9"/>
      <c r="RN927" s="9"/>
      <c r="RO927" s="9"/>
      <c r="RP927" s="9"/>
      <c r="RQ927" s="9"/>
      <c r="RR927" s="9"/>
      <c r="RS927" s="9"/>
      <c r="RT927" s="9"/>
      <c r="RU927" s="9"/>
      <c r="RV927" s="9"/>
      <c r="RW927" s="9"/>
      <c r="RX927" s="9"/>
      <c r="RY927" s="9"/>
      <c r="RZ927" s="9"/>
      <c r="SA927" s="9"/>
      <c r="SB927" s="9"/>
      <c r="SC927" s="9"/>
      <c r="SD927" s="9"/>
      <c r="SE927" s="9"/>
      <c r="SF927" s="9"/>
      <c r="SG927" s="9"/>
      <c r="SH927" s="9"/>
      <c r="SI927" s="9"/>
      <c r="SJ927" s="9"/>
      <c r="SK927" s="9"/>
      <c r="SL927" s="9"/>
      <c r="SM927" s="9"/>
      <c r="SN927" s="9"/>
      <c r="SO927" s="9"/>
      <c r="SP927" s="9"/>
      <c r="SQ927" s="9"/>
      <c r="SR927" s="9"/>
      <c r="SS927" s="9"/>
      <c r="ST927" s="9"/>
      <c r="SU927" s="9"/>
      <c r="SV927" s="9"/>
      <c r="SW927" s="9"/>
      <c r="SX927" s="9"/>
      <c r="SY927" s="9"/>
      <c r="SZ927" s="9"/>
      <c r="TA927" s="9"/>
      <c r="TB927" s="9"/>
      <c r="TC927" s="9"/>
      <c r="TD927" s="9"/>
      <c r="TE927" s="9"/>
      <c r="TF927" s="9"/>
      <c r="TG927" s="9"/>
      <c r="TH927" s="9"/>
      <c r="TI927" s="9"/>
      <c r="TJ927" s="9"/>
      <c r="TK927" s="9"/>
      <c r="TL927" s="9"/>
      <c r="TM927" s="9"/>
      <c r="TN927" s="9"/>
      <c r="TO927" s="9"/>
      <c r="TP927" s="9"/>
      <c r="TQ927" s="9"/>
      <c r="TR927" s="9"/>
      <c r="TS927" s="9"/>
      <c r="TT927" s="9"/>
      <c r="TU927" s="9"/>
      <c r="TV927" s="9"/>
      <c r="TW927" s="9"/>
      <c r="TX927" s="9"/>
      <c r="TY927" s="9"/>
      <c r="TZ927" s="9"/>
      <c r="UA927" s="9"/>
      <c r="UB927" s="9"/>
      <c r="UC927" s="9"/>
      <c r="UD927" s="9"/>
      <c r="UE927" s="9"/>
      <c r="UF927" s="9"/>
      <c r="UG927" s="9"/>
      <c r="UH927" s="9"/>
      <c r="UI927" s="9"/>
      <c r="UJ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9"/>
      <c r="GH928" s="9"/>
      <c r="GI928" s="9"/>
      <c r="GJ928" s="9"/>
      <c r="GK928" s="9"/>
      <c r="GL928" s="9"/>
      <c r="GM928" s="9"/>
      <c r="GN928" s="9"/>
      <c r="GO928" s="9"/>
      <c r="GP928" s="9"/>
      <c r="GQ928" s="9"/>
      <c r="GR928" s="9"/>
      <c r="GS928" s="9"/>
      <c r="GT928" s="9"/>
      <c r="GU928" s="9"/>
      <c r="GV928" s="9"/>
      <c r="GW928" s="9"/>
      <c r="GX928" s="9"/>
      <c r="GY928" s="9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  <c r="HO928" s="9"/>
      <c r="HP928" s="9"/>
      <c r="HQ928" s="9"/>
      <c r="HR928" s="9"/>
      <c r="HS928" s="9"/>
      <c r="HT928" s="9"/>
      <c r="HU928" s="9"/>
      <c r="HV928" s="9"/>
      <c r="HW928" s="9"/>
      <c r="HX928" s="9"/>
      <c r="HY928" s="9"/>
      <c r="HZ928" s="9"/>
      <c r="IA928" s="9"/>
      <c r="IB928" s="9"/>
      <c r="IC928" s="9"/>
      <c r="ID928" s="9"/>
      <c r="IE928" s="9"/>
      <c r="IF928" s="9"/>
      <c r="IG928" s="9"/>
      <c r="IH928" s="9"/>
      <c r="II928" s="9"/>
      <c r="IJ928" s="9"/>
      <c r="IK928" s="9"/>
      <c r="IL928" s="9"/>
      <c r="IM928" s="9"/>
      <c r="IN928" s="9"/>
      <c r="IO928" s="9"/>
      <c r="IP928" s="9"/>
      <c r="IQ928" s="9"/>
      <c r="IR928" s="9"/>
      <c r="IS928" s="9"/>
      <c r="IT928" s="9"/>
      <c r="IU928" s="9"/>
      <c r="IV928" s="9"/>
      <c r="IW928" s="9"/>
      <c r="IX928" s="9"/>
      <c r="IY928" s="9"/>
      <c r="IZ928" s="9"/>
      <c r="JA928" s="9"/>
      <c r="JB928" s="9"/>
      <c r="JC928" s="9"/>
      <c r="JD928" s="9"/>
      <c r="JE928" s="9"/>
      <c r="JF928" s="9"/>
      <c r="JG928" s="9"/>
      <c r="JH928" s="9"/>
      <c r="JI928" s="9"/>
      <c r="JJ928" s="9"/>
      <c r="JK928" s="9"/>
      <c r="JL928" s="9"/>
      <c r="JM928" s="9"/>
      <c r="JN928" s="9"/>
      <c r="JO928" s="9"/>
      <c r="JP928" s="9"/>
      <c r="JQ928" s="9"/>
      <c r="JR928" s="9"/>
      <c r="JS928" s="9"/>
      <c r="JT928" s="9"/>
      <c r="JU928" s="9"/>
      <c r="JV928" s="9"/>
      <c r="JW928" s="9"/>
      <c r="JX928" s="9"/>
      <c r="JY928" s="9"/>
      <c r="JZ928" s="9"/>
      <c r="KA928" s="9"/>
      <c r="KB928" s="9"/>
      <c r="KC928" s="9"/>
      <c r="KD928" s="9"/>
      <c r="KE928" s="9"/>
      <c r="KF928" s="9"/>
      <c r="KG928" s="9"/>
      <c r="KH928" s="9"/>
      <c r="KI928" s="9"/>
      <c r="KJ928" s="9"/>
      <c r="KK928" s="9"/>
      <c r="KL928" s="9"/>
      <c r="KM928" s="9"/>
      <c r="KN928" s="9"/>
      <c r="KO928" s="9"/>
      <c r="KP928" s="9"/>
      <c r="KQ928" s="9"/>
      <c r="KR928" s="9"/>
      <c r="KS928" s="9"/>
      <c r="KT928" s="9"/>
      <c r="KU928" s="9"/>
      <c r="KV928" s="9"/>
      <c r="KW928" s="9"/>
      <c r="KX928" s="9"/>
      <c r="KY928" s="9"/>
      <c r="KZ928" s="9"/>
      <c r="LA928" s="9"/>
      <c r="LB928" s="9"/>
      <c r="LC928" s="9"/>
      <c r="LD928" s="9"/>
      <c r="LE928" s="9"/>
      <c r="LF928" s="9"/>
      <c r="LG928" s="9"/>
      <c r="LH928" s="9"/>
      <c r="LI928" s="9"/>
      <c r="LJ928" s="9"/>
      <c r="LK928" s="9"/>
      <c r="LL928" s="9"/>
      <c r="LM928" s="9"/>
      <c r="LN928" s="9"/>
      <c r="LO928" s="9"/>
      <c r="LP928" s="9"/>
      <c r="LQ928" s="9"/>
      <c r="LR928" s="9"/>
      <c r="LS928" s="9"/>
      <c r="LT928" s="9"/>
      <c r="LU928" s="9"/>
      <c r="LV928" s="9"/>
      <c r="LW928" s="9"/>
      <c r="LX928" s="9"/>
      <c r="LY928" s="9"/>
      <c r="LZ928" s="9"/>
      <c r="MA928" s="9"/>
      <c r="MB928" s="9"/>
      <c r="MC928" s="9"/>
      <c r="MD928" s="9"/>
      <c r="ME928" s="9"/>
      <c r="MF928" s="9"/>
      <c r="MG928" s="9"/>
      <c r="MH928" s="9"/>
      <c r="MI928" s="9"/>
      <c r="MJ928" s="9"/>
      <c r="MK928" s="9"/>
      <c r="ML928" s="9"/>
      <c r="MM928" s="9"/>
      <c r="MN928" s="9"/>
      <c r="MO928" s="9"/>
      <c r="MP928" s="9"/>
      <c r="MQ928" s="9"/>
      <c r="MR928" s="9"/>
      <c r="MS928" s="9"/>
      <c r="MT928" s="9"/>
      <c r="MU928" s="9"/>
      <c r="MV928" s="9"/>
      <c r="MW928" s="9"/>
      <c r="MX928" s="9"/>
      <c r="MY928" s="9"/>
      <c r="MZ928" s="9"/>
      <c r="NA928" s="9"/>
      <c r="NB928" s="9"/>
      <c r="NC928" s="9"/>
      <c r="ND928" s="9"/>
      <c r="NE928" s="9"/>
      <c r="NF928" s="9"/>
      <c r="NG928" s="9"/>
      <c r="NH928" s="9"/>
      <c r="NI928" s="9"/>
      <c r="NJ928" s="9"/>
      <c r="NK928" s="9"/>
      <c r="NL928" s="9"/>
      <c r="NM928" s="9"/>
      <c r="NN928" s="9"/>
      <c r="NO928" s="9"/>
      <c r="NP928" s="9"/>
      <c r="NQ928" s="9"/>
      <c r="NR928" s="9"/>
      <c r="NS928" s="9"/>
      <c r="NT928" s="9"/>
      <c r="NU928" s="9"/>
      <c r="NV928" s="9"/>
      <c r="NW928" s="9"/>
      <c r="NX928" s="9"/>
      <c r="NY928" s="9"/>
      <c r="NZ928" s="9"/>
      <c r="OA928" s="9"/>
      <c r="OB928" s="9"/>
      <c r="OC928" s="9"/>
      <c r="OD928" s="9"/>
      <c r="OE928" s="9"/>
      <c r="OF928" s="9"/>
      <c r="OG928" s="9"/>
      <c r="OH928" s="9"/>
      <c r="OI928" s="9"/>
      <c r="OJ928" s="9"/>
      <c r="OK928" s="9"/>
      <c r="OL928" s="9"/>
      <c r="OM928" s="9"/>
      <c r="ON928" s="9"/>
      <c r="OO928" s="9"/>
      <c r="OP928" s="9"/>
      <c r="OQ928" s="9"/>
      <c r="OR928" s="9"/>
      <c r="OS928" s="9"/>
      <c r="OT928" s="9"/>
      <c r="OU928" s="9"/>
      <c r="OV928" s="9"/>
      <c r="OW928" s="9"/>
      <c r="OX928" s="9"/>
      <c r="OY928" s="9"/>
      <c r="OZ928" s="9"/>
      <c r="PA928" s="9"/>
      <c r="PB928" s="9"/>
      <c r="PC928" s="9"/>
      <c r="PD928" s="9"/>
      <c r="PE928" s="9"/>
      <c r="PF928" s="9"/>
      <c r="PG928" s="9"/>
      <c r="PH928" s="9"/>
      <c r="PI928" s="9"/>
      <c r="PJ928" s="9"/>
      <c r="PK928" s="9"/>
      <c r="PL928" s="9"/>
      <c r="PM928" s="9"/>
      <c r="PN928" s="9"/>
      <c r="PO928" s="9"/>
      <c r="PP928" s="9"/>
      <c r="PQ928" s="9"/>
      <c r="PR928" s="9"/>
      <c r="PS928" s="9"/>
      <c r="PT928" s="9"/>
      <c r="PU928" s="9"/>
      <c r="PV928" s="9"/>
      <c r="PW928" s="9"/>
      <c r="PX928" s="9"/>
      <c r="PY928" s="9"/>
      <c r="PZ928" s="9"/>
      <c r="QA928" s="9"/>
      <c r="QB928" s="9"/>
      <c r="QC928" s="9"/>
      <c r="QD928" s="9"/>
      <c r="QE928" s="9"/>
      <c r="QF928" s="9"/>
      <c r="QG928" s="9"/>
      <c r="QH928" s="9"/>
      <c r="QI928" s="9"/>
      <c r="QJ928" s="9"/>
      <c r="QK928" s="9"/>
      <c r="QL928" s="9"/>
      <c r="QM928" s="9"/>
      <c r="QN928" s="9"/>
      <c r="QO928" s="9"/>
      <c r="QP928" s="9"/>
      <c r="QQ928" s="9"/>
      <c r="QR928" s="9"/>
      <c r="QS928" s="9"/>
      <c r="QT928" s="9"/>
      <c r="QU928" s="9"/>
      <c r="QV928" s="9"/>
      <c r="QW928" s="9"/>
      <c r="QX928" s="9"/>
      <c r="QY928" s="9"/>
      <c r="QZ928" s="9"/>
      <c r="RA928" s="9"/>
      <c r="RB928" s="9"/>
      <c r="RC928" s="9"/>
      <c r="RD928" s="9"/>
      <c r="RE928" s="9"/>
      <c r="RF928" s="9"/>
      <c r="RG928" s="9"/>
      <c r="RH928" s="9"/>
      <c r="RI928" s="9"/>
      <c r="RJ928" s="9"/>
      <c r="RK928" s="9"/>
      <c r="RL928" s="9"/>
      <c r="RM928" s="9"/>
      <c r="RN928" s="9"/>
      <c r="RO928" s="9"/>
      <c r="RP928" s="9"/>
      <c r="RQ928" s="9"/>
      <c r="RR928" s="9"/>
      <c r="RS928" s="9"/>
      <c r="RT928" s="9"/>
      <c r="RU928" s="9"/>
      <c r="RV928" s="9"/>
      <c r="RW928" s="9"/>
      <c r="RX928" s="9"/>
      <c r="RY928" s="9"/>
      <c r="RZ928" s="9"/>
      <c r="SA928" s="9"/>
      <c r="SB928" s="9"/>
      <c r="SC928" s="9"/>
      <c r="SD928" s="9"/>
      <c r="SE928" s="9"/>
      <c r="SF928" s="9"/>
      <c r="SG928" s="9"/>
      <c r="SH928" s="9"/>
      <c r="SI928" s="9"/>
      <c r="SJ928" s="9"/>
      <c r="SK928" s="9"/>
      <c r="SL928" s="9"/>
      <c r="SM928" s="9"/>
      <c r="SN928" s="9"/>
      <c r="SO928" s="9"/>
      <c r="SP928" s="9"/>
      <c r="SQ928" s="9"/>
      <c r="SR928" s="9"/>
      <c r="SS928" s="9"/>
      <c r="ST928" s="9"/>
      <c r="SU928" s="9"/>
      <c r="SV928" s="9"/>
      <c r="SW928" s="9"/>
      <c r="SX928" s="9"/>
      <c r="SY928" s="9"/>
      <c r="SZ928" s="9"/>
      <c r="TA928" s="9"/>
      <c r="TB928" s="9"/>
      <c r="TC928" s="9"/>
      <c r="TD928" s="9"/>
      <c r="TE928" s="9"/>
      <c r="TF928" s="9"/>
      <c r="TG928" s="9"/>
      <c r="TH928" s="9"/>
      <c r="TI928" s="9"/>
      <c r="TJ928" s="9"/>
      <c r="TK928" s="9"/>
      <c r="TL928" s="9"/>
      <c r="TM928" s="9"/>
      <c r="TN928" s="9"/>
      <c r="TO928" s="9"/>
      <c r="TP928" s="9"/>
      <c r="TQ928" s="9"/>
      <c r="TR928" s="9"/>
      <c r="TS928" s="9"/>
      <c r="TT928" s="9"/>
      <c r="TU928" s="9"/>
      <c r="TV928" s="9"/>
      <c r="TW928" s="9"/>
      <c r="TX928" s="9"/>
      <c r="TY928" s="9"/>
      <c r="TZ928" s="9"/>
      <c r="UA928" s="9"/>
      <c r="UB928" s="9"/>
      <c r="UC928" s="9"/>
      <c r="UD928" s="9"/>
      <c r="UE928" s="9"/>
      <c r="UF928" s="9"/>
      <c r="UG928" s="9"/>
      <c r="UH928" s="9"/>
      <c r="UI928" s="9"/>
      <c r="UJ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/>
      <c r="FJ929" s="9"/>
      <c r="FK929" s="9"/>
      <c r="FL929" s="9"/>
      <c r="FM929" s="9"/>
      <c r="FN929" s="9"/>
      <c r="FO929" s="9"/>
      <c r="FP929" s="9"/>
      <c r="FQ929" s="9"/>
      <c r="FR929" s="9"/>
      <c r="FS929" s="9"/>
      <c r="FT929" s="9"/>
      <c r="FU929" s="9"/>
      <c r="FV929" s="9"/>
      <c r="FW929" s="9"/>
      <c r="FX929" s="9"/>
      <c r="FY929" s="9"/>
      <c r="FZ929" s="9"/>
      <c r="GA929" s="9"/>
      <c r="GB929" s="9"/>
      <c r="GC929" s="9"/>
      <c r="GD929" s="9"/>
      <c r="GE929" s="9"/>
      <c r="GF929" s="9"/>
      <c r="GG929" s="9"/>
      <c r="GH929" s="9"/>
      <c r="GI929" s="9"/>
      <c r="GJ929" s="9"/>
      <c r="GK929" s="9"/>
      <c r="GL929" s="9"/>
      <c r="GM929" s="9"/>
      <c r="GN929" s="9"/>
      <c r="GO929" s="9"/>
      <c r="GP929" s="9"/>
      <c r="GQ929" s="9"/>
      <c r="GR929" s="9"/>
      <c r="GS929" s="9"/>
      <c r="GT929" s="9"/>
      <c r="GU929" s="9"/>
      <c r="GV929" s="9"/>
      <c r="GW929" s="9"/>
      <c r="GX929" s="9"/>
      <c r="GY929" s="9"/>
      <c r="GZ929" s="9"/>
      <c r="HA929" s="9"/>
      <c r="HB929" s="9"/>
      <c r="HC929" s="9"/>
      <c r="HD929" s="9"/>
      <c r="HE929" s="9"/>
      <c r="HF929" s="9"/>
      <c r="HG929" s="9"/>
      <c r="HH929" s="9"/>
      <c r="HI929" s="9"/>
      <c r="HJ929" s="9"/>
      <c r="HK929" s="9"/>
      <c r="HL929" s="9"/>
      <c r="HM929" s="9"/>
      <c r="HN929" s="9"/>
      <c r="HO929" s="9"/>
      <c r="HP929" s="9"/>
      <c r="HQ929" s="9"/>
      <c r="HR929" s="9"/>
      <c r="HS929" s="9"/>
      <c r="HT929" s="9"/>
      <c r="HU929" s="9"/>
      <c r="HV929" s="9"/>
      <c r="HW929" s="9"/>
      <c r="HX929" s="9"/>
      <c r="HY929" s="9"/>
      <c r="HZ929" s="9"/>
      <c r="IA929" s="9"/>
      <c r="IB929" s="9"/>
      <c r="IC929" s="9"/>
      <c r="ID929" s="9"/>
      <c r="IE929" s="9"/>
      <c r="IF929" s="9"/>
      <c r="IG929" s="9"/>
      <c r="IH929" s="9"/>
      <c r="II929" s="9"/>
      <c r="IJ929" s="9"/>
      <c r="IK929" s="9"/>
      <c r="IL929" s="9"/>
      <c r="IM929" s="9"/>
      <c r="IN929" s="9"/>
      <c r="IO929" s="9"/>
      <c r="IP929" s="9"/>
      <c r="IQ929" s="9"/>
      <c r="IR929" s="9"/>
      <c r="IS929" s="9"/>
      <c r="IT929" s="9"/>
      <c r="IU929" s="9"/>
      <c r="IV929" s="9"/>
      <c r="IW929" s="9"/>
      <c r="IX929" s="9"/>
      <c r="IY929" s="9"/>
      <c r="IZ929" s="9"/>
      <c r="JA929" s="9"/>
      <c r="JB929" s="9"/>
      <c r="JC929" s="9"/>
      <c r="JD929" s="9"/>
      <c r="JE929" s="9"/>
      <c r="JF929" s="9"/>
      <c r="JG929" s="9"/>
      <c r="JH929" s="9"/>
      <c r="JI929" s="9"/>
      <c r="JJ929" s="9"/>
      <c r="JK929" s="9"/>
      <c r="JL929" s="9"/>
      <c r="JM929" s="9"/>
      <c r="JN929" s="9"/>
      <c r="JO929" s="9"/>
      <c r="JP929" s="9"/>
      <c r="JQ929" s="9"/>
      <c r="JR929" s="9"/>
      <c r="JS929" s="9"/>
      <c r="JT929" s="9"/>
      <c r="JU929" s="9"/>
      <c r="JV929" s="9"/>
      <c r="JW929" s="9"/>
      <c r="JX929" s="9"/>
      <c r="JY929" s="9"/>
      <c r="JZ929" s="9"/>
      <c r="KA929" s="9"/>
      <c r="KB929" s="9"/>
      <c r="KC929" s="9"/>
      <c r="KD929" s="9"/>
      <c r="KE929" s="9"/>
      <c r="KF929" s="9"/>
      <c r="KG929" s="9"/>
      <c r="KH929" s="9"/>
      <c r="KI929" s="9"/>
      <c r="KJ929" s="9"/>
      <c r="KK929" s="9"/>
      <c r="KL929" s="9"/>
      <c r="KM929" s="9"/>
      <c r="KN929" s="9"/>
      <c r="KO929" s="9"/>
      <c r="KP929" s="9"/>
      <c r="KQ929" s="9"/>
      <c r="KR929" s="9"/>
      <c r="KS929" s="9"/>
      <c r="KT929" s="9"/>
      <c r="KU929" s="9"/>
      <c r="KV929" s="9"/>
      <c r="KW929" s="9"/>
      <c r="KX929" s="9"/>
      <c r="KY929" s="9"/>
      <c r="KZ929" s="9"/>
      <c r="LA929" s="9"/>
      <c r="LB929" s="9"/>
      <c r="LC929" s="9"/>
      <c r="LD929" s="9"/>
      <c r="LE929" s="9"/>
      <c r="LF929" s="9"/>
      <c r="LG929" s="9"/>
      <c r="LH929" s="9"/>
      <c r="LI929" s="9"/>
      <c r="LJ929" s="9"/>
      <c r="LK929" s="9"/>
      <c r="LL929" s="9"/>
      <c r="LM929" s="9"/>
      <c r="LN929" s="9"/>
      <c r="LO929" s="9"/>
      <c r="LP929" s="9"/>
      <c r="LQ929" s="9"/>
      <c r="LR929" s="9"/>
      <c r="LS929" s="9"/>
      <c r="LT929" s="9"/>
      <c r="LU929" s="9"/>
      <c r="LV929" s="9"/>
      <c r="LW929" s="9"/>
      <c r="LX929" s="9"/>
      <c r="LY929" s="9"/>
      <c r="LZ929" s="9"/>
      <c r="MA929" s="9"/>
      <c r="MB929" s="9"/>
      <c r="MC929" s="9"/>
      <c r="MD929" s="9"/>
      <c r="ME929" s="9"/>
      <c r="MF929" s="9"/>
      <c r="MG929" s="9"/>
      <c r="MH929" s="9"/>
      <c r="MI929" s="9"/>
      <c r="MJ929" s="9"/>
      <c r="MK929" s="9"/>
      <c r="ML929" s="9"/>
      <c r="MM929" s="9"/>
      <c r="MN929" s="9"/>
      <c r="MO929" s="9"/>
      <c r="MP929" s="9"/>
      <c r="MQ929" s="9"/>
      <c r="MR929" s="9"/>
      <c r="MS929" s="9"/>
      <c r="MT929" s="9"/>
      <c r="MU929" s="9"/>
      <c r="MV929" s="9"/>
      <c r="MW929" s="9"/>
      <c r="MX929" s="9"/>
      <c r="MY929" s="9"/>
      <c r="MZ929" s="9"/>
      <c r="NA929" s="9"/>
      <c r="NB929" s="9"/>
      <c r="NC929" s="9"/>
      <c r="ND929" s="9"/>
      <c r="NE929" s="9"/>
      <c r="NF929" s="9"/>
      <c r="NG929" s="9"/>
      <c r="NH929" s="9"/>
      <c r="NI929" s="9"/>
      <c r="NJ929" s="9"/>
      <c r="NK929" s="9"/>
      <c r="NL929" s="9"/>
      <c r="NM929" s="9"/>
      <c r="NN929" s="9"/>
      <c r="NO929" s="9"/>
      <c r="NP929" s="9"/>
      <c r="NQ929" s="9"/>
      <c r="NR929" s="9"/>
      <c r="NS929" s="9"/>
      <c r="NT929" s="9"/>
      <c r="NU929" s="9"/>
      <c r="NV929" s="9"/>
      <c r="NW929" s="9"/>
      <c r="NX929" s="9"/>
      <c r="NY929" s="9"/>
      <c r="NZ929" s="9"/>
      <c r="OA929" s="9"/>
      <c r="OB929" s="9"/>
      <c r="OC929" s="9"/>
      <c r="OD929" s="9"/>
      <c r="OE929" s="9"/>
      <c r="OF929" s="9"/>
      <c r="OG929" s="9"/>
      <c r="OH929" s="9"/>
      <c r="OI929" s="9"/>
      <c r="OJ929" s="9"/>
      <c r="OK929" s="9"/>
      <c r="OL929" s="9"/>
      <c r="OM929" s="9"/>
      <c r="ON929" s="9"/>
      <c r="OO929" s="9"/>
      <c r="OP929" s="9"/>
      <c r="OQ929" s="9"/>
      <c r="OR929" s="9"/>
      <c r="OS929" s="9"/>
      <c r="OT929" s="9"/>
      <c r="OU929" s="9"/>
      <c r="OV929" s="9"/>
      <c r="OW929" s="9"/>
      <c r="OX929" s="9"/>
      <c r="OY929" s="9"/>
      <c r="OZ929" s="9"/>
      <c r="PA929" s="9"/>
      <c r="PB929" s="9"/>
      <c r="PC929" s="9"/>
      <c r="PD929" s="9"/>
      <c r="PE929" s="9"/>
      <c r="PF929" s="9"/>
      <c r="PG929" s="9"/>
      <c r="PH929" s="9"/>
      <c r="PI929" s="9"/>
      <c r="PJ929" s="9"/>
      <c r="PK929" s="9"/>
      <c r="PL929" s="9"/>
      <c r="PM929" s="9"/>
      <c r="PN929" s="9"/>
      <c r="PO929" s="9"/>
      <c r="PP929" s="9"/>
      <c r="PQ929" s="9"/>
      <c r="PR929" s="9"/>
      <c r="PS929" s="9"/>
      <c r="PT929" s="9"/>
      <c r="PU929" s="9"/>
      <c r="PV929" s="9"/>
      <c r="PW929" s="9"/>
      <c r="PX929" s="9"/>
      <c r="PY929" s="9"/>
      <c r="PZ929" s="9"/>
      <c r="QA929" s="9"/>
      <c r="QB929" s="9"/>
      <c r="QC929" s="9"/>
      <c r="QD929" s="9"/>
      <c r="QE929" s="9"/>
      <c r="QF929" s="9"/>
      <c r="QG929" s="9"/>
      <c r="QH929" s="9"/>
      <c r="QI929" s="9"/>
      <c r="QJ929" s="9"/>
      <c r="QK929" s="9"/>
      <c r="QL929" s="9"/>
      <c r="QM929" s="9"/>
      <c r="QN929" s="9"/>
      <c r="QO929" s="9"/>
      <c r="QP929" s="9"/>
      <c r="QQ929" s="9"/>
      <c r="QR929" s="9"/>
      <c r="QS929" s="9"/>
      <c r="QT929" s="9"/>
      <c r="QU929" s="9"/>
      <c r="QV929" s="9"/>
      <c r="QW929" s="9"/>
      <c r="QX929" s="9"/>
      <c r="QY929" s="9"/>
      <c r="QZ929" s="9"/>
      <c r="RA929" s="9"/>
      <c r="RB929" s="9"/>
      <c r="RC929" s="9"/>
      <c r="RD929" s="9"/>
      <c r="RE929" s="9"/>
      <c r="RF929" s="9"/>
      <c r="RG929" s="9"/>
      <c r="RH929" s="9"/>
      <c r="RI929" s="9"/>
      <c r="RJ929" s="9"/>
      <c r="RK929" s="9"/>
      <c r="RL929" s="9"/>
      <c r="RM929" s="9"/>
      <c r="RN929" s="9"/>
      <c r="RO929" s="9"/>
      <c r="RP929" s="9"/>
      <c r="RQ929" s="9"/>
      <c r="RR929" s="9"/>
      <c r="RS929" s="9"/>
      <c r="RT929" s="9"/>
      <c r="RU929" s="9"/>
      <c r="RV929" s="9"/>
      <c r="RW929" s="9"/>
      <c r="RX929" s="9"/>
      <c r="RY929" s="9"/>
      <c r="RZ929" s="9"/>
      <c r="SA929" s="9"/>
      <c r="SB929" s="9"/>
      <c r="SC929" s="9"/>
      <c r="SD929" s="9"/>
      <c r="SE929" s="9"/>
      <c r="SF929" s="9"/>
      <c r="SG929" s="9"/>
      <c r="SH929" s="9"/>
      <c r="SI929" s="9"/>
      <c r="SJ929" s="9"/>
      <c r="SK929" s="9"/>
      <c r="SL929" s="9"/>
      <c r="SM929" s="9"/>
      <c r="SN929" s="9"/>
      <c r="SO929" s="9"/>
      <c r="SP929" s="9"/>
      <c r="SQ929" s="9"/>
      <c r="SR929" s="9"/>
      <c r="SS929" s="9"/>
      <c r="ST929" s="9"/>
      <c r="SU929" s="9"/>
      <c r="SV929" s="9"/>
      <c r="SW929" s="9"/>
      <c r="SX929" s="9"/>
      <c r="SY929" s="9"/>
      <c r="SZ929" s="9"/>
      <c r="TA929" s="9"/>
      <c r="TB929" s="9"/>
      <c r="TC929" s="9"/>
      <c r="TD929" s="9"/>
      <c r="TE929" s="9"/>
      <c r="TF929" s="9"/>
      <c r="TG929" s="9"/>
      <c r="TH929" s="9"/>
      <c r="TI929" s="9"/>
      <c r="TJ929" s="9"/>
      <c r="TK929" s="9"/>
      <c r="TL929" s="9"/>
      <c r="TM929" s="9"/>
      <c r="TN929" s="9"/>
      <c r="TO929" s="9"/>
      <c r="TP929" s="9"/>
      <c r="TQ929" s="9"/>
      <c r="TR929" s="9"/>
      <c r="TS929" s="9"/>
      <c r="TT929" s="9"/>
      <c r="TU929" s="9"/>
      <c r="TV929" s="9"/>
      <c r="TW929" s="9"/>
      <c r="TX929" s="9"/>
      <c r="TY929" s="9"/>
      <c r="TZ929" s="9"/>
      <c r="UA929" s="9"/>
      <c r="UB929" s="9"/>
      <c r="UC929" s="9"/>
      <c r="UD929" s="9"/>
      <c r="UE929" s="9"/>
      <c r="UF929" s="9"/>
      <c r="UG929" s="9"/>
      <c r="UH929" s="9"/>
      <c r="UI929" s="9"/>
      <c r="UJ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/>
      <c r="FQ930" s="9"/>
      <c r="FR930" s="9"/>
      <c r="FS930" s="9"/>
      <c r="FT930" s="9"/>
      <c r="FU930" s="9"/>
      <c r="FV930" s="9"/>
      <c r="FW930" s="9"/>
      <c r="FX930" s="9"/>
      <c r="FY930" s="9"/>
      <c r="FZ930" s="9"/>
      <c r="GA930" s="9"/>
      <c r="GB930" s="9"/>
      <c r="GC930" s="9"/>
      <c r="GD930" s="9"/>
      <c r="GE930" s="9"/>
      <c r="GF930" s="9"/>
      <c r="GG930" s="9"/>
      <c r="GH930" s="9"/>
      <c r="GI930" s="9"/>
      <c r="GJ930" s="9"/>
      <c r="GK930" s="9"/>
      <c r="GL930" s="9"/>
      <c r="GM930" s="9"/>
      <c r="GN930" s="9"/>
      <c r="GO930" s="9"/>
      <c r="GP930" s="9"/>
      <c r="GQ930" s="9"/>
      <c r="GR930" s="9"/>
      <c r="GS930" s="9"/>
      <c r="GT930" s="9"/>
      <c r="GU930" s="9"/>
      <c r="GV930" s="9"/>
      <c r="GW930" s="9"/>
      <c r="GX930" s="9"/>
      <c r="GY930" s="9"/>
      <c r="GZ930" s="9"/>
      <c r="HA930" s="9"/>
      <c r="HB930" s="9"/>
      <c r="HC930" s="9"/>
      <c r="HD930" s="9"/>
      <c r="HE930" s="9"/>
      <c r="HF930" s="9"/>
      <c r="HG930" s="9"/>
      <c r="HH930" s="9"/>
      <c r="HI930" s="9"/>
      <c r="HJ930" s="9"/>
      <c r="HK930" s="9"/>
      <c r="HL930" s="9"/>
      <c r="HM930" s="9"/>
      <c r="HN930" s="9"/>
      <c r="HO930" s="9"/>
      <c r="HP930" s="9"/>
      <c r="HQ930" s="9"/>
      <c r="HR930" s="9"/>
      <c r="HS930" s="9"/>
      <c r="HT930" s="9"/>
      <c r="HU930" s="9"/>
      <c r="HV930" s="9"/>
      <c r="HW930" s="9"/>
      <c r="HX930" s="9"/>
      <c r="HY930" s="9"/>
      <c r="HZ930" s="9"/>
      <c r="IA930" s="9"/>
      <c r="IB930" s="9"/>
      <c r="IC930" s="9"/>
      <c r="ID930" s="9"/>
      <c r="IE930" s="9"/>
      <c r="IF930" s="9"/>
      <c r="IG930" s="9"/>
      <c r="IH930" s="9"/>
      <c r="II930" s="9"/>
      <c r="IJ930" s="9"/>
      <c r="IK930" s="9"/>
      <c r="IL930" s="9"/>
      <c r="IM930" s="9"/>
      <c r="IN930" s="9"/>
      <c r="IO930" s="9"/>
      <c r="IP930" s="9"/>
      <c r="IQ930" s="9"/>
      <c r="IR930" s="9"/>
      <c r="IS930" s="9"/>
      <c r="IT930" s="9"/>
      <c r="IU930" s="9"/>
      <c r="IV930" s="9"/>
      <c r="IW930" s="9"/>
      <c r="IX930" s="9"/>
      <c r="IY930" s="9"/>
      <c r="IZ930" s="9"/>
      <c r="JA930" s="9"/>
      <c r="JB930" s="9"/>
      <c r="JC930" s="9"/>
      <c r="JD930" s="9"/>
      <c r="JE930" s="9"/>
      <c r="JF930" s="9"/>
      <c r="JG930" s="9"/>
      <c r="JH930" s="9"/>
      <c r="JI930" s="9"/>
      <c r="JJ930" s="9"/>
      <c r="JK930" s="9"/>
      <c r="JL930" s="9"/>
      <c r="JM930" s="9"/>
      <c r="JN930" s="9"/>
      <c r="JO930" s="9"/>
      <c r="JP930" s="9"/>
      <c r="JQ930" s="9"/>
      <c r="JR930" s="9"/>
      <c r="JS930" s="9"/>
      <c r="JT930" s="9"/>
      <c r="JU930" s="9"/>
      <c r="JV930" s="9"/>
      <c r="JW930" s="9"/>
      <c r="JX930" s="9"/>
      <c r="JY930" s="9"/>
      <c r="JZ930" s="9"/>
      <c r="KA930" s="9"/>
      <c r="KB930" s="9"/>
      <c r="KC930" s="9"/>
      <c r="KD930" s="9"/>
      <c r="KE930" s="9"/>
      <c r="KF930" s="9"/>
      <c r="KG930" s="9"/>
      <c r="KH930" s="9"/>
      <c r="KI930" s="9"/>
      <c r="KJ930" s="9"/>
      <c r="KK930" s="9"/>
      <c r="KL930" s="9"/>
      <c r="KM930" s="9"/>
      <c r="KN930" s="9"/>
      <c r="KO930" s="9"/>
      <c r="KP930" s="9"/>
      <c r="KQ930" s="9"/>
      <c r="KR930" s="9"/>
      <c r="KS930" s="9"/>
      <c r="KT930" s="9"/>
      <c r="KU930" s="9"/>
      <c r="KV930" s="9"/>
      <c r="KW930" s="9"/>
      <c r="KX930" s="9"/>
      <c r="KY930" s="9"/>
      <c r="KZ930" s="9"/>
      <c r="LA930" s="9"/>
      <c r="LB930" s="9"/>
      <c r="LC930" s="9"/>
      <c r="LD930" s="9"/>
      <c r="LE930" s="9"/>
      <c r="LF930" s="9"/>
      <c r="LG930" s="9"/>
      <c r="LH930" s="9"/>
      <c r="LI930" s="9"/>
      <c r="LJ930" s="9"/>
      <c r="LK930" s="9"/>
      <c r="LL930" s="9"/>
      <c r="LM930" s="9"/>
      <c r="LN930" s="9"/>
      <c r="LO930" s="9"/>
      <c r="LP930" s="9"/>
      <c r="LQ930" s="9"/>
      <c r="LR930" s="9"/>
      <c r="LS930" s="9"/>
      <c r="LT930" s="9"/>
      <c r="LU930" s="9"/>
      <c r="LV930" s="9"/>
      <c r="LW930" s="9"/>
      <c r="LX930" s="9"/>
      <c r="LY930" s="9"/>
      <c r="LZ930" s="9"/>
      <c r="MA930" s="9"/>
      <c r="MB930" s="9"/>
      <c r="MC930" s="9"/>
      <c r="MD930" s="9"/>
      <c r="ME930" s="9"/>
      <c r="MF930" s="9"/>
      <c r="MG930" s="9"/>
      <c r="MH930" s="9"/>
      <c r="MI930" s="9"/>
      <c r="MJ930" s="9"/>
      <c r="MK930" s="9"/>
      <c r="ML930" s="9"/>
      <c r="MM930" s="9"/>
      <c r="MN930" s="9"/>
      <c r="MO930" s="9"/>
      <c r="MP930" s="9"/>
      <c r="MQ930" s="9"/>
      <c r="MR930" s="9"/>
      <c r="MS930" s="9"/>
      <c r="MT930" s="9"/>
      <c r="MU930" s="9"/>
      <c r="MV930" s="9"/>
      <c r="MW930" s="9"/>
      <c r="MX930" s="9"/>
      <c r="MY930" s="9"/>
      <c r="MZ930" s="9"/>
      <c r="NA930" s="9"/>
      <c r="NB930" s="9"/>
      <c r="NC930" s="9"/>
      <c r="ND930" s="9"/>
      <c r="NE930" s="9"/>
      <c r="NF930" s="9"/>
      <c r="NG930" s="9"/>
      <c r="NH930" s="9"/>
      <c r="NI930" s="9"/>
      <c r="NJ930" s="9"/>
      <c r="NK930" s="9"/>
      <c r="NL930" s="9"/>
      <c r="NM930" s="9"/>
      <c r="NN930" s="9"/>
      <c r="NO930" s="9"/>
      <c r="NP930" s="9"/>
      <c r="NQ930" s="9"/>
      <c r="NR930" s="9"/>
      <c r="NS930" s="9"/>
      <c r="NT930" s="9"/>
      <c r="NU930" s="9"/>
      <c r="NV930" s="9"/>
      <c r="NW930" s="9"/>
      <c r="NX930" s="9"/>
      <c r="NY930" s="9"/>
      <c r="NZ930" s="9"/>
      <c r="OA930" s="9"/>
      <c r="OB930" s="9"/>
      <c r="OC930" s="9"/>
      <c r="OD930" s="9"/>
      <c r="OE930" s="9"/>
      <c r="OF930" s="9"/>
      <c r="OG930" s="9"/>
      <c r="OH930" s="9"/>
      <c r="OI930" s="9"/>
      <c r="OJ930" s="9"/>
      <c r="OK930" s="9"/>
      <c r="OL930" s="9"/>
      <c r="OM930" s="9"/>
      <c r="ON930" s="9"/>
      <c r="OO930" s="9"/>
      <c r="OP930" s="9"/>
      <c r="OQ930" s="9"/>
      <c r="OR930" s="9"/>
      <c r="OS930" s="9"/>
      <c r="OT930" s="9"/>
      <c r="OU930" s="9"/>
      <c r="OV930" s="9"/>
      <c r="OW930" s="9"/>
      <c r="OX930" s="9"/>
      <c r="OY930" s="9"/>
      <c r="OZ930" s="9"/>
      <c r="PA930" s="9"/>
      <c r="PB930" s="9"/>
      <c r="PC930" s="9"/>
      <c r="PD930" s="9"/>
      <c r="PE930" s="9"/>
      <c r="PF930" s="9"/>
      <c r="PG930" s="9"/>
      <c r="PH930" s="9"/>
      <c r="PI930" s="9"/>
      <c r="PJ930" s="9"/>
      <c r="PK930" s="9"/>
      <c r="PL930" s="9"/>
      <c r="PM930" s="9"/>
      <c r="PN930" s="9"/>
      <c r="PO930" s="9"/>
      <c r="PP930" s="9"/>
      <c r="PQ930" s="9"/>
      <c r="PR930" s="9"/>
      <c r="PS930" s="9"/>
      <c r="PT930" s="9"/>
      <c r="PU930" s="9"/>
      <c r="PV930" s="9"/>
      <c r="PW930" s="9"/>
      <c r="PX930" s="9"/>
      <c r="PY930" s="9"/>
      <c r="PZ930" s="9"/>
      <c r="QA930" s="9"/>
      <c r="QB930" s="9"/>
      <c r="QC930" s="9"/>
      <c r="QD930" s="9"/>
      <c r="QE930" s="9"/>
      <c r="QF930" s="9"/>
      <c r="QG930" s="9"/>
      <c r="QH930" s="9"/>
      <c r="QI930" s="9"/>
      <c r="QJ930" s="9"/>
      <c r="QK930" s="9"/>
      <c r="QL930" s="9"/>
      <c r="QM930" s="9"/>
      <c r="QN930" s="9"/>
      <c r="QO930" s="9"/>
      <c r="QP930" s="9"/>
      <c r="QQ930" s="9"/>
      <c r="QR930" s="9"/>
      <c r="QS930" s="9"/>
      <c r="QT930" s="9"/>
      <c r="QU930" s="9"/>
      <c r="QV930" s="9"/>
      <c r="QW930" s="9"/>
      <c r="QX930" s="9"/>
      <c r="QY930" s="9"/>
      <c r="QZ930" s="9"/>
      <c r="RA930" s="9"/>
      <c r="RB930" s="9"/>
      <c r="RC930" s="9"/>
      <c r="RD930" s="9"/>
      <c r="RE930" s="9"/>
      <c r="RF930" s="9"/>
      <c r="RG930" s="9"/>
      <c r="RH930" s="9"/>
      <c r="RI930" s="9"/>
      <c r="RJ930" s="9"/>
      <c r="RK930" s="9"/>
      <c r="RL930" s="9"/>
      <c r="RM930" s="9"/>
      <c r="RN930" s="9"/>
      <c r="RO930" s="9"/>
      <c r="RP930" s="9"/>
      <c r="RQ930" s="9"/>
      <c r="RR930" s="9"/>
      <c r="RS930" s="9"/>
      <c r="RT930" s="9"/>
      <c r="RU930" s="9"/>
      <c r="RV930" s="9"/>
      <c r="RW930" s="9"/>
      <c r="RX930" s="9"/>
      <c r="RY930" s="9"/>
      <c r="RZ930" s="9"/>
      <c r="SA930" s="9"/>
      <c r="SB930" s="9"/>
      <c r="SC930" s="9"/>
      <c r="SD930" s="9"/>
      <c r="SE930" s="9"/>
      <c r="SF930" s="9"/>
      <c r="SG930" s="9"/>
      <c r="SH930" s="9"/>
      <c r="SI930" s="9"/>
      <c r="SJ930" s="9"/>
      <c r="SK930" s="9"/>
      <c r="SL930" s="9"/>
      <c r="SM930" s="9"/>
      <c r="SN930" s="9"/>
      <c r="SO930" s="9"/>
      <c r="SP930" s="9"/>
      <c r="SQ930" s="9"/>
      <c r="SR930" s="9"/>
      <c r="SS930" s="9"/>
      <c r="ST930" s="9"/>
      <c r="SU930" s="9"/>
      <c r="SV930" s="9"/>
      <c r="SW930" s="9"/>
      <c r="SX930" s="9"/>
      <c r="SY930" s="9"/>
      <c r="SZ930" s="9"/>
      <c r="TA930" s="9"/>
      <c r="TB930" s="9"/>
      <c r="TC930" s="9"/>
      <c r="TD930" s="9"/>
      <c r="TE930" s="9"/>
      <c r="TF930" s="9"/>
      <c r="TG930" s="9"/>
      <c r="TH930" s="9"/>
      <c r="TI930" s="9"/>
      <c r="TJ930" s="9"/>
      <c r="TK930" s="9"/>
      <c r="TL930" s="9"/>
      <c r="TM930" s="9"/>
      <c r="TN930" s="9"/>
      <c r="TO930" s="9"/>
      <c r="TP930" s="9"/>
      <c r="TQ930" s="9"/>
      <c r="TR930" s="9"/>
      <c r="TS930" s="9"/>
      <c r="TT930" s="9"/>
      <c r="TU930" s="9"/>
      <c r="TV930" s="9"/>
      <c r="TW930" s="9"/>
      <c r="TX930" s="9"/>
      <c r="TY930" s="9"/>
      <c r="TZ930" s="9"/>
      <c r="UA930" s="9"/>
      <c r="UB930" s="9"/>
      <c r="UC930" s="9"/>
      <c r="UD930" s="9"/>
      <c r="UE930" s="9"/>
      <c r="UF930" s="9"/>
      <c r="UG930" s="9"/>
      <c r="UH930" s="9"/>
      <c r="UI930" s="9"/>
      <c r="UJ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9"/>
      <c r="FP931" s="9"/>
      <c r="FQ931" s="9"/>
      <c r="FR931" s="9"/>
      <c r="FS931" s="9"/>
      <c r="FT931" s="9"/>
      <c r="FU931" s="9"/>
      <c r="FV931" s="9"/>
      <c r="FW931" s="9"/>
      <c r="FX931" s="9"/>
      <c r="FY931" s="9"/>
      <c r="FZ931" s="9"/>
      <c r="GA931" s="9"/>
      <c r="GB931" s="9"/>
      <c r="GC931" s="9"/>
      <c r="GD931" s="9"/>
      <c r="GE931" s="9"/>
      <c r="GF931" s="9"/>
      <c r="GG931" s="9"/>
      <c r="GH931" s="9"/>
      <c r="GI931" s="9"/>
      <c r="GJ931" s="9"/>
      <c r="GK931" s="9"/>
      <c r="GL931" s="9"/>
      <c r="GM931" s="9"/>
      <c r="GN931" s="9"/>
      <c r="GO931" s="9"/>
      <c r="GP931" s="9"/>
      <c r="GQ931" s="9"/>
      <c r="GR931" s="9"/>
      <c r="GS931" s="9"/>
      <c r="GT931" s="9"/>
      <c r="GU931" s="9"/>
      <c r="GV931" s="9"/>
      <c r="GW931" s="9"/>
      <c r="GX931" s="9"/>
      <c r="GY931" s="9"/>
      <c r="GZ931" s="9"/>
      <c r="HA931" s="9"/>
      <c r="HB931" s="9"/>
      <c r="HC931" s="9"/>
      <c r="HD931" s="9"/>
      <c r="HE931" s="9"/>
      <c r="HF931" s="9"/>
      <c r="HG931" s="9"/>
      <c r="HH931" s="9"/>
      <c r="HI931" s="9"/>
      <c r="HJ931" s="9"/>
      <c r="HK931" s="9"/>
      <c r="HL931" s="9"/>
      <c r="HM931" s="9"/>
      <c r="HN931" s="9"/>
      <c r="HO931" s="9"/>
      <c r="HP931" s="9"/>
      <c r="HQ931" s="9"/>
      <c r="HR931" s="9"/>
      <c r="HS931" s="9"/>
      <c r="HT931" s="9"/>
      <c r="HU931" s="9"/>
      <c r="HV931" s="9"/>
      <c r="HW931" s="9"/>
      <c r="HX931" s="9"/>
      <c r="HY931" s="9"/>
      <c r="HZ931" s="9"/>
      <c r="IA931" s="9"/>
      <c r="IB931" s="9"/>
      <c r="IC931" s="9"/>
      <c r="ID931" s="9"/>
      <c r="IE931" s="9"/>
      <c r="IF931" s="9"/>
      <c r="IG931" s="9"/>
      <c r="IH931" s="9"/>
      <c r="II931" s="9"/>
      <c r="IJ931" s="9"/>
      <c r="IK931" s="9"/>
      <c r="IL931" s="9"/>
      <c r="IM931" s="9"/>
      <c r="IN931" s="9"/>
      <c r="IO931" s="9"/>
      <c r="IP931" s="9"/>
      <c r="IQ931" s="9"/>
      <c r="IR931" s="9"/>
      <c r="IS931" s="9"/>
      <c r="IT931" s="9"/>
      <c r="IU931" s="9"/>
      <c r="IV931" s="9"/>
      <c r="IW931" s="9"/>
      <c r="IX931" s="9"/>
      <c r="IY931" s="9"/>
      <c r="IZ931" s="9"/>
      <c r="JA931" s="9"/>
      <c r="JB931" s="9"/>
      <c r="JC931" s="9"/>
      <c r="JD931" s="9"/>
      <c r="JE931" s="9"/>
      <c r="JF931" s="9"/>
      <c r="JG931" s="9"/>
      <c r="JH931" s="9"/>
      <c r="JI931" s="9"/>
      <c r="JJ931" s="9"/>
      <c r="JK931" s="9"/>
      <c r="JL931" s="9"/>
      <c r="JM931" s="9"/>
      <c r="JN931" s="9"/>
      <c r="JO931" s="9"/>
      <c r="JP931" s="9"/>
      <c r="JQ931" s="9"/>
      <c r="JR931" s="9"/>
      <c r="JS931" s="9"/>
      <c r="JT931" s="9"/>
      <c r="JU931" s="9"/>
      <c r="JV931" s="9"/>
      <c r="JW931" s="9"/>
      <c r="JX931" s="9"/>
      <c r="JY931" s="9"/>
      <c r="JZ931" s="9"/>
      <c r="KA931" s="9"/>
      <c r="KB931" s="9"/>
      <c r="KC931" s="9"/>
      <c r="KD931" s="9"/>
      <c r="KE931" s="9"/>
      <c r="KF931" s="9"/>
      <c r="KG931" s="9"/>
      <c r="KH931" s="9"/>
      <c r="KI931" s="9"/>
      <c r="KJ931" s="9"/>
      <c r="KK931" s="9"/>
      <c r="KL931" s="9"/>
      <c r="KM931" s="9"/>
      <c r="KN931" s="9"/>
      <c r="KO931" s="9"/>
      <c r="KP931" s="9"/>
      <c r="KQ931" s="9"/>
      <c r="KR931" s="9"/>
      <c r="KS931" s="9"/>
      <c r="KT931" s="9"/>
      <c r="KU931" s="9"/>
      <c r="KV931" s="9"/>
      <c r="KW931" s="9"/>
      <c r="KX931" s="9"/>
      <c r="KY931" s="9"/>
      <c r="KZ931" s="9"/>
      <c r="LA931" s="9"/>
      <c r="LB931" s="9"/>
      <c r="LC931" s="9"/>
      <c r="LD931" s="9"/>
      <c r="LE931" s="9"/>
      <c r="LF931" s="9"/>
      <c r="LG931" s="9"/>
      <c r="LH931" s="9"/>
      <c r="LI931" s="9"/>
      <c r="LJ931" s="9"/>
      <c r="LK931" s="9"/>
      <c r="LL931" s="9"/>
      <c r="LM931" s="9"/>
      <c r="LN931" s="9"/>
      <c r="LO931" s="9"/>
      <c r="LP931" s="9"/>
      <c r="LQ931" s="9"/>
      <c r="LR931" s="9"/>
      <c r="LS931" s="9"/>
      <c r="LT931" s="9"/>
      <c r="LU931" s="9"/>
      <c r="LV931" s="9"/>
      <c r="LW931" s="9"/>
      <c r="LX931" s="9"/>
      <c r="LY931" s="9"/>
      <c r="LZ931" s="9"/>
      <c r="MA931" s="9"/>
      <c r="MB931" s="9"/>
      <c r="MC931" s="9"/>
      <c r="MD931" s="9"/>
      <c r="ME931" s="9"/>
      <c r="MF931" s="9"/>
      <c r="MG931" s="9"/>
      <c r="MH931" s="9"/>
      <c r="MI931" s="9"/>
      <c r="MJ931" s="9"/>
      <c r="MK931" s="9"/>
      <c r="ML931" s="9"/>
      <c r="MM931" s="9"/>
      <c r="MN931" s="9"/>
      <c r="MO931" s="9"/>
      <c r="MP931" s="9"/>
      <c r="MQ931" s="9"/>
      <c r="MR931" s="9"/>
      <c r="MS931" s="9"/>
      <c r="MT931" s="9"/>
      <c r="MU931" s="9"/>
      <c r="MV931" s="9"/>
      <c r="MW931" s="9"/>
      <c r="MX931" s="9"/>
      <c r="MY931" s="9"/>
      <c r="MZ931" s="9"/>
      <c r="NA931" s="9"/>
      <c r="NB931" s="9"/>
      <c r="NC931" s="9"/>
      <c r="ND931" s="9"/>
      <c r="NE931" s="9"/>
      <c r="NF931" s="9"/>
      <c r="NG931" s="9"/>
      <c r="NH931" s="9"/>
      <c r="NI931" s="9"/>
      <c r="NJ931" s="9"/>
      <c r="NK931" s="9"/>
      <c r="NL931" s="9"/>
      <c r="NM931" s="9"/>
      <c r="NN931" s="9"/>
      <c r="NO931" s="9"/>
      <c r="NP931" s="9"/>
      <c r="NQ931" s="9"/>
      <c r="NR931" s="9"/>
      <c r="NS931" s="9"/>
      <c r="NT931" s="9"/>
      <c r="NU931" s="9"/>
      <c r="NV931" s="9"/>
      <c r="NW931" s="9"/>
      <c r="NX931" s="9"/>
      <c r="NY931" s="9"/>
      <c r="NZ931" s="9"/>
      <c r="OA931" s="9"/>
      <c r="OB931" s="9"/>
      <c r="OC931" s="9"/>
      <c r="OD931" s="9"/>
      <c r="OE931" s="9"/>
      <c r="OF931" s="9"/>
      <c r="OG931" s="9"/>
      <c r="OH931" s="9"/>
      <c r="OI931" s="9"/>
      <c r="OJ931" s="9"/>
      <c r="OK931" s="9"/>
      <c r="OL931" s="9"/>
      <c r="OM931" s="9"/>
      <c r="ON931" s="9"/>
      <c r="OO931" s="9"/>
      <c r="OP931" s="9"/>
      <c r="OQ931" s="9"/>
      <c r="OR931" s="9"/>
      <c r="OS931" s="9"/>
      <c r="OT931" s="9"/>
      <c r="OU931" s="9"/>
      <c r="OV931" s="9"/>
      <c r="OW931" s="9"/>
      <c r="OX931" s="9"/>
      <c r="OY931" s="9"/>
      <c r="OZ931" s="9"/>
      <c r="PA931" s="9"/>
      <c r="PB931" s="9"/>
      <c r="PC931" s="9"/>
      <c r="PD931" s="9"/>
      <c r="PE931" s="9"/>
      <c r="PF931" s="9"/>
      <c r="PG931" s="9"/>
      <c r="PH931" s="9"/>
      <c r="PI931" s="9"/>
      <c r="PJ931" s="9"/>
      <c r="PK931" s="9"/>
      <c r="PL931" s="9"/>
      <c r="PM931" s="9"/>
      <c r="PN931" s="9"/>
      <c r="PO931" s="9"/>
      <c r="PP931" s="9"/>
      <c r="PQ931" s="9"/>
      <c r="PR931" s="9"/>
      <c r="PS931" s="9"/>
      <c r="PT931" s="9"/>
      <c r="PU931" s="9"/>
      <c r="PV931" s="9"/>
      <c r="PW931" s="9"/>
      <c r="PX931" s="9"/>
      <c r="PY931" s="9"/>
      <c r="PZ931" s="9"/>
      <c r="QA931" s="9"/>
      <c r="QB931" s="9"/>
      <c r="QC931" s="9"/>
      <c r="QD931" s="9"/>
      <c r="QE931" s="9"/>
      <c r="QF931" s="9"/>
      <c r="QG931" s="9"/>
      <c r="QH931" s="9"/>
      <c r="QI931" s="9"/>
      <c r="QJ931" s="9"/>
      <c r="QK931" s="9"/>
      <c r="QL931" s="9"/>
      <c r="QM931" s="9"/>
      <c r="QN931" s="9"/>
      <c r="QO931" s="9"/>
      <c r="QP931" s="9"/>
      <c r="QQ931" s="9"/>
      <c r="QR931" s="9"/>
      <c r="QS931" s="9"/>
      <c r="QT931" s="9"/>
      <c r="QU931" s="9"/>
      <c r="QV931" s="9"/>
      <c r="QW931" s="9"/>
      <c r="QX931" s="9"/>
      <c r="QY931" s="9"/>
      <c r="QZ931" s="9"/>
      <c r="RA931" s="9"/>
      <c r="RB931" s="9"/>
      <c r="RC931" s="9"/>
      <c r="RD931" s="9"/>
      <c r="RE931" s="9"/>
      <c r="RF931" s="9"/>
      <c r="RG931" s="9"/>
      <c r="RH931" s="9"/>
      <c r="RI931" s="9"/>
      <c r="RJ931" s="9"/>
      <c r="RK931" s="9"/>
      <c r="RL931" s="9"/>
      <c r="RM931" s="9"/>
      <c r="RN931" s="9"/>
      <c r="RO931" s="9"/>
      <c r="RP931" s="9"/>
      <c r="RQ931" s="9"/>
      <c r="RR931" s="9"/>
      <c r="RS931" s="9"/>
      <c r="RT931" s="9"/>
      <c r="RU931" s="9"/>
      <c r="RV931" s="9"/>
      <c r="RW931" s="9"/>
      <c r="RX931" s="9"/>
      <c r="RY931" s="9"/>
      <c r="RZ931" s="9"/>
      <c r="SA931" s="9"/>
      <c r="SB931" s="9"/>
      <c r="SC931" s="9"/>
      <c r="SD931" s="9"/>
      <c r="SE931" s="9"/>
      <c r="SF931" s="9"/>
      <c r="SG931" s="9"/>
      <c r="SH931" s="9"/>
      <c r="SI931" s="9"/>
      <c r="SJ931" s="9"/>
      <c r="SK931" s="9"/>
      <c r="SL931" s="9"/>
      <c r="SM931" s="9"/>
      <c r="SN931" s="9"/>
      <c r="SO931" s="9"/>
      <c r="SP931" s="9"/>
      <c r="SQ931" s="9"/>
      <c r="SR931" s="9"/>
      <c r="SS931" s="9"/>
      <c r="ST931" s="9"/>
      <c r="SU931" s="9"/>
      <c r="SV931" s="9"/>
      <c r="SW931" s="9"/>
      <c r="SX931" s="9"/>
      <c r="SY931" s="9"/>
      <c r="SZ931" s="9"/>
      <c r="TA931" s="9"/>
      <c r="TB931" s="9"/>
      <c r="TC931" s="9"/>
      <c r="TD931" s="9"/>
      <c r="TE931" s="9"/>
      <c r="TF931" s="9"/>
      <c r="TG931" s="9"/>
      <c r="TH931" s="9"/>
      <c r="TI931" s="9"/>
      <c r="TJ931" s="9"/>
      <c r="TK931" s="9"/>
      <c r="TL931" s="9"/>
      <c r="TM931" s="9"/>
      <c r="TN931" s="9"/>
      <c r="TO931" s="9"/>
      <c r="TP931" s="9"/>
      <c r="TQ931" s="9"/>
      <c r="TR931" s="9"/>
      <c r="TS931" s="9"/>
      <c r="TT931" s="9"/>
      <c r="TU931" s="9"/>
      <c r="TV931" s="9"/>
      <c r="TW931" s="9"/>
      <c r="TX931" s="9"/>
      <c r="TY931" s="9"/>
      <c r="TZ931" s="9"/>
      <c r="UA931" s="9"/>
      <c r="UB931" s="9"/>
      <c r="UC931" s="9"/>
      <c r="UD931" s="9"/>
      <c r="UE931" s="9"/>
      <c r="UF931" s="9"/>
      <c r="UG931" s="9"/>
      <c r="UH931" s="9"/>
      <c r="UI931" s="9"/>
      <c r="UJ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9"/>
      <c r="FJ932" s="9"/>
      <c r="FK932" s="9"/>
      <c r="FL932" s="9"/>
      <c r="FM932" s="9"/>
      <c r="FN932" s="9"/>
      <c r="FO932" s="9"/>
      <c r="FP932" s="9"/>
      <c r="FQ932" s="9"/>
      <c r="FR932" s="9"/>
      <c r="FS932" s="9"/>
      <c r="FT932" s="9"/>
      <c r="FU932" s="9"/>
      <c r="FV932" s="9"/>
      <c r="FW932" s="9"/>
      <c r="FX932" s="9"/>
      <c r="FY932" s="9"/>
      <c r="FZ932" s="9"/>
      <c r="GA932" s="9"/>
      <c r="GB932" s="9"/>
      <c r="GC932" s="9"/>
      <c r="GD932" s="9"/>
      <c r="GE932" s="9"/>
      <c r="GF932" s="9"/>
      <c r="GG932" s="9"/>
      <c r="GH932" s="9"/>
      <c r="GI932" s="9"/>
      <c r="GJ932" s="9"/>
      <c r="GK932" s="9"/>
      <c r="GL932" s="9"/>
      <c r="GM932" s="9"/>
      <c r="GN932" s="9"/>
      <c r="GO932" s="9"/>
      <c r="GP932" s="9"/>
      <c r="GQ932" s="9"/>
      <c r="GR932" s="9"/>
      <c r="GS932" s="9"/>
      <c r="GT932" s="9"/>
      <c r="GU932" s="9"/>
      <c r="GV932" s="9"/>
      <c r="GW932" s="9"/>
      <c r="GX932" s="9"/>
      <c r="GY932" s="9"/>
      <c r="GZ932" s="9"/>
      <c r="HA932" s="9"/>
      <c r="HB932" s="9"/>
      <c r="HC932" s="9"/>
      <c r="HD932" s="9"/>
      <c r="HE932" s="9"/>
      <c r="HF932" s="9"/>
      <c r="HG932" s="9"/>
      <c r="HH932" s="9"/>
      <c r="HI932" s="9"/>
      <c r="HJ932" s="9"/>
      <c r="HK932" s="9"/>
      <c r="HL932" s="9"/>
      <c r="HM932" s="9"/>
      <c r="HN932" s="9"/>
      <c r="HO932" s="9"/>
      <c r="HP932" s="9"/>
      <c r="HQ932" s="9"/>
      <c r="HR932" s="9"/>
      <c r="HS932" s="9"/>
      <c r="HT932" s="9"/>
      <c r="HU932" s="9"/>
      <c r="HV932" s="9"/>
      <c r="HW932" s="9"/>
      <c r="HX932" s="9"/>
      <c r="HY932" s="9"/>
      <c r="HZ932" s="9"/>
      <c r="IA932" s="9"/>
      <c r="IB932" s="9"/>
      <c r="IC932" s="9"/>
      <c r="ID932" s="9"/>
      <c r="IE932" s="9"/>
      <c r="IF932" s="9"/>
      <c r="IG932" s="9"/>
      <c r="IH932" s="9"/>
      <c r="II932" s="9"/>
      <c r="IJ932" s="9"/>
      <c r="IK932" s="9"/>
      <c r="IL932" s="9"/>
      <c r="IM932" s="9"/>
      <c r="IN932" s="9"/>
      <c r="IO932" s="9"/>
      <c r="IP932" s="9"/>
      <c r="IQ932" s="9"/>
      <c r="IR932" s="9"/>
      <c r="IS932" s="9"/>
      <c r="IT932" s="9"/>
      <c r="IU932" s="9"/>
      <c r="IV932" s="9"/>
      <c r="IW932" s="9"/>
      <c r="IX932" s="9"/>
      <c r="IY932" s="9"/>
      <c r="IZ932" s="9"/>
      <c r="JA932" s="9"/>
      <c r="JB932" s="9"/>
      <c r="JC932" s="9"/>
      <c r="JD932" s="9"/>
      <c r="JE932" s="9"/>
      <c r="JF932" s="9"/>
      <c r="JG932" s="9"/>
      <c r="JH932" s="9"/>
      <c r="JI932" s="9"/>
      <c r="JJ932" s="9"/>
      <c r="JK932" s="9"/>
      <c r="JL932" s="9"/>
      <c r="JM932" s="9"/>
      <c r="JN932" s="9"/>
      <c r="JO932" s="9"/>
      <c r="JP932" s="9"/>
      <c r="JQ932" s="9"/>
      <c r="JR932" s="9"/>
      <c r="JS932" s="9"/>
      <c r="JT932" s="9"/>
      <c r="JU932" s="9"/>
      <c r="JV932" s="9"/>
      <c r="JW932" s="9"/>
      <c r="JX932" s="9"/>
      <c r="JY932" s="9"/>
      <c r="JZ932" s="9"/>
      <c r="KA932" s="9"/>
      <c r="KB932" s="9"/>
      <c r="KC932" s="9"/>
      <c r="KD932" s="9"/>
      <c r="KE932" s="9"/>
      <c r="KF932" s="9"/>
      <c r="KG932" s="9"/>
      <c r="KH932" s="9"/>
      <c r="KI932" s="9"/>
      <c r="KJ932" s="9"/>
      <c r="KK932" s="9"/>
      <c r="KL932" s="9"/>
      <c r="KM932" s="9"/>
      <c r="KN932" s="9"/>
      <c r="KO932" s="9"/>
      <c r="KP932" s="9"/>
      <c r="KQ932" s="9"/>
      <c r="KR932" s="9"/>
      <c r="KS932" s="9"/>
      <c r="KT932" s="9"/>
      <c r="KU932" s="9"/>
      <c r="KV932" s="9"/>
      <c r="KW932" s="9"/>
      <c r="KX932" s="9"/>
      <c r="KY932" s="9"/>
      <c r="KZ932" s="9"/>
      <c r="LA932" s="9"/>
      <c r="LB932" s="9"/>
      <c r="LC932" s="9"/>
      <c r="LD932" s="9"/>
      <c r="LE932" s="9"/>
      <c r="LF932" s="9"/>
      <c r="LG932" s="9"/>
      <c r="LH932" s="9"/>
      <c r="LI932" s="9"/>
      <c r="LJ932" s="9"/>
      <c r="LK932" s="9"/>
      <c r="LL932" s="9"/>
      <c r="LM932" s="9"/>
      <c r="LN932" s="9"/>
      <c r="LO932" s="9"/>
      <c r="LP932" s="9"/>
      <c r="LQ932" s="9"/>
      <c r="LR932" s="9"/>
      <c r="LS932" s="9"/>
      <c r="LT932" s="9"/>
      <c r="LU932" s="9"/>
      <c r="LV932" s="9"/>
      <c r="LW932" s="9"/>
      <c r="LX932" s="9"/>
      <c r="LY932" s="9"/>
      <c r="LZ932" s="9"/>
      <c r="MA932" s="9"/>
      <c r="MB932" s="9"/>
      <c r="MC932" s="9"/>
      <c r="MD932" s="9"/>
      <c r="ME932" s="9"/>
      <c r="MF932" s="9"/>
      <c r="MG932" s="9"/>
      <c r="MH932" s="9"/>
      <c r="MI932" s="9"/>
      <c r="MJ932" s="9"/>
      <c r="MK932" s="9"/>
      <c r="ML932" s="9"/>
      <c r="MM932" s="9"/>
      <c r="MN932" s="9"/>
      <c r="MO932" s="9"/>
      <c r="MP932" s="9"/>
      <c r="MQ932" s="9"/>
      <c r="MR932" s="9"/>
      <c r="MS932" s="9"/>
      <c r="MT932" s="9"/>
      <c r="MU932" s="9"/>
      <c r="MV932" s="9"/>
      <c r="MW932" s="9"/>
      <c r="MX932" s="9"/>
      <c r="MY932" s="9"/>
      <c r="MZ932" s="9"/>
      <c r="NA932" s="9"/>
      <c r="NB932" s="9"/>
      <c r="NC932" s="9"/>
      <c r="ND932" s="9"/>
      <c r="NE932" s="9"/>
      <c r="NF932" s="9"/>
      <c r="NG932" s="9"/>
      <c r="NH932" s="9"/>
      <c r="NI932" s="9"/>
      <c r="NJ932" s="9"/>
      <c r="NK932" s="9"/>
      <c r="NL932" s="9"/>
      <c r="NM932" s="9"/>
      <c r="NN932" s="9"/>
      <c r="NO932" s="9"/>
      <c r="NP932" s="9"/>
      <c r="NQ932" s="9"/>
      <c r="NR932" s="9"/>
      <c r="NS932" s="9"/>
      <c r="NT932" s="9"/>
      <c r="NU932" s="9"/>
      <c r="NV932" s="9"/>
      <c r="NW932" s="9"/>
      <c r="NX932" s="9"/>
      <c r="NY932" s="9"/>
      <c r="NZ932" s="9"/>
      <c r="OA932" s="9"/>
      <c r="OB932" s="9"/>
      <c r="OC932" s="9"/>
      <c r="OD932" s="9"/>
      <c r="OE932" s="9"/>
      <c r="OF932" s="9"/>
      <c r="OG932" s="9"/>
      <c r="OH932" s="9"/>
      <c r="OI932" s="9"/>
      <c r="OJ932" s="9"/>
      <c r="OK932" s="9"/>
      <c r="OL932" s="9"/>
      <c r="OM932" s="9"/>
      <c r="ON932" s="9"/>
      <c r="OO932" s="9"/>
      <c r="OP932" s="9"/>
      <c r="OQ932" s="9"/>
      <c r="OR932" s="9"/>
      <c r="OS932" s="9"/>
      <c r="OT932" s="9"/>
      <c r="OU932" s="9"/>
      <c r="OV932" s="9"/>
      <c r="OW932" s="9"/>
      <c r="OX932" s="9"/>
      <c r="OY932" s="9"/>
      <c r="OZ932" s="9"/>
      <c r="PA932" s="9"/>
      <c r="PB932" s="9"/>
      <c r="PC932" s="9"/>
      <c r="PD932" s="9"/>
      <c r="PE932" s="9"/>
      <c r="PF932" s="9"/>
      <c r="PG932" s="9"/>
      <c r="PH932" s="9"/>
      <c r="PI932" s="9"/>
      <c r="PJ932" s="9"/>
      <c r="PK932" s="9"/>
      <c r="PL932" s="9"/>
      <c r="PM932" s="9"/>
      <c r="PN932" s="9"/>
      <c r="PO932" s="9"/>
      <c r="PP932" s="9"/>
      <c r="PQ932" s="9"/>
      <c r="PR932" s="9"/>
      <c r="PS932" s="9"/>
      <c r="PT932" s="9"/>
      <c r="PU932" s="9"/>
      <c r="PV932" s="9"/>
      <c r="PW932" s="9"/>
      <c r="PX932" s="9"/>
      <c r="PY932" s="9"/>
      <c r="PZ932" s="9"/>
      <c r="QA932" s="9"/>
      <c r="QB932" s="9"/>
      <c r="QC932" s="9"/>
      <c r="QD932" s="9"/>
      <c r="QE932" s="9"/>
      <c r="QF932" s="9"/>
      <c r="QG932" s="9"/>
      <c r="QH932" s="9"/>
      <c r="QI932" s="9"/>
      <c r="QJ932" s="9"/>
      <c r="QK932" s="9"/>
      <c r="QL932" s="9"/>
      <c r="QM932" s="9"/>
      <c r="QN932" s="9"/>
      <c r="QO932" s="9"/>
      <c r="QP932" s="9"/>
      <c r="QQ932" s="9"/>
      <c r="QR932" s="9"/>
      <c r="QS932" s="9"/>
      <c r="QT932" s="9"/>
      <c r="QU932" s="9"/>
      <c r="QV932" s="9"/>
      <c r="QW932" s="9"/>
      <c r="QX932" s="9"/>
      <c r="QY932" s="9"/>
      <c r="QZ932" s="9"/>
      <c r="RA932" s="9"/>
      <c r="RB932" s="9"/>
      <c r="RC932" s="9"/>
      <c r="RD932" s="9"/>
      <c r="RE932" s="9"/>
      <c r="RF932" s="9"/>
      <c r="RG932" s="9"/>
      <c r="RH932" s="9"/>
      <c r="RI932" s="9"/>
      <c r="RJ932" s="9"/>
      <c r="RK932" s="9"/>
      <c r="RL932" s="9"/>
      <c r="RM932" s="9"/>
      <c r="RN932" s="9"/>
      <c r="RO932" s="9"/>
      <c r="RP932" s="9"/>
      <c r="RQ932" s="9"/>
      <c r="RR932" s="9"/>
      <c r="RS932" s="9"/>
      <c r="RT932" s="9"/>
      <c r="RU932" s="9"/>
      <c r="RV932" s="9"/>
      <c r="RW932" s="9"/>
      <c r="RX932" s="9"/>
      <c r="RY932" s="9"/>
      <c r="RZ932" s="9"/>
      <c r="SA932" s="9"/>
      <c r="SB932" s="9"/>
      <c r="SC932" s="9"/>
      <c r="SD932" s="9"/>
      <c r="SE932" s="9"/>
      <c r="SF932" s="9"/>
      <c r="SG932" s="9"/>
      <c r="SH932" s="9"/>
      <c r="SI932" s="9"/>
      <c r="SJ932" s="9"/>
      <c r="SK932" s="9"/>
      <c r="SL932" s="9"/>
      <c r="SM932" s="9"/>
      <c r="SN932" s="9"/>
      <c r="SO932" s="9"/>
      <c r="SP932" s="9"/>
      <c r="SQ932" s="9"/>
      <c r="SR932" s="9"/>
      <c r="SS932" s="9"/>
      <c r="ST932" s="9"/>
      <c r="SU932" s="9"/>
      <c r="SV932" s="9"/>
      <c r="SW932" s="9"/>
      <c r="SX932" s="9"/>
      <c r="SY932" s="9"/>
      <c r="SZ932" s="9"/>
      <c r="TA932" s="9"/>
      <c r="TB932" s="9"/>
      <c r="TC932" s="9"/>
      <c r="TD932" s="9"/>
      <c r="TE932" s="9"/>
      <c r="TF932" s="9"/>
      <c r="TG932" s="9"/>
      <c r="TH932" s="9"/>
      <c r="TI932" s="9"/>
      <c r="TJ932" s="9"/>
      <c r="TK932" s="9"/>
      <c r="TL932" s="9"/>
      <c r="TM932" s="9"/>
      <c r="TN932" s="9"/>
      <c r="TO932" s="9"/>
      <c r="TP932" s="9"/>
      <c r="TQ932" s="9"/>
      <c r="TR932" s="9"/>
      <c r="TS932" s="9"/>
      <c r="TT932" s="9"/>
      <c r="TU932" s="9"/>
      <c r="TV932" s="9"/>
      <c r="TW932" s="9"/>
      <c r="TX932" s="9"/>
      <c r="TY932" s="9"/>
      <c r="TZ932" s="9"/>
      <c r="UA932" s="9"/>
      <c r="UB932" s="9"/>
      <c r="UC932" s="9"/>
      <c r="UD932" s="9"/>
      <c r="UE932" s="9"/>
      <c r="UF932" s="9"/>
      <c r="UG932" s="9"/>
      <c r="UH932" s="9"/>
      <c r="UI932" s="9"/>
      <c r="UJ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  <c r="GA933" s="9"/>
      <c r="GB933" s="9"/>
      <c r="GC933" s="9"/>
      <c r="GD933" s="9"/>
      <c r="GE933" s="9"/>
      <c r="GF933" s="9"/>
      <c r="GG933" s="9"/>
      <c r="GH933" s="9"/>
      <c r="GI933" s="9"/>
      <c r="GJ933" s="9"/>
      <c r="GK933" s="9"/>
      <c r="GL933" s="9"/>
      <c r="GM933" s="9"/>
      <c r="GN933" s="9"/>
      <c r="GO933" s="9"/>
      <c r="GP933" s="9"/>
      <c r="GQ933" s="9"/>
      <c r="GR933" s="9"/>
      <c r="GS933" s="9"/>
      <c r="GT933" s="9"/>
      <c r="GU933" s="9"/>
      <c r="GV933" s="9"/>
      <c r="GW933" s="9"/>
      <c r="GX933" s="9"/>
      <c r="GY933" s="9"/>
      <c r="GZ933" s="9"/>
      <c r="HA933" s="9"/>
      <c r="HB933" s="9"/>
      <c r="HC933" s="9"/>
      <c r="HD933" s="9"/>
      <c r="HE933" s="9"/>
      <c r="HF933" s="9"/>
      <c r="HG933" s="9"/>
      <c r="HH933" s="9"/>
      <c r="HI933" s="9"/>
      <c r="HJ933" s="9"/>
      <c r="HK933" s="9"/>
      <c r="HL933" s="9"/>
      <c r="HM933" s="9"/>
      <c r="HN933" s="9"/>
      <c r="HO933" s="9"/>
      <c r="HP933" s="9"/>
      <c r="HQ933" s="9"/>
      <c r="HR933" s="9"/>
      <c r="HS933" s="9"/>
      <c r="HT933" s="9"/>
      <c r="HU933" s="9"/>
      <c r="HV933" s="9"/>
      <c r="HW933" s="9"/>
      <c r="HX933" s="9"/>
      <c r="HY933" s="9"/>
      <c r="HZ933" s="9"/>
      <c r="IA933" s="9"/>
      <c r="IB933" s="9"/>
      <c r="IC933" s="9"/>
      <c r="ID933" s="9"/>
      <c r="IE933" s="9"/>
      <c r="IF933" s="9"/>
      <c r="IG933" s="9"/>
      <c r="IH933" s="9"/>
      <c r="II933" s="9"/>
      <c r="IJ933" s="9"/>
      <c r="IK933" s="9"/>
      <c r="IL933" s="9"/>
      <c r="IM933" s="9"/>
      <c r="IN933" s="9"/>
      <c r="IO933" s="9"/>
      <c r="IP933" s="9"/>
      <c r="IQ933" s="9"/>
      <c r="IR933" s="9"/>
      <c r="IS933" s="9"/>
      <c r="IT933" s="9"/>
      <c r="IU933" s="9"/>
      <c r="IV933" s="9"/>
      <c r="IW933" s="9"/>
      <c r="IX933" s="9"/>
      <c r="IY933" s="9"/>
      <c r="IZ933" s="9"/>
      <c r="JA933" s="9"/>
      <c r="JB933" s="9"/>
      <c r="JC933" s="9"/>
      <c r="JD933" s="9"/>
      <c r="JE933" s="9"/>
      <c r="JF933" s="9"/>
      <c r="JG933" s="9"/>
      <c r="JH933" s="9"/>
      <c r="JI933" s="9"/>
      <c r="JJ933" s="9"/>
      <c r="JK933" s="9"/>
      <c r="JL933" s="9"/>
      <c r="JM933" s="9"/>
      <c r="JN933" s="9"/>
      <c r="JO933" s="9"/>
      <c r="JP933" s="9"/>
      <c r="JQ933" s="9"/>
      <c r="JR933" s="9"/>
      <c r="JS933" s="9"/>
      <c r="JT933" s="9"/>
      <c r="JU933" s="9"/>
      <c r="JV933" s="9"/>
      <c r="JW933" s="9"/>
      <c r="JX933" s="9"/>
      <c r="JY933" s="9"/>
      <c r="JZ933" s="9"/>
      <c r="KA933" s="9"/>
      <c r="KB933" s="9"/>
      <c r="KC933" s="9"/>
      <c r="KD933" s="9"/>
      <c r="KE933" s="9"/>
      <c r="KF933" s="9"/>
      <c r="KG933" s="9"/>
      <c r="KH933" s="9"/>
      <c r="KI933" s="9"/>
      <c r="KJ933" s="9"/>
      <c r="KK933" s="9"/>
      <c r="KL933" s="9"/>
      <c r="KM933" s="9"/>
      <c r="KN933" s="9"/>
      <c r="KO933" s="9"/>
      <c r="KP933" s="9"/>
      <c r="KQ933" s="9"/>
      <c r="KR933" s="9"/>
      <c r="KS933" s="9"/>
      <c r="KT933" s="9"/>
      <c r="KU933" s="9"/>
      <c r="KV933" s="9"/>
      <c r="KW933" s="9"/>
      <c r="KX933" s="9"/>
      <c r="KY933" s="9"/>
      <c r="KZ933" s="9"/>
      <c r="LA933" s="9"/>
      <c r="LB933" s="9"/>
      <c r="LC933" s="9"/>
      <c r="LD933" s="9"/>
      <c r="LE933" s="9"/>
      <c r="LF933" s="9"/>
      <c r="LG933" s="9"/>
      <c r="LH933" s="9"/>
      <c r="LI933" s="9"/>
      <c r="LJ933" s="9"/>
      <c r="LK933" s="9"/>
      <c r="LL933" s="9"/>
      <c r="LM933" s="9"/>
      <c r="LN933" s="9"/>
      <c r="LO933" s="9"/>
      <c r="LP933" s="9"/>
      <c r="LQ933" s="9"/>
      <c r="LR933" s="9"/>
      <c r="LS933" s="9"/>
      <c r="LT933" s="9"/>
      <c r="LU933" s="9"/>
      <c r="LV933" s="9"/>
      <c r="LW933" s="9"/>
      <c r="LX933" s="9"/>
      <c r="LY933" s="9"/>
      <c r="LZ933" s="9"/>
      <c r="MA933" s="9"/>
      <c r="MB933" s="9"/>
      <c r="MC933" s="9"/>
      <c r="MD933" s="9"/>
      <c r="ME933" s="9"/>
      <c r="MF933" s="9"/>
      <c r="MG933" s="9"/>
      <c r="MH933" s="9"/>
      <c r="MI933" s="9"/>
      <c r="MJ933" s="9"/>
      <c r="MK933" s="9"/>
      <c r="ML933" s="9"/>
      <c r="MM933" s="9"/>
      <c r="MN933" s="9"/>
      <c r="MO933" s="9"/>
      <c r="MP933" s="9"/>
      <c r="MQ933" s="9"/>
      <c r="MR933" s="9"/>
      <c r="MS933" s="9"/>
      <c r="MT933" s="9"/>
      <c r="MU933" s="9"/>
      <c r="MV933" s="9"/>
      <c r="MW933" s="9"/>
      <c r="MX933" s="9"/>
      <c r="MY933" s="9"/>
      <c r="MZ933" s="9"/>
      <c r="NA933" s="9"/>
      <c r="NB933" s="9"/>
      <c r="NC933" s="9"/>
      <c r="ND933" s="9"/>
      <c r="NE933" s="9"/>
      <c r="NF933" s="9"/>
      <c r="NG933" s="9"/>
      <c r="NH933" s="9"/>
      <c r="NI933" s="9"/>
      <c r="NJ933" s="9"/>
      <c r="NK933" s="9"/>
      <c r="NL933" s="9"/>
      <c r="NM933" s="9"/>
      <c r="NN933" s="9"/>
      <c r="NO933" s="9"/>
      <c r="NP933" s="9"/>
      <c r="NQ933" s="9"/>
      <c r="NR933" s="9"/>
      <c r="NS933" s="9"/>
      <c r="NT933" s="9"/>
      <c r="NU933" s="9"/>
      <c r="NV933" s="9"/>
      <c r="NW933" s="9"/>
      <c r="NX933" s="9"/>
      <c r="NY933" s="9"/>
      <c r="NZ933" s="9"/>
      <c r="OA933" s="9"/>
      <c r="OB933" s="9"/>
      <c r="OC933" s="9"/>
      <c r="OD933" s="9"/>
      <c r="OE933" s="9"/>
      <c r="OF933" s="9"/>
      <c r="OG933" s="9"/>
      <c r="OH933" s="9"/>
      <c r="OI933" s="9"/>
      <c r="OJ933" s="9"/>
      <c r="OK933" s="9"/>
      <c r="OL933" s="9"/>
      <c r="OM933" s="9"/>
      <c r="ON933" s="9"/>
      <c r="OO933" s="9"/>
      <c r="OP933" s="9"/>
      <c r="OQ933" s="9"/>
      <c r="OR933" s="9"/>
      <c r="OS933" s="9"/>
      <c r="OT933" s="9"/>
      <c r="OU933" s="9"/>
      <c r="OV933" s="9"/>
      <c r="OW933" s="9"/>
      <c r="OX933" s="9"/>
      <c r="OY933" s="9"/>
      <c r="OZ933" s="9"/>
      <c r="PA933" s="9"/>
      <c r="PB933" s="9"/>
      <c r="PC933" s="9"/>
      <c r="PD933" s="9"/>
      <c r="PE933" s="9"/>
      <c r="PF933" s="9"/>
      <c r="PG933" s="9"/>
      <c r="PH933" s="9"/>
      <c r="PI933" s="9"/>
      <c r="PJ933" s="9"/>
      <c r="PK933" s="9"/>
      <c r="PL933" s="9"/>
      <c r="PM933" s="9"/>
      <c r="PN933" s="9"/>
      <c r="PO933" s="9"/>
      <c r="PP933" s="9"/>
      <c r="PQ933" s="9"/>
      <c r="PR933" s="9"/>
      <c r="PS933" s="9"/>
      <c r="PT933" s="9"/>
      <c r="PU933" s="9"/>
      <c r="PV933" s="9"/>
      <c r="PW933" s="9"/>
      <c r="PX933" s="9"/>
      <c r="PY933" s="9"/>
      <c r="PZ933" s="9"/>
      <c r="QA933" s="9"/>
      <c r="QB933" s="9"/>
      <c r="QC933" s="9"/>
      <c r="QD933" s="9"/>
      <c r="QE933" s="9"/>
      <c r="QF933" s="9"/>
      <c r="QG933" s="9"/>
      <c r="QH933" s="9"/>
      <c r="QI933" s="9"/>
      <c r="QJ933" s="9"/>
      <c r="QK933" s="9"/>
      <c r="QL933" s="9"/>
      <c r="QM933" s="9"/>
      <c r="QN933" s="9"/>
      <c r="QO933" s="9"/>
      <c r="QP933" s="9"/>
      <c r="QQ933" s="9"/>
      <c r="QR933" s="9"/>
      <c r="QS933" s="9"/>
      <c r="QT933" s="9"/>
      <c r="QU933" s="9"/>
      <c r="QV933" s="9"/>
      <c r="QW933" s="9"/>
      <c r="QX933" s="9"/>
      <c r="QY933" s="9"/>
      <c r="QZ933" s="9"/>
      <c r="RA933" s="9"/>
      <c r="RB933" s="9"/>
      <c r="RC933" s="9"/>
      <c r="RD933" s="9"/>
      <c r="RE933" s="9"/>
      <c r="RF933" s="9"/>
      <c r="RG933" s="9"/>
      <c r="RH933" s="9"/>
      <c r="RI933" s="9"/>
      <c r="RJ933" s="9"/>
      <c r="RK933" s="9"/>
      <c r="RL933" s="9"/>
      <c r="RM933" s="9"/>
      <c r="RN933" s="9"/>
      <c r="RO933" s="9"/>
      <c r="RP933" s="9"/>
      <c r="RQ933" s="9"/>
      <c r="RR933" s="9"/>
      <c r="RS933" s="9"/>
      <c r="RT933" s="9"/>
      <c r="RU933" s="9"/>
      <c r="RV933" s="9"/>
      <c r="RW933" s="9"/>
      <c r="RX933" s="9"/>
      <c r="RY933" s="9"/>
      <c r="RZ933" s="9"/>
      <c r="SA933" s="9"/>
      <c r="SB933" s="9"/>
      <c r="SC933" s="9"/>
      <c r="SD933" s="9"/>
      <c r="SE933" s="9"/>
      <c r="SF933" s="9"/>
      <c r="SG933" s="9"/>
      <c r="SH933" s="9"/>
      <c r="SI933" s="9"/>
      <c r="SJ933" s="9"/>
      <c r="SK933" s="9"/>
      <c r="SL933" s="9"/>
      <c r="SM933" s="9"/>
      <c r="SN933" s="9"/>
      <c r="SO933" s="9"/>
      <c r="SP933" s="9"/>
      <c r="SQ933" s="9"/>
      <c r="SR933" s="9"/>
      <c r="SS933" s="9"/>
      <c r="ST933" s="9"/>
      <c r="SU933" s="9"/>
      <c r="SV933" s="9"/>
      <c r="SW933" s="9"/>
      <c r="SX933" s="9"/>
      <c r="SY933" s="9"/>
      <c r="SZ933" s="9"/>
      <c r="TA933" s="9"/>
      <c r="TB933" s="9"/>
      <c r="TC933" s="9"/>
      <c r="TD933" s="9"/>
      <c r="TE933" s="9"/>
      <c r="TF933" s="9"/>
      <c r="TG933" s="9"/>
      <c r="TH933" s="9"/>
      <c r="TI933" s="9"/>
      <c r="TJ933" s="9"/>
      <c r="TK933" s="9"/>
      <c r="TL933" s="9"/>
      <c r="TM933" s="9"/>
      <c r="TN933" s="9"/>
      <c r="TO933" s="9"/>
      <c r="TP933" s="9"/>
      <c r="TQ933" s="9"/>
      <c r="TR933" s="9"/>
      <c r="TS933" s="9"/>
      <c r="TT933" s="9"/>
      <c r="TU933" s="9"/>
      <c r="TV933" s="9"/>
      <c r="TW933" s="9"/>
      <c r="TX933" s="9"/>
      <c r="TY933" s="9"/>
      <c r="TZ933" s="9"/>
      <c r="UA933" s="9"/>
      <c r="UB933" s="9"/>
      <c r="UC933" s="9"/>
      <c r="UD933" s="9"/>
      <c r="UE933" s="9"/>
      <c r="UF933" s="9"/>
      <c r="UG933" s="9"/>
      <c r="UH933" s="9"/>
      <c r="UI933" s="9"/>
      <c r="UJ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/>
      <c r="FQ934" s="9"/>
      <c r="FR934" s="9"/>
      <c r="FS934" s="9"/>
      <c r="FT934" s="9"/>
      <c r="FU934" s="9"/>
      <c r="FV934" s="9"/>
      <c r="FW934" s="9"/>
      <c r="FX934" s="9"/>
      <c r="FY934" s="9"/>
      <c r="FZ934" s="9"/>
      <c r="GA934" s="9"/>
      <c r="GB934" s="9"/>
      <c r="GC934" s="9"/>
      <c r="GD934" s="9"/>
      <c r="GE934" s="9"/>
      <c r="GF934" s="9"/>
      <c r="GG934" s="9"/>
      <c r="GH934" s="9"/>
      <c r="GI934" s="9"/>
      <c r="GJ934" s="9"/>
      <c r="GK934" s="9"/>
      <c r="GL934" s="9"/>
      <c r="GM934" s="9"/>
      <c r="GN934" s="9"/>
      <c r="GO934" s="9"/>
      <c r="GP934" s="9"/>
      <c r="GQ934" s="9"/>
      <c r="GR934" s="9"/>
      <c r="GS934" s="9"/>
      <c r="GT934" s="9"/>
      <c r="GU934" s="9"/>
      <c r="GV934" s="9"/>
      <c r="GW934" s="9"/>
      <c r="GX934" s="9"/>
      <c r="GY934" s="9"/>
      <c r="GZ934" s="9"/>
      <c r="HA934" s="9"/>
      <c r="HB934" s="9"/>
      <c r="HC934" s="9"/>
      <c r="HD934" s="9"/>
      <c r="HE934" s="9"/>
      <c r="HF934" s="9"/>
      <c r="HG934" s="9"/>
      <c r="HH934" s="9"/>
      <c r="HI934" s="9"/>
      <c r="HJ934" s="9"/>
      <c r="HK934" s="9"/>
      <c r="HL934" s="9"/>
      <c r="HM934" s="9"/>
      <c r="HN934" s="9"/>
      <c r="HO934" s="9"/>
      <c r="HP934" s="9"/>
      <c r="HQ934" s="9"/>
      <c r="HR934" s="9"/>
      <c r="HS934" s="9"/>
      <c r="HT934" s="9"/>
      <c r="HU934" s="9"/>
      <c r="HV934" s="9"/>
      <c r="HW934" s="9"/>
      <c r="HX934" s="9"/>
      <c r="HY934" s="9"/>
      <c r="HZ934" s="9"/>
      <c r="IA934" s="9"/>
      <c r="IB934" s="9"/>
      <c r="IC934" s="9"/>
      <c r="ID934" s="9"/>
      <c r="IE934" s="9"/>
      <c r="IF934" s="9"/>
      <c r="IG934" s="9"/>
      <c r="IH934" s="9"/>
      <c r="II934" s="9"/>
      <c r="IJ934" s="9"/>
      <c r="IK934" s="9"/>
      <c r="IL934" s="9"/>
      <c r="IM934" s="9"/>
      <c r="IN934" s="9"/>
      <c r="IO934" s="9"/>
      <c r="IP934" s="9"/>
      <c r="IQ934" s="9"/>
      <c r="IR934" s="9"/>
      <c r="IS934" s="9"/>
      <c r="IT934" s="9"/>
      <c r="IU934" s="9"/>
      <c r="IV934" s="9"/>
      <c r="IW934" s="9"/>
      <c r="IX934" s="9"/>
      <c r="IY934" s="9"/>
      <c r="IZ934" s="9"/>
      <c r="JA934" s="9"/>
      <c r="JB934" s="9"/>
      <c r="JC934" s="9"/>
      <c r="JD934" s="9"/>
      <c r="JE934" s="9"/>
      <c r="JF934" s="9"/>
      <c r="JG934" s="9"/>
      <c r="JH934" s="9"/>
      <c r="JI934" s="9"/>
      <c r="JJ934" s="9"/>
      <c r="JK934" s="9"/>
      <c r="JL934" s="9"/>
      <c r="JM934" s="9"/>
      <c r="JN934" s="9"/>
      <c r="JO934" s="9"/>
      <c r="JP934" s="9"/>
      <c r="JQ934" s="9"/>
      <c r="JR934" s="9"/>
      <c r="JS934" s="9"/>
      <c r="JT934" s="9"/>
      <c r="JU934" s="9"/>
      <c r="JV934" s="9"/>
      <c r="JW934" s="9"/>
      <c r="JX934" s="9"/>
      <c r="JY934" s="9"/>
      <c r="JZ934" s="9"/>
      <c r="KA934" s="9"/>
      <c r="KB934" s="9"/>
      <c r="KC934" s="9"/>
      <c r="KD934" s="9"/>
      <c r="KE934" s="9"/>
      <c r="KF934" s="9"/>
      <c r="KG934" s="9"/>
      <c r="KH934" s="9"/>
      <c r="KI934" s="9"/>
      <c r="KJ934" s="9"/>
      <c r="KK934" s="9"/>
      <c r="KL934" s="9"/>
      <c r="KM934" s="9"/>
      <c r="KN934" s="9"/>
      <c r="KO934" s="9"/>
      <c r="KP934" s="9"/>
      <c r="KQ934" s="9"/>
      <c r="KR934" s="9"/>
      <c r="KS934" s="9"/>
      <c r="KT934" s="9"/>
      <c r="KU934" s="9"/>
      <c r="KV934" s="9"/>
      <c r="KW934" s="9"/>
      <c r="KX934" s="9"/>
      <c r="KY934" s="9"/>
      <c r="KZ934" s="9"/>
      <c r="LA934" s="9"/>
      <c r="LB934" s="9"/>
      <c r="LC934" s="9"/>
      <c r="LD934" s="9"/>
      <c r="LE934" s="9"/>
      <c r="LF934" s="9"/>
      <c r="LG934" s="9"/>
      <c r="LH934" s="9"/>
      <c r="LI934" s="9"/>
      <c r="LJ934" s="9"/>
      <c r="LK934" s="9"/>
      <c r="LL934" s="9"/>
      <c r="LM934" s="9"/>
      <c r="LN934" s="9"/>
      <c r="LO934" s="9"/>
      <c r="LP934" s="9"/>
      <c r="LQ934" s="9"/>
      <c r="LR934" s="9"/>
      <c r="LS934" s="9"/>
      <c r="LT934" s="9"/>
      <c r="LU934" s="9"/>
      <c r="LV934" s="9"/>
      <c r="LW934" s="9"/>
      <c r="LX934" s="9"/>
      <c r="LY934" s="9"/>
      <c r="LZ934" s="9"/>
      <c r="MA934" s="9"/>
      <c r="MB934" s="9"/>
      <c r="MC934" s="9"/>
      <c r="MD934" s="9"/>
      <c r="ME934" s="9"/>
      <c r="MF934" s="9"/>
      <c r="MG934" s="9"/>
      <c r="MH934" s="9"/>
      <c r="MI934" s="9"/>
      <c r="MJ934" s="9"/>
      <c r="MK934" s="9"/>
      <c r="ML934" s="9"/>
      <c r="MM934" s="9"/>
      <c r="MN934" s="9"/>
      <c r="MO934" s="9"/>
      <c r="MP934" s="9"/>
      <c r="MQ934" s="9"/>
      <c r="MR934" s="9"/>
      <c r="MS934" s="9"/>
      <c r="MT934" s="9"/>
      <c r="MU934" s="9"/>
      <c r="MV934" s="9"/>
      <c r="MW934" s="9"/>
      <c r="MX934" s="9"/>
      <c r="MY934" s="9"/>
      <c r="MZ934" s="9"/>
      <c r="NA934" s="9"/>
      <c r="NB934" s="9"/>
      <c r="NC934" s="9"/>
      <c r="ND934" s="9"/>
      <c r="NE934" s="9"/>
      <c r="NF934" s="9"/>
      <c r="NG934" s="9"/>
      <c r="NH934" s="9"/>
      <c r="NI934" s="9"/>
      <c r="NJ934" s="9"/>
      <c r="NK934" s="9"/>
      <c r="NL934" s="9"/>
      <c r="NM934" s="9"/>
      <c r="NN934" s="9"/>
      <c r="NO934" s="9"/>
      <c r="NP934" s="9"/>
      <c r="NQ934" s="9"/>
      <c r="NR934" s="9"/>
      <c r="NS934" s="9"/>
      <c r="NT934" s="9"/>
      <c r="NU934" s="9"/>
      <c r="NV934" s="9"/>
      <c r="NW934" s="9"/>
      <c r="NX934" s="9"/>
      <c r="NY934" s="9"/>
      <c r="NZ934" s="9"/>
      <c r="OA934" s="9"/>
      <c r="OB934" s="9"/>
      <c r="OC934" s="9"/>
      <c r="OD934" s="9"/>
      <c r="OE934" s="9"/>
      <c r="OF934" s="9"/>
      <c r="OG934" s="9"/>
      <c r="OH934" s="9"/>
      <c r="OI934" s="9"/>
      <c r="OJ934" s="9"/>
      <c r="OK934" s="9"/>
      <c r="OL934" s="9"/>
      <c r="OM934" s="9"/>
      <c r="ON934" s="9"/>
      <c r="OO934" s="9"/>
      <c r="OP934" s="9"/>
      <c r="OQ934" s="9"/>
      <c r="OR934" s="9"/>
      <c r="OS934" s="9"/>
      <c r="OT934" s="9"/>
      <c r="OU934" s="9"/>
      <c r="OV934" s="9"/>
      <c r="OW934" s="9"/>
      <c r="OX934" s="9"/>
      <c r="OY934" s="9"/>
      <c r="OZ934" s="9"/>
      <c r="PA934" s="9"/>
      <c r="PB934" s="9"/>
      <c r="PC934" s="9"/>
      <c r="PD934" s="9"/>
      <c r="PE934" s="9"/>
      <c r="PF934" s="9"/>
      <c r="PG934" s="9"/>
      <c r="PH934" s="9"/>
      <c r="PI934" s="9"/>
      <c r="PJ934" s="9"/>
      <c r="PK934" s="9"/>
      <c r="PL934" s="9"/>
      <c r="PM934" s="9"/>
      <c r="PN934" s="9"/>
      <c r="PO934" s="9"/>
      <c r="PP934" s="9"/>
      <c r="PQ934" s="9"/>
      <c r="PR934" s="9"/>
      <c r="PS934" s="9"/>
      <c r="PT934" s="9"/>
      <c r="PU934" s="9"/>
      <c r="PV934" s="9"/>
      <c r="PW934" s="9"/>
      <c r="PX934" s="9"/>
      <c r="PY934" s="9"/>
      <c r="PZ934" s="9"/>
      <c r="QA934" s="9"/>
      <c r="QB934" s="9"/>
      <c r="QC934" s="9"/>
      <c r="QD934" s="9"/>
      <c r="QE934" s="9"/>
      <c r="QF934" s="9"/>
      <c r="QG934" s="9"/>
      <c r="QH934" s="9"/>
      <c r="QI934" s="9"/>
      <c r="QJ934" s="9"/>
      <c r="QK934" s="9"/>
      <c r="QL934" s="9"/>
      <c r="QM934" s="9"/>
      <c r="QN934" s="9"/>
      <c r="QO934" s="9"/>
      <c r="QP934" s="9"/>
      <c r="QQ934" s="9"/>
      <c r="QR934" s="9"/>
      <c r="QS934" s="9"/>
      <c r="QT934" s="9"/>
      <c r="QU934" s="9"/>
      <c r="QV934" s="9"/>
      <c r="QW934" s="9"/>
      <c r="QX934" s="9"/>
      <c r="QY934" s="9"/>
      <c r="QZ934" s="9"/>
      <c r="RA934" s="9"/>
      <c r="RB934" s="9"/>
      <c r="RC934" s="9"/>
      <c r="RD934" s="9"/>
      <c r="RE934" s="9"/>
      <c r="RF934" s="9"/>
      <c r="RG934" s="9"/>
      <c r="RH934" s="9"/>
      <c r="RI934" s="9"/>
      <c r="RJ934" s="9"/>
      <c r="RK934" s="9"/>
      <c r="RL934" s="9"/>
      <c r="RM934" s="9"/>
      <c r="RN934" s="9"/>
      <c r="RO934" s="9"/>
      <c r="RP934" s="9"/>
      <c r="RQ934" s="9"/>
      <c r="RR934" s="9"/>
      <c r="RS934" s="9"/>
      <c r="RT934" s="9"/>
      <c r="RU934" s="9"/>
      <c r="RV934" s="9"/>
      <c r="RW934" s="9"/>
      <c r="RX934" s="9"/>
      <c r="RY934" s="9"/>
      <c r="RZ934" s="9"/>
      <c r="SA934" s="9"/>
      <c r="SB934" s="9"/>
      <c r="SC934" s="9"/>
      <c r="SD934" s="9"/>
      <c r="SE934" s="9"/>
      <c r="SF934" s="9"/>
      <c r="SG934" s="9"/>
      <c r="SH934" s="9"/>
      <c r="SI934" s="9"/>
      <c r="SJ934" s="9"/>
      <c r="SK934" s="9"/>
      <c r="SL934" s="9"/>
      <c r="SM934" s="9"/>
      <c r="SN934" s="9"/>
      <c r="SO934" s="9"/>
      <c r="SP934" s="9"/>
      <c r="SQ934" s="9"/>
      <c r="SR934" s="9"/>
      <c r="SS934" s="9"/>
      <c r="ST934" s="9"/>
      <c r="SU934" s="9"/>
      <c r="SV934" s="9"/>
      <c r="SW934" s="9"/>
      <c r="SX934" s="9"/>
      <c r="SY934" s="9"/>
      <c r="SZ934" s="9"/>
      <c r="TA934" s="9"/>
      <c r="TB934" s="9"/>
      <c r="TC934" s="9"/>
      <c r="TD934" s="9"/>
      <c r="TE934" s="9"/>
      <c r="TF934" s="9"/>
      <c r="TG934" s="9"/>
      <c r="TH934" s="9"/>
      <c r="TI934" s="9"/>
      <c r="TJ934" s="9"/>
      <c r="TK934" s="9"/>
      <c r="TL934" s="9"/>
      <c r="TM934" s="9"/>
      <c r="TN934" s="9"/>
      <c r="TO934" s="9"/>
      <c r="TP934" s="9"/>
      <c r="TQ934" s="9"/>
      <c r="TR934" s="9"/>
      <c r="TS934" s="9"/>
      <c r="TT934" s="9"/>
      <c r="TU934" s="9"/>
      <c r="TV934" s="9"/>
      <c r="TW934" s="9"/>
      <c r="TX934" s="9"/>
      <c r="TY934" s="9"/>
      <c r="TZ934" s="9"/>
      <c r="UA934" s="9"/>
      <c r="UB934" s="9"/>
      <c r="UC934" s="9"/>
      <c r="UD934" s="9"/>
      <c r="UE934" s="9"/>
      <c r="UF934" s="9"/>
      <c r="UG934" s="9"/>
      <c r="UH934" s="9"/>
      <c r="UI934" s="9"/>
      <c r="UJ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  <c r="HO935" s="9"/>
      <c r="HP935" s="9"/>
      <c r="HQ935" s="9"/>
      <c r="HR935" s="9"/>
      <c r="HS935" s="9"/>
      <c r="HT935" s="9"/>
      <c r="HU935" s="9"/>
      <c r="HV935" s="9"/>
      <c r="HW935" s="9"/>
      <c r="HX935" s="9"/>
      <c r="HY935" s="9"/>
      <c r="HZ935" s="9"/>
      <c r="IA935" s="9"/>
      <c r="IB935" s="9"/>
      <c r="IC935" s="9"/>
      <c r="ID935" s="9"/>
      <c r="IE935" s="9"/>
      <c r="IF935" s="9"/>
      <c r="IG935" s="9"/>
      <c r="IH935" s="9"/>
      <c r="II935" s="9"/>
      <c r="IJ935" s="9"/>
      <c r="IK935" s="9"/>
      <c r="IL935" s="9"/>
      <c r="IM935" s="9"/>
      <c r="IN935" s="9"/>
      <c r="IO935" s="9"/>
      <c r="IP935" s="9"/>
      <c r="IQ935" s="9"/>
      <c r="IR935" s="9"/>
      <c r="IS935" s="9"/>
      <c r="IT935" s="9"/>
      <c r="IU935" s="9"/>
      <c r="IV935" s="9"/>
      <c r="IW935" s="9"/>
      <c r="IX935" s="9"/>
      <c r="IY935" s="9"/>
      <c r="IZ935" s="9"/>
      <c r="JA935" s="9"/>
      <c r="JB935" s="9"/>
      <c r="JC935" s="9"/>
      <c r="JD935" s="9"/>
      <c r="JE935" s="9"/>
      <c r="JF935" s="9"/>
      <c r="JG935" s="9"/>
      <c r="JH935" s="9"/>
      <c r="JI935" s="9"/>
      <c r="JJ935" s="9"/>
      <c r="JK935" s="9"/>
      <c r="JL935" s="9"/>
      <c r="JM935" s="9"/>
      <c r="JN935" s="9"/>
      <c r="JO935" s="9"/>
      <c r="JP935" s="9"/>
      <c r="JQ935" s="9"/>
      <c r="JR935" s="9"/>
      <c r="JS935" s="9"/>
      <c r="JT935" s="9"/>
      <c r="JU935" s="9"/>
      <c r="JV935" s="9"/>
      <c r="JW935" s="9"/>
      <c r="JX935" s="9"/>
      <c r="JY935" s="9"/>
      <c r="JZ935" s="9"/>
      <c r="KA935" s="9"/>
      <c r="KB935" s="9"/>
      <c r="KC935" s="9"/>
      <c r="KD935" s="9"/>
      <c r="KE935" s="9"/>
      <c r="KF935" s="9"/>
      <c r="KG935" s="9"/>
      <c r="KH935" s="9"/>
      <c r="KI935" s="9"/>
      <c r="KJ935" s="9"/>
      <c r="KK935" s="9"/>
      <c r="KL935" s="9"/>
      <c r="KM935" s="9"/>
      <c r="KN935" s="9"/>
      <c r="KO935" s="9"/>
      <c r="KP935" s="9"/>
      <c r="KQ935" s="9"/>
      <c r="KR935" s="9"/>
      <c r="KS935" s="9"/>
      <c r="KT935" s="9"/>
      <c r="KU935" s="9"/>
      <c r="KV935" s="9"/>
      <c r="KW935" s="9"/>
      <c r="KX935" s="9"/>
      <c r="KY935" s="9"/>
      <c r="KZ935" s="9"/>
      <c r="LA935" s="9"/>
      <c r="LB935" s="9"/>
      <c r="LC935" s="9"/>
      <c r="LD935" s="9"/>
      <c r="LE935" s="9"/>
      <c r="LF935" s="9"/>
      <c r="LG935" s="9"/>
      <c r="LH935" s="9"/>
      <c r="LI935" s="9"/>
      <c r="LJ935" s="9"/>
      <c r="LK935" s="9"/>
      <c r="LL935" s="9"/>
      <c r="LM935" s="9"/>
      <c r="LN935" s="9"/>
      <c r="LO935" s="9"/>
      <c r="LP935" s="9"/>
      <c r="LQ935" s="9"/>
      <c r="LR935" s="9"/>
      <c r="LS935" s="9"/>
      <c r="LT935" s="9"/>
      <c r="LU935" s="9"/>
      <c r="LV935" s="9"/>
      <c r="LW935" s="9"/>
      <c r="LX935" s="9"/>
      <c r="LY935" s="9"/>
      <c r="LZ935" s="9"/>
      <c r="MA935" s="9"/>
      <c r="MB935" s="9"/>
      <c r="MC935" s="9"/>
      <c r="MD935" s="9"/>
      <c r="ME935" s="9"/>
      <c r="MF935" s="9"/>
      <c r="MG935" s="9"/>
      <c r="MH935" s="9"/>
      <c r="MI935" s="9"/>
      <c r="MJ935" s="9"/>
      <c r="MK935" s="9"/>
      <c r="ML935" s="9"/>
      <c r="MM935" s="9"/>
      <c r="MN935" s="9"/>
      <c r="MO935" s="9"/>
      <c r="MP935" s="9"/>
      <c r="MQ935" s="9"/>
      <c r="MR935" s="9"/>
      <c r="MS935" s="9"/>
      <c r="MT935" s="9"/>
      <c r="MU935" s="9"/>
      <c r="MV935" s="9"/>
      <c r="MW935" s="9"/>
      <c r="MX935" s="9"/>
      <c r="MY935" s="9"/>
      <c r="MZ935" s="9"/>
      <c r="NA935" s="9"/>
      <c r="NB935" s="9"/>
      <c r="NC935" s="9"/>
      <c r="ND935" s="9"/>
      <c r="NE935" s="9"/>
      <c r="NF935" s="9"/>
      <c r="NG935" s="9"/>
      <c r="NH935" s="9"/>
      <c r="NI935" s="9"/>
      <c r="NJ935" s="9"/>
      <c r="NK935" s="9"/>
      <c r="NL935" s="9"/>
      <c r="NM935" s="9"/>
      <c r="NN935" s="9"/>
      <c r="NO935" s="9"/>
      <c r="NP935" s="9"/>
      <c r="NQ935" s="9"/>
      <c r="NR935" s="9"/>
      <c r="NS935" s="9"/>
      <c r="NT935" s="9"/>
      <c r="NU935" s="9"/>
      <c r="NV935" s="9"/>
      <c r="NW935" s="9"/>
      <c r="NX935" s="9"/>
      <c r="NY935" s="9"/>
      <c r="NZ935" s="9"/>
      <c r="OA935" s="9"/>
      <c r="OB935" s="9"/>
      <c r="OC935" s="9"/>
      <c r="OD935" s="9"/>
      <c r="OE935" s="9"/>
      <c r="OF935" s="9"/>
      <c r="OG935" s="9"/>
      <c r="OH935" s="9"/>
      <c r="OI935" s="9"/>
      <c r="OJ935" s="9"/>
      <c r="OK935" s="9"/>
      <c r="OL935" s="9"/>
      <c r="OM935" s="9"/>
      <c r="ON935" s="9"/>
      <c r="OO935" s="9"/>
      <c r="OP935" s="9"/>
      <c r="OQ935" s="9"/>
      <c r="OR935" s="9"/>
      <c r="OS935" s="9"/>
      <c r="OT935" s="9"/>
      <c r="OU935" s="9"/>
      <c r="OV935" s="9"/>
      <c r="OW935" s="9"/>
      <c r="OX935" s="9"/>
      <c r="OY935" s="9"/>
      <c r="OZ935" s="9"/>
      <c r="PA935" s="9"/>
      <c r="PB935" s="9"/>
      <c r="PC935" s="9"/>
      <c r="PD935" s="9"/>
      <c r="PE935" s="9"/>
      <c r="PF935" s="9"/>
      <c r="PG935" s="9"/>
      <c r="PH935" s="9"/>
      <c r="PI935" s="9"/>
      <c r="PJ935" s="9"/>
      <c r="PK935" s="9"/>
      <c r="PL935" s="9"/>
      <c r="PM935" s="9"/>
      <c r="PN935" s="9"/>
      <c r="PO935" s="9"/>
      <c r="PP935" s="9"/>
      <c r="PQ935" s="9"/>
      <c r="PR935" s="9"/>
      <c r="PS935" s="9"/>
      <c r="PT935" s="9"/>
      <c r="PU935" s="9"/>
      <c r="PV935" s="9"/>
      <c r="PW935" s="9"/>
      <c r="PX935" s="9"/>
      <c r="PY935" s="9"/>
      <c r="PZ935" s="9"/>
      <c r="QA935" s="9"/>
      <c r="QB935" s="9"/>
      <c r="QC935" s="9"/>
      <c r="QD935" s="9"/>
      <c r="QE935" s="9"/>
      <c r="QF935" s="9"/>
      <c r="QG935" s="9"/>
      <c r="QH935" s="9"/>
      <c r="QI935" s="9"/>
      <c r="QJ935" s="9"/>
      <c r="QK935" s="9"/>
      <c r="QL935" s="9"/>
      <c r="QM935" s="9"/>
      <c r="QN935" s="9"/>
      <c r="QO935" s="9"/>
      <c r="QP935" s="9"/>
      <c r="QQ935" s="9"/>
      <c r="QR935" s="9"/>
      <c r="QS935" s="9"/>
      <c r="QT935" s="9"/>
      <c r="QU935" s="9"/>
      <c r="QV935" s="9"/>
      <c r="QW935" s="9"/>
      <c r="QX935" s="9"/>
      <c r="QY935" s="9"/>
      <c r="QZ935" s="9"/>
      <c r="RA935" s="9"/>
      <c r="RB935" s="9"/>
      <c r="RC935" s="9"/>
      <c r="RD935" s="9"/>
      <c r="RE935" s="9"/>
      <c r="RF935" s="9"/>
      <c r="RG935" s="9"/>
      <c r="RH935" s="9"/>
      <c r="RI935" s="9"/>
      <c r="RJ935" s="9"/>
      <c r="RK935" s="9"/>
      <c r="RL935" s="9"/>
      <c r="RM935" s="9"/>
      <c r="RN935" s="9"/>
      <c r="RO935" s="9"/>
      <c r="RP935" s="9"/>
      <c r="RQ935" s="9"/>
      <c r="RR935" s="9"/>
      <c r="RS935" s="9"/>
      <c r="RT935" s="9"/>
      <c r="RU935" s="9"/>
      <c r="RV935" s="9"/>
      <c r="RW935" s="9"/>
      <c r="RX935" s="9"/>
      <c r="RY935" s="9"/>
      <c r="RZ935" s="9"/>
      <c r="SA935" s="9"/>
      <c r="SB935" s="9"/>
      <c r="SC935" s="9"/>
      <c r="SD935" s="9"/>
      <c r="SE935" s="9"/>
      <c r="SF935" s="9"/>
      <c r="SG935" s="9"/>
      <c r="SH935" s="9"/>
      <c r="SI935" s="9"/>
      <c r="SJ935" s="9"/>
      <c r="SK935" s="9"/>
      <c r="SL935" s="9"/>
      <c r="SM935" s="9"/>
      <c r="SN935" s="9"/>
      <c r="SO935" s="9"/>
      <c r="SP935" s="9"/>
      <c r="SQ935" s="9"/>
      <c r="SR935" s="9"/>
      <c r="SS935" s="9"/>
      <c r="ST935" s="9"/>
      <c r="SU935" s="9"/>
      <c r="SV935" s="9"/>
      <c r="SW935" s="9"/>
      <c r="SX935" s="9"/>
      <c r="SY935" s="9"/>
      <c r="SZ935" s="9"/>
      <c r="TA935" s="9"/>
      <c r="TB935" s="9"/>
      <c r="TC935" s="9"/>
      <c r="TD935" s="9"/>
      <c r="TE935" s="9"/>
      <c r="TF935" s="9"/>
      <c r="TG935" s="9"/>
      <c r="TH935" s="9"/>
      <c r="TI935" s="9"/>
      <c r="TJ935" s="9"/>
      <c r="TK935" s="9"/>
      <c r="TL935" s="9"/>
      <c r="TM935" s="9"/>
      <c r="TN935" s="9"/>
      <c r="TO935" s="9"/>
      <c r="TP935" s="9"/>
      <c r="TQ935" s="9"/>
      <c r="TR935" s="9"/>
      <c r="TS935" s="9"/>
      <c r="TT935" s="9"/>
      <c r="TU935" s="9"/>
      <c r="TV935" s="9"/>
      <c r="TW935" s="9"/>
      <c r="TX935" s="9"/>
      <c r="TY935" s="9"/>
      <c r="TZ935" s="9"/>
      <c r="UA935" s="9"/>
      <c r="UB935" s="9"/>
      <c r="UC935" s="9"/>
      <c r="UD935" s="9"/>
      <c r="UE935" s="9"/>
      <c r="UF935" s="9"/>
      <c r="UG935" s="9"/>
      <c r="UH935" s="9"/>
      <c r="UI935" s="9"/>
      <c r="UJ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9"/>
      <c r="FT936" s="9"/>
      <c r="FU936" s="9"/>
      <c r="FV936" s="9"/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9"/>
      <c r="GH936" s="9"/>
      <c r="GI936" s="9"/>
      <c r="GJ936" s="9"/>
      <c r="GK936" s="9"/>
      <c r="GL936" s="9"/>
      <c r="GM936" s="9"/>
      <c r="GN936" s="9"/>
      <c r="GO936" s="9"/>
      <c r="GP936" s="9"/>
      <c r="GQ936" s="9"/>
      <c r="GR936" s="9"/>
      <c r="GS936" s="9"/>
      <c r="GT936" s="9"/>
      <c r="GU936" s="9"/>
      <c r="GV936" s="9"/>
      <c r="GW936" s="9"/>
      <c r="GX936" s="9"/>
      <c r="GY936" s="9"/>
      <c r="GZ936" s="9"/>
      <c r="HA936" s="9"/>
      <c r="HB936" s="9"/>
      <c r="HC936" s="9"/>
      <c r="HD936" s="9"/>
      <c r="HE936" s="9"/>
      <c r="HF936" s="9"/>
      <c r="HG936" s="9"/>
      <c r="HH936" s="9"/>
      <c r="HI936" s="9"/>
      <c r="HJ936" s="9"/>
      <c r="HK936" s="9"/>
      <c r="HL936" s="9"/>
      <c r="HM936" s="9"/>
      <c r="HN936" s="9"/>
      <c r="HO936" s="9"/>
      <c r="HP936" s="9"/>
      <c r="HQ936" s="9"/>
      <c r="HR936" s="9"/>
      <c r="HS936" s="9"/>
      <c r="HT936" s="9"/>
      <c r="HU936" s="9"/>
      <c r="HV936" s="9"/>
      <c r="HW936" s="9"/>
      <c r="HX936" s="9"/>
      <c r="HY936" s="9"/>
      <c r="HZ936" s="9"/>
      <c r="IA936" s="9"/>
      <c r="IB936" s="9"/>
      <c r="IC936" s="9"/>
      <c r="ID936" s="9"/>
      <c r="IE936" s="9"/>
      <c r="IF936" s="9"/>
      <c r="IG936" s="9"/>
      <c r="IH936" s="9"/>
      <c r="II936" s="9"/>
      <c r="IJ936" s="9"/>
      <c r="IK936" s="9"/>
      <c r="IL936" s="9"/>
      <c r="IM936" s="9"/>
      <c r="IN936" s="9"/>
      <c r="IO936" s="9"/>
      <c r="IP936" s="9"/>
      <c r="IQ936" s="9"/>
      <c r="IR936" s="9"/>
      <c r="IS936" s="9"/>
      <c r="IT936" s="9"/>
      <c r="IU936" s="9"/>
      <c r="IV936" s="9"/>
      <c r="IW936" s="9"/>
      <c r="IX936" s="9"/>
      <c r="IY936" s="9"/>
      <c r="IZ936" s="9"/>
      <c r="JA936" s="9"/>
      <c r="JB936" s="9"/>
      <c r="JC936" s="9"/>
      <c r="JD936" s="9"/>
      <c r="JE936" s="9"/>
      <c r="JF936" s="9"/>
      <c r="JG936" s="9"/>
      <c r="JH936" s="9"/>
      <c r="JI936" s="9"/>
      <c r="JJ936" s="9"/>
      <c r="JK936" s="9"/>
      <c r="JL936" s="9"/>
      <c r="JM936" s="9"/>
      <c r="JN936" s="9"/>
      <c r="JO936" s="9"/>
      <c r="JP936" s="9"/>
      <c r="JQ936" s="9"/>
      <c r="JR936" s="9"/>
      <c r="JS936" s="9"/>
      <c r="JT936" s="9"/>
      <c r="JU936" s="9"/>
      <c r="JV936" s="9"/>
      <c r="JW936" s="9"/>
      <c r="JX936" s="9"/>
      <c r="JY936" s="9"/>
      <c r="JZ936" s="9"/>
      <c r="KA936" s="9"/>
      <c r="KB936" s="9"/>
      <c r="KC936" s="9"/>
      <c r="KD936" s="9"/>
      <c r="KE936" s="9"/>
      <c r="KF936" s="9"/>
      <c r="KG936" s="9"/>
      <c r="KH936" s="9"/>
      <c r="KI936" s="9"/>
      <c r="KJ936" s="9"/>
      <c r="KK936" s="9"/>
      <c r="KL936" s="9"/>
      <c r="KM936" s="9"/>
      <c r="KN936" s="9"/>
      <c r="KO936" s="9"/>
      <c r="KP936" s="9"/>
      <c r="KQ936" s="9"/>
      <c r="KR936" s="9"/>
      <c r="KS936" s="9"/>
      <c r="KT936" s="9"/>
      <c r="KU936" s="9"/>
      <c r="KV936" s="9"/>
      <c r="KW936" s="9"/>
      <c r="KX936" s="9"/>
      <c r="KY936" s="9"/>
      <c r="KZ936" s="9"/>
      <c r="LA936" s="9"/>
      <c r="LB936" s="9"/>
      <c r="LC936" s="9"/>
      <c r="LD936" s="9"/>
      <c r="LE936" s="9"/>
      <c r="LF936" s="9"/>
      <c r="LG936" s="9"/>
      <c r="LH936" s="9"/>
      <c r="LI936" s="9"/>
      <c r="LJ936" s="9"/>
      <c r="LK936" s="9"/>
      <c r="LL936" s="9"/>
      <c r="LM936" s="9"/>
      <c r="LN936" s="9"/>
      <c r="LO936" s="9"/>
      <c r="LP936" s="9"/>
      <c r="LQ936" s="9"/>
      <c r="LR936" s="9"/>
      <c r="LS936" s="9"/>
      <c r="LT936" s="9"/>
      <c r="LU936" s="9"/>
      <c r="LV936" s="9"/>
      <c r="LW936" s="9"/>
      <c r="LX936" s="9"/>
      <c r="LY936" s="9"/>
      <c r="LZ936" s="9"/>
      <c r="MA936" s="9"/>
      <c r="MB936" s="9"/>
      <c r="MC936" s="9"/>
      <c r="MD936" s="9"/>
      <c r="ME936" s="9"/>
      <c r="MF936" s="9"/>
      <c r="MG936" s="9"/>
      <c r="MH936" s="9"/>
      <c r="MI936" s="9"/>
      <c r="MJ936" s="9"/>
      <c r="MK936" s="9"/>
      <c r="ML936" s="9"/>
      <c r="MM936" s="9"/>
      <c r="MN936" s="9"/>
      <c r="MO936" s="9"/>
      <c r="MP936" s="9"/>
      <c r="MQ936" s="9"/>
      <c r="MR936" s="9"/>
      <c r="MS936" s="9"/>
      <c r="MT936" s="9"/>
      <c r="MU936" s="9"/>
      <c r="MV936" s="9"/>
      <c r="MW936" s="9"/>
      <c r="MX936" s="9"/>
      <c r="MY936" s="9"/>
      <c r="MZ936" s="9"/>
      <c r="NA936" s="9"/>
      <c r="NB936" s="9"/>
      <c r="NC936" s="9"/>
      <c r="ND936" s="9"/>
      <c r="NE936" s="9"/>
      <c r="NF936" s="9"/>
      <c r="NG936" s="9"/>
      <c r="NH936" s="9"/>
      <c r="NI936" s="9"/>
      <c r="NJ936" s="9"/>
      <c r="NK936" s="9"/>
      <c r="NL936" s="9"/>
      <c r="NM936" s="9"/>
      <c r="NN936" s="9"/>
      <c r="NO936" s="9"/>
      <c r="NP936" s="9"/>
      <c r="NQ936" s="9"/>
      <c r="NR936" s="9"/>
      <c r="NS936" s="9"/>
      <c r="NT936" s="9"/>
      <c r="NU936" s="9"/>
      <c r="NV936" s="9"/>
      <c r="NW936" s="9"/>
      <c r="NX936" s="9"/>
      <c r="NY936" s="9"/>
      <c r="NZ936" s="9"/>
      <c r="OA936" s="9"/>
      <c r="OB936" s="9"/>
      <c r="OC936" s="9"/>
      <c r="OD936" s="9"/>
      <c r="OE936" s="9"/>
      <c r="OF936" s="9"/>
      <c r="OG936" s="9"/>
      <c r="OH936" s="9"/>
      <c r="OI936" s="9"/>
      <c r="OJ936" s="9"/>
      <c r="OK936" s="9"/>
      <c r="OL936" s="9"/>
      <c r="OM936" s="9"/>
      <c r="ON936" s="9"/>
      <c r="OO936" s="9"/>
      <c r="OP936" s="9"/>
      <c r="OQ936" s="9"/>
      <c r="OR936" s="9"/>
      <c r="OS936" s="9"/>
      <c r="OT936" s="9"/>
      <c r="OU936" s="9"/>
      <c r="OV936" s="9"/>
      <c r="OW936" s="9"/>
      <c r="OX936" s="9"/>
      <c r="OY936" s="9"/>
      <c r="OZ936" s="9"/>
      <c r="PA936" s="9"/>
      <c r="PB936" s="9"/>
      <c r="PC936" s="9"/>
      <c r="PD936" s="9"/>
      <c r="PE936" s="9"/>
      <c r="PF936" s="9"/>
      <c r="PG936" s="9"/>
      <c r="PH936" s="9"/>
      <c r="PI936" s="9"/>
      <c r="PJ936" s="9"/>
      <c r="PK936" s="9"/>
      <c r="PL936" s="9"/>
      <c r="PM936" s="9"/>
      <c r="PN936" s="9"/>
      <c r="PO936" s="9"/>
      <c r="PP936" s="9"/>
      <c r="PQ936" s="9"/>
      <c r="PR936" s="9"/>
      <c r="PS936" s="9"/>
      <c r="PT936" s="9"/>
      <c r="PU936" s="9"/>
      <c r="PV936" s="9"/>
      <c r="PW936" s="9"/>
      <c r="PX936" s="9"/>
      <c r="PY936" s="9"/>
      <c r="PZ936" s="9"/>
      <c r="QA936" s="9"/>
      <c r="QB936" s="9"/>
      <c r="QC936" s="9"/>
      <c r="QD936" s="9"/>
      <c r="QE936" s="9"/>
      <c r="QF936" s="9"/>
      <c r="QG936" s="9"/>
      <c r="QH936" s="9"/>
      <c r="QI936" s="9"/>
      <c r="QJ936" s="9"/>
      <c r="QK936" s="9"/>
      <c r="QL936" s="9"/>
      <c r="QM936" s="9"/>
      <c r="QN936" s="9"/>
      <c r="QO936" s="9"/>
      <c r="QP936" s="9"/>
      <c r="QQ936" s="9"/>
      <c r="QR936" s="9"/>
      <c r="QS936" s="9"/>
      <c r="QT936" s="9"/>
      <c r="QU936" s="9"/>
      <c r="QV936" s="9"/>
      <c r="QW936" s="9"/>
      <c r="QX936" s="9"/>
      <c r="QY936" s="9"/>
      <c r="QZ936" s="9"/>
      <c r="RA936" s="9"/>
      <c r="RB936" s="9"/>
      <c r="RC936" s="9"/>
      <c r="RD936" s="9"/>
      <c r="RE936" s="9"/>
      <c r="RF936" s="9"/>
      <c r="RG936" s="9"/>
      <c r="RH936" s="9"/>
      <c r="RI936" s="9"/>
      <c r="RJ936" s="9"/>
      <c r="RK936" s="9"/>
      <c r="RL936" s="9"/>
      <c r="RM936" s="9"/>
      <c r="RN936" s="9"/>
      <c r="RO936" s="9"/>
      <c r="RP936" s="9"/>
      <c r="RQ936" s="9"/>
      <c r="RR936" s="9"/>
      <c r="RS936" s="9"/>
      <c r="RT936" s="9"/>
      <c r="RU936" s="9"/>
      <c r="RV936" s="9"/>
      <c r="RW936" s="9"/>
      <c r="RX936" s="9"/>
      <c r="RY936" s="9"/>
      <c r="RZ936" s="9"/>
      <c r="SA936" s="9"/>
      <c r="SB936" s="9"/>
      <c r="SC936" s="9"/>
      <c r="SD936" s="9"/>
      <c r="SE936" s="9"/>
      <c r="SF936" s="9"/>
      <c r="SG936" s="9"/>
      <c r="SH936" s="9"/>
      <c r="SI936" s="9"/>
      <c r="SJ936" s="9"/>
      <c r="SK936" s="9"/>
      <c r="SL936" s="9"/>
      <c r="SM936" s="9"/>
      <c r="SN936" s="9"/>
      <c r="SO936" s="9"/>
      <c r="SP936" s="9"/>
      <c r="SQ936" s="9"/>
      <c r="SR936" s="9"/>
      <c r="SS936" s="9"/>
      <c r="ST936" s="9"/>
      <c r="SU936" s="9"/>
      <c r="SV936" s="9"/>
      <c r="SW936" s="9"/>
      <c r="SX936" s="9"/>
      <c r="SY936" s="9"/>
      <c r="SZ936" s="9"/>
      <c r="TA936" s="9"/>
      <c r="TB936" s="9"/>
      <c r="TC936" s="9"/>
      <c r="TD936" s="9"/>
      <c r="TE936" s="9"/>
      <c r="TF936" s="9"/>
      <c r="TG936" s="9"/>
      <c r="TH936" s="9"/>
      <c r="TI936" s="9"/>
      <c r="TJ936" s="9"/>
      <c r="TK936" s="9"/>
      <c r="TL936" s="9"/>
      <c r="TM936" s="9"/>
      <c r="TN936" s="9"/>
      <c r="TO936" s="9"/>
      <c r="TP936" s="9"/>
      <c r="TQ936" s="9"/>
      <c r="TR936" s="9"/>
      <c r="TS936" s="9"/>
      <c r="TT936" s="9"/>
      <c r="TU936" s="9"/>
      <c r="TV936" s="9"/>
      <c r="TW936" s="9"/>
      <c r="TX936" s="9"/>
      <c r="TY936" s="9"/>
      <c r="TZ936" s="9"/>
      <c r="UA936" s="9"/>
      <c r="UB936" s="9"/>
      <c r="UC936" s="9"/>
      <c r="UD936" s="9"/>
      <c r="UE936" s="9"/>
      <c r="UF936" s="9"/>
      <c r="UG936" s="9"/>
      <c r="UH936" s="9"/>
      <c r="UI936" s="9"/>
      <c r="UJ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9"/>
      <c r="GV937" s="9"/>
      <c r="GW937" s="9"/>
      <c r="GX937" s="9"/>
      <c r="GY937" s="9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  <c r="HO937" s="9"/>
      <c r="HP937" s="9"/>
      <c r="HQ937" s="9"/>
      <c r="HR937" s="9"/>
      <c r="HS937" s="9"/>
      <c r="HT937" s="9"/>
      <c r="HU937" s="9"/>
      <c r="HV937" s="9"/>
      <c r="HW937" s="9"/>
      <c r="HX937" s="9"/>
      <c r="HY937" s="9"/>
      <c r="HZ937" s="9"/>
      <c r="IA937" s="9"/>
      <c r="IB937" s="9"/>
      <c r="IC937" s="9"/>
      <c r="ID937" s="9"/>
      <c r="IE937" s="9"/>
      <c r="IF937" s="9"/>
      <c r="IG937" s="9"/>
      <c r="IH937" s="9"/>
      <c r="II937" s="9"/>
      <c r="IJ937" s="9"/>
      <c r="IK937" s="9"/>
      <c r="IL937" s="9"/>
      <c r="IM937" s="9"/>
      <c r="IN937" s="9"/>
      <c r="IO937" s="9"/>
      <c r="IP937" s="9"/>
      <c r="IQ937" s="9"/>
      <c r="IR937" s="9"/>
      <c r="IS937" s="9"/>
      <c r="IT937" s="9"/>
      <c r="IU937" s="9"/>
      <c r="IV937" s="9"/>
      <c r="IW937" s="9"/>
      <c r="IX937" s="9"/>
      <c r="IY937" s="9"/>
      <c r="IZ937" s="9"/>
      <c r="JA937" s="9"/>
      <c r="JB937" s="9"/>
      <c r="JC937" s="9"/>
      <c r="JD937" s="9"/>
      <c r="JE937" s="9"/>
      <c r="JF937" s="9"/>
      <c r="JG937" s="9"/>
      <c r="JH937" s="9"/>
      <c r="JI937" s="9"/>
      <c r="JJ937" s="9"/>
      <c r="JK937" s="9"/>
      <c r="JL937" s="9"/>
      <c r="JM937" s="9"/>
      <c r="JN937" s="9"/>
      <c r="JO937" s="9"/>
      <c r="JP937" s="9"/>
      <c r="JQ937" s="9"/>
      <c r="JR937" s="9"/>
      <c r="JS937" s="9"/>
      <c r="JT937" s="9"/>
      <c r="JU937" s="9"/>
      <c r="JV937" s="9"/>
      <c r="JW937" s="9"/>
      <c r="JX937" s="9"/>
      <c r="JY937" s="9"/>
      <c r="JZ937" s="9"/>
      <c r="KA937" s="9"/>
      <c r="KB937" s="9"/>
      <c r="KC937" s="9"/>
      <c r="KD937" s="9"/>
      <c r="KE937" s="9"/>
      <c r="KF937" s="9"/>
      <c r="KG937" s="9"/>
      <c r="KH937" s="9"/>
      <c r="KI937" s="9"/>
      <c r="KJ937" s="9"/>
      <c r="KK937" s="9"/>
      <c r="KL937" s="9"/>
      <c r="KM937" s="9"/>
      <c r="KN937" s="9"/>
      <c r="KO937" s="9"/>
      <c r="KP937" s="9"/>
      <c r="KQ937" s="9"/>
      <c r="KR937" s="9"/>
      <c r="KS937" s="9"/>
      <c r="KT937" s="9"/>
      <c r="KU937" s="9"/>
      <c r="KV937" s="9"/>
      <c r="KW937" s="9"/>
      <c r="KX937" s="9"/>
      <c r="KY937" s="9"/>
      <c r="KZ937" s="9"/>
      <c r="LA937" s="9"/>
      <c r="LB937" s="9"/>
      <c r="LC937" s="9"/>
      <c r="LD937" s="9"/>
      <c r="LE937" s="9"/>
      <c r="LF937" s="9"/>
      <c r="LG937" s="9"/>
      <c r="LH937" s="9"/>
      <c r="LI937" s="9"/>
      <c r="LJ937" s="9"/>
      <c r="LK937" s="9"/>
      <c r="LL937" s="9"/>
      <c r="LM937" s="9"/>
      <c r="LN937" s="9"/>
      <c r="LO937" s="9"/>
      <c r="LP937" s="9"/>
      <c r="LQ937" s="9"/>
      <c r="LR937" s="9"/>
      <c r="LS937" s="9"/>
      <c r="LT937" s="9"/>
      <c r="LU937" s="9"/>
      <c r="LV937" s="9"/>
      <c r="LW937" s="9"/>
      <c r="LX937" s="9"/>
      <c r="LY937" s="9"/>
      <c r="LZ937" s="9"/>
      <c r="MA937" s="9"/>
      <c r="MB937" s="9"/>
      <c r="MC937" s="9"/>
      <c r="MD937" s="9"/>
      <c r="ME937" s="9"/>
      <c r="MF937" s="9"/>
      <c r="MG937" s="9"/>
      <c r="MH937" s="9"/>
      <c r="MI937" s="9"/>
      <c r="MJ937" s="9"/>
      <c r="MK937" s="9"/>
      <c r="ML937" s="9"/>
      <c r="MM937" s="9"/>
      <c r="MN937" s="9"/>
      <c r="MO937" s="9"/>
      <c r="MP937" s="9"/>
      <c r="MQ937" s="9"/>
      <c r="MR937" s="9"/>
      <c r="MS937" s="9"/>
      <c r="MT937" s="9"/>
      <c r="MU937" s="9"/>
      <c r="MV937" s="9"/>
      <c r="MW937" s="9"/>
      <c r="MX937" s="9"/>
      <c r="MY937" s="9"/>
      <c r="MZ937" s="9"/>
      <c r="NA937" s="9"/>
      <c r="NB937" s="9"/>
      <c r="NC937" s="9"/>
      <c r="ND937" s="9"/>
      <c r="NE937" s="9"/>
      <c r="NF937" s="9"/>
      <c r="NG937" s="9"/>
      <c r="NH937" s="9"/>
      <c r="NI937" s="9"/>
      <c r="NJ937" s="9"/>
      <c r="NK937" s="9"/>
      <c r="NL937" s="9"/>
      <c r="NM937" s="9"/>
      <c r="NN937" s="9"/>
      <c r="NO937" s="9"/>
      <c r="NP937" s="9"/>
      <c r="NQ937" s="9"/>
      <c r="NR937" s="9"/>
      <c r="NS937" s="9"/>
      <c r="NT937" s="9"/>
      <c r="NU937" s="9"/>
      <c r="NV937" s="9"/>
      <c r="NW937" s="9"/>
      <c r="NX937" s="9"/>
      <c r="NY937" s="9"/>
      <c r="NZ937" s="9"/>
      <c r="OA937" s="9"/>
      <c r="OB937" s="9"/>
      <c r="OC937" s="9"/>
      <c r="OD937" s="9"/>
      <c r="OE937" s="9"/>
      <c r="OF937" s="9"/>
      <c r="OG937" s="9"/>
      <c r="OH937" s="9"/>
      <c r="OI937" s="9"/>
      <c r="OJ937" s="9"/>
      <c r="OK937" s="9"/>
      <c r="OL937" s="9"/>
      <c r="OM937" s="9"/>
      <c r="ON937" s="9"/>
      <c r="OO937" s="9"/>
      <c r="OP937" s="9"/>
      <c r="OQ937" s="9"/>
      <c r="OR937" s="9"/>
      <c r="OS937" s="9"/>
      <c r="OT937" s="9"/>
      <c r="OU937" s="9"/>
      <c r="OV937" s="9"/>
      <c r="OW937" s="9"/>
      <c r="OX937" s="9"/>
      <c r="OY937" s="9"/>
      <c r="OZ937" s="9"/>
      <c r="PA937" s="9"/>
      <c r="PB937" s="9"/>
      <c r="PC937" s="9"/>
      <c r="PD937" s="9"/>
      <c r="PE937" s="9"/>
      <c r="PF937" s="9"/>
      <c r="PG937" s="9"/>
      <c r="PH937" s="9"/>
      <c r="PI937" s="9"/>
      <c r="PJ937" s="9"/>
      <c r="PK937" s="9"/>
      <c r="PL937" s="9"/>
      <c r="PM937" s="9"/>
      <c r="PN937" s="9"/>
      <c r="PO937" s="9"/>
      <c r="PP937" s="9"/>
      <c r="PQ937" s="9"/>
      <c r="PR937" s="9"/>
      <c r="PS937" s="9"/>
      <c r="PT937" s="9"/>
      <c r="PU937" s="9"/>
      <c r="PV937" s="9"/>
      <c r="PW937" s="9"/>
      <c r="PX937" s="9"/>
      <c r="PY937" s="9"/>
      <c r="PZ937" s="9"/>
      <c r="QA937" s="9"/>
      <c r="QB937" s="9"/>
      <c r="QC937" s="9"/>
      <c r="QD937" s="9"/>
      <c r="QE937" s="9"/>
      <c r="QF937" s="9"/>
      <c r="QG937" s="9"/>
      <c r="QH937" s="9"/>
      <c r="QI937" s="9"/>
      <c r="QJ937" s="9"/>
      <c r="QK937" s="9"/>
      <c r="QL937" s="9"/>
      <c r="QM937" s="9"/>
      <c r="QN937" s="9"/>
      <c r="QO937" s="9"/>
      <c r="QP937" s="9"/>
      <c r="QQ937" s="9"/>
      <c r="QR937" s="9"/>
      <c r="QS937" s="9"/>
      <c r="QT937" s="9"/>
      <c r="QU937" s="9"/>
      <c r="QV937" s="9"/>
      <c r="QW937" s="9"/>
      <c r="QX937" s="9"/>
      <c r="QY937" s="9"/>
      <c r="QZ937" s="9"/>
      <c r="RA937" s="9"/>
      <c r="RB937" s="9"/>
      <c r="RC937" s="9"/>
      <c r="RD937" s="9"/>
      <c r="RE937" s="9"/>
      <c r="RF937" s="9"/>
      <c r="RG937" s="9"/>
      <c r="RH937" s="9"/>
      <c r="RI937" s="9"/>
      <c r="RJ937" s="9"/>
      <c r="RK937" s="9"/>
      <c r="RL937" s="9"/>
      <c r="RM937" s="9"/>
      <c r="RN937" s="9"/>
      <c r="RO937" s="9"/>
      <c r="RP937" s="9"/>
      <c r="RQ937" s="9"/>
      <c r="RR937" s="9"/>
      <c r="RS937" s="9"/>
      <c r="RT937" s="9"/>
      <c r="RU937" s="9"/>
      <c r="RV937" s="9"/>
      <c r="RW937" s="9"/>
      <c r="RX937" s="9"/>
      <c r="RY937" s="9"/>
      <c r="RZ937" s="9"/>
      <c r="SA937" s="9"/>
      <c r="SB937" s="9"/>
      <c r="SC937" s="9"/>
      <c r="SD937" s="9"/>
      <c r="SE937" s="9"/>
      <c r="SF937" s="9"/>
      <c r="SG937" s="9"/>
      <c r="SH937" s="9"/>
      <c r="SI937" s="9"/>
      <c r="SJ937" s="9"/>
      <c r="SK937" s="9"/>
      <c r="SL937" s="9"/>
      <c r="SM937" s="9"/>
      <c r="SN937" s="9"/>
      <c r="SO937" s="9"/>
      <c r="SP937" s="9"/>
      <c r="SQ937" s="9"/>
      <c r="SR937" s="9"/>
      <c r="SS937" s="9"/>
      <c r="ST937" s="9"/>
      <c r="SU937" s="9"/>
      <c r="SV937" s="9"/>
      <c r="SW937" s="9"/>
      <c r="SX937" s="9"/>
      <c r="SY937" s="9"/>
      <c r="SZ937" s="9"/>
      <c r="TA937" s="9"/>
      <c r="TB937" s="9"/>
      <c r="TC937" s="9"/>
      <c r="TD937" s="9"/>
      <c r="TE937" s="9"/>
      <c r="TF937" s="9"/>
      <c r="TG937" s="9"/>
      <c r="TH937" s="9"/>
      <c r="TI937" s="9"/>
      <c r="TJ937" s="9"/>
      <c r="TK937" s="9"/>
      <c r="TL937" s="9"/>
      <c r="TM937" s="9"/>
      <c r="TN937" s="9"/>
      <c r="TO937" s="9"/>
      <c r="TP937" s="9"/>
      <c r="TQ937" s="9"/>
      <c r="TR937" s="9"/>
      <c r="TS937" s="9"/>
      <c r="TT937" s="9"/>
      <c r="TU937" s="9"/>
      <c r="TV937" s="9"/>
      <c r="TW937" s="9"/>
      <c r="TX937" s="9"/>
      <c r="TY937" s="9"/>
      <c r="TZ937" s="9"/>
      <c r="UA937" s="9"/>
      <c r="UB937" s="9"/>
      <c r="UC937" s="9"/>
      <c r="UD937" s="9"/>
      <c r="UE937" s="9"/>
      <c r="UF937" s="9"/>
      <c r="UG937" s="9"/>
      <c r="UH937" s="9"/>
      <c r="UI937" s="9"/>
      <c r="UJ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9"/>
      <c r="GV938" s="9"/>
      <c r="GW938" s="9"/>
      <c r="GX938" s="9"/>
      <c r="GY938" s="9"/>
      <c r="GZ938" s="9"/>
      <c r="HA938" s="9"/>
      <c r="HB938" s="9"/>
      <c r="HC938" s="9"/>
      <c r="HD938" s="9"/>
      <c r="HE938" s="9"/>
      <c r="HF938" s="9"/>
      <c r="HG938" s="9"/>
      <c r="HH938" s="9"/>
      <c r="HI938" s="9"/>
      <c r="HJ938" s="9"/>
      <c r="HK938" s="9"/>
      <c r="HL938" s="9"/>
      <c r="HM938" s="9"/>
      <c r="HN938" s="9"/>
      <c r="HO938" s="9"/>
      <c r="HP938" s="9"/>
      <c r="HQ938" s="9"/>
      <c r="HR938" s="9"/>
      <c r="HS938" s="9"/>
      <c r="HT938" s="9"/>
      <c r="HU938" s="9"/>
      <c r="HV938" s="9"/>
      <c r="HW938" s="9"/>
      <c r="HX938" s="9"/>
      <c r="HY938" s="9"/>
      <c r="HZ938" s="9"/>
      <c r="IA938" s="9"/>
      <c r="IB938" s="9"/>
      <c r="IC938" s="9"/>
      <c r="ID938" s="9"/>
      <c r="IE938" s="9"/>
      <c r="IF938" s="9"/>
      <c r="IG938" s="9"/>
      <c r="IH938" s="9"/>
      <c r="II938" s="9"/>
      <c r="IJ938" s="9"/>
      <c r="IK938" s="9"/>
      <c r="IL938" s="9"/>
      <c r="IM938" s="9"/>
      <c r="IN938" s="9"/>
      <c r="IO938" s="9"/>
      <c r="IP938" s="9"/>
      <c r="IQ938" s="9"/>
      <c r="IR938" s="9"/>
      <c r="IS938" s="9"/>
      <c r="IT938" s="9"/>
      <c r="IU938" s="9"/>
      <c r="IV938" s="9"/>
      <c r="IW938" s="9"/>
      <c r="IX938" s="9"/>
      <c r="IY938" s="9"/>
      <c r="IZ938" s="9"/>
      <c r="JA938" s="9"/>
      <c r="JB938" s="9"/>
      <c r="JC938" s="9"/>
      <c r="JD938" s="9"/>
      <c r="JE938" s="9"/>
      <c r="JF938" s="9"/>
      <c r="JG938" s="9"/>
      <c r="JH938" s="9"/>
      <c r="JI938" s="9"/>
      <c r="JJ938" s="9"/>
      <c r="JK938" s="9"/>
      <c r="JL938" s="9"/>
      <c r="JM938" s="9"/>
      <c r="JN938" s="9"/>
      <c r="JO938" s="9"/>
      <c r="JP938" s="9"/>
      <c r="JQ938" s="9"/>
      <c r="JR938" s="9"/>
      <c r="JS938" s="9"/>
      <c r="JT938" s="9"/>
      <c r="JU938" s="9"/>
      <c r="JV938" s="9"/>
      <c r="JW938" s="9"/>
      <c r="JX938" s="9"/>
      <c r="JY938" s="9"/>
      <c r="JZ938" s="9"/>
      <c r="KA938" s="9"/>
      <c r="KB938" s="9"/>
      <c r="KC938" s="9"/>
      <c r="KD938" s="9"/>
      <c r="KE938" s="9"/>
      <c r="KF938" s="9"/>
      <c r="KG938" s="9"/>
      <c r="KH938" s="9"/>
      <c r="KI938" s="9"/>
      <c r="KJ938" s="9"/>
      <c r="KK938" s="9"/>
      <c r="KL938" s="9"/>
      <c r="KM938" s="9"/>
      <c r="KN938" s="9"/>
      <c r="KO938" s="9"/>
      <c r="KP938" s="9"/>
      <c r="KQ938" s="9"/>
      <c r="KR938" s="9"/>
      <c r="KS938" s="9"/>
      <c r="KT938" s="9"/>
      <c r="KU938" s="9"/>
      <c r="KV938" s="9"/>
      <c r="KW938" s="9"/>
      <c r="KX938" s="9"/>
      <c r="KY938" s="9"/>
      <c r="KZ938" s="9"/>
      <c r="LA938" s="9"/>
      <c r="LB938" s="9"/>
      <c r="LC938" s="9"/>
      <c r="LD938" s="9"/>
      <c r="LE938" s="9"/>
      <c r="LF938" s="9"/>
      <c r="LG938" s="9"/>
      <c r="LH938" s="9"/>
      <c r="LI938" s="9"/>
      <c r="LJ938" s="9"/>
      <c r="LK938" s="9"/>
      <c r="LL938" s="9"/>
      <c r="LM938" s="9"/>
      <c r="LN938" s="9"/>
      <c r="LO938" s="9"/>
      <c r="LP938" s="9"/>
      <c r="LQ938" s="9"/>
      <c r="LR938" s="9"/>
      <c r="LS938" s="9"/>
      <c r="LT938" s="9"/>
      <c r="LU938" s="9"/>
      <c r="LV938" s="9"/>
      <c r="LW938" s="9"/>
      <c r="LX938" s="9"/>
      <c r="LY938" s="9"/>
      <c r="LZ938" s="9"/>
      <c r="MA938" s="9"/>
      <c r="MB938" s="9"/>
      <c r="MC938" s="9"/>
      <c r="MD938" s="9"/>
      <c r="ME938" s="9"/>
      <c r="MF938" s="9"/>
      <c r="MG938" s="9"/>
      <c r="MH938" s="9"/>
      <c r="MI938" s="9"/>
      <c r="MJ938" s="9"/>
      <c r="MK938" s="9"/>
      <c r="ML938" s="9"/>
      <c r="MM938" s="9"/>
      <c r="MN938" s="9"/>
      <c r="MO938" s="9"/>
      <c r="MP938" s="9"/>
      <c r="MQ938" s="9"/>
      <c r="MR938" s="9"/>
      <c r="MS938" s="9"/>
      <c r="MT938" s="9"/>
      <c r="MU938" s="9"/>
      <c r="MV938" s="9"/>
      <c r="MW938" s="9"/>
      <c r="MX938" s="9"/>
      <c r="MY938" s="9"/>
      <c r="MZ938" s="9"/>
      <c r="NA938" s="9"/>
      <c r="NB938" s="9"/>
      <c r="NC938" s="9"/>
      <c r="ND938" s="9"/>
      <c r="NE938" s="9"/>
      <c r="NF938" s="9"/>
      <c r="NG938" s="9"/>
      <c r="NH938" s="9"/>
      <c r="NI938" s="9"/>
      <c r="NJ938" s="9"/>
      <c r="NK938" s="9"/>
      <c r="NL938" s="9"/>
      <c r="NM938" s="9"/>
      <c r="NN938" s="9"/>
      <c r="NO938" s="9"/>
      <c r="NP938" s="9"/>
      <c r="NQ938" s="9"/>
      <c r="NR938" s="9"/>
      <c r="NS938" s="9"/>
      <c r="NT938" s="9"/>
      <c r="NU938" s="9"/>
      <c r="NV938" s="9"/>
      <c r="NW938" s="9"/>
      <c r="NX938" s="9"/>
      <c r="NY938" s="9"/>
      <c r="NZ938" s="9"/>
      <c r="OA938" s="9"/>
      <c r="OB938" s="9"/>
      <c r="OC938" s="9"/>
      <c r="OD938" s="9"/>
      <c r="OE938" s="9"/>
      <c r="OF938" s="9"/>
      <c r="OG938" s="9"/>
      <c r="OH938" s="9"/>
      <c r="OI938" s="9"/>
      <c r="OJ938" s="9"/>
      <c r="OK938" s="9"/>
      <c r="OL938" s="9"/>
      <c r="OM938" s="9"/>
      <c r="ON938" s="9"/>
      <c r="OO938" s="9"/>
      <c r="OP938" s="9"/>
      <c r="OQ938" s="9"/>
      <c r="OR938" s="9"/>
      <c r="OS938" s="9"/>
      <c r="OT938" s="9"/>
      <c r="OU938" s="9"/>
      <c r="OV938" s="9"/>
      <c r="OW938" s="9"/>
      <c r="OX938" s="9"/>
      <c r="OY938" s="9"/>
      <c r="OZ938" s="9"/>
      <c r="PA938" s="9"/>
      <c r="PB938" s="9"/>
      <c r="PC938" s="9"/>
      <c r="PD938" s="9"/>
      <c r="PE938" s="9"/>
      <c r="PF938" s="9"/>
      <c r="PG938" s="9"/>
      <c r="PH938" s="9"/>
      <c r="PI938" s="9"/>
      <c r="PJ938" s="9"/>
      <c r="PK938" s="9"/>
      <c r="PL938" s="9"/>
      <c r="PM938" s="9"/>
      <c r="PN938" s="9"/>
      <c r="PO938" s="9"/>
      <c r="PP938" s="9"/>
      <c r="PQ938" s="9"/>
      <c r="PR938" s="9"/>
      <c r="PS938" s="9"/>
      <c r="PT938" s="9"/>
      <c r="PU938" s="9"/>
      <c r="PV938" s="9"/>
      <c r="PW938" s="9"/>
      <c r="PX938" s="9"/>
      <c r="PY938" s="9"/>
      <c r="PZ938" s="9"/>
      <c r="QA938" s="9"/>
      <c r="QB938" s="9"/>
      <c r="QC938" s="9"/>
      <c r="QD938" s="9"/>
      <c r="QE938" s="9"/>
      <c r="QF938" s="9"/>
      <c r="QG938" s="9"/>
      <c r="QH938" s="9"/>
      <c r="QI938" s="9"/>
      <c r="QJ938" s="9"/>
      <c r="QK938" s="9"/>
      <c r="QL938" s="9"/>
      <c r="QM938" s="9"/>
      <c r="QN938" s="9"/>
      <c r="QO938" s="9"/>
      <c r="QP938" s="9"/>
      <c r="QQ938" s="9"/>
      <c r="QR938" s="9"/>
      <c r="QS938" s="9"/>
      <c r="QT938" s="9"/>
      <c r="QU938" s="9"/>
      <c r="QV938" s="9"/>
      <c r="QW938" s="9"/>
      <c r="QX938" s="9"/>
      <c r="QY938" s="9"/>
      <c r="QZ938" s="9"/>
      <c r="RA938" s="9"/>
      <c r="RB938" s="9"/>
      <c r="RC938" s="9"/>
      <c r="RD938" s="9"/>
      <c r="RE938" s="9"/>
      <c r="RF938" s="9"/>
      <c r="RG938" s="9"/>
      <c r="RH938" s="9"/>
      <c r="RI938" s="9"/>
      <c r="RJ938" s="9"/>
      <c r="RK938" s="9"/>
      <c r="RL938" s="9"/>
      <c r="RM938" s="9"/>
      <c r="RN938" s="9"/>
      <c r="RO938" s="9"/>
      <c r="RP938" s="9"/>
      <c r="RQ938" s="9"/>
      <c r="RR938" s="9"/>
      <c r="RS938" s="9"/>
      <c r="RT938" s="9"/>
      <c r="RU938" s="9"/>
      <c r="RV938" s="9"/>
      <c r="RW938" s="9"/>
      <c r="RX938" s="9"/>
      <c r="RY938" s="9"/>
      <c r="RZ938" s="9"/>
      <c r="SA938" s="9"/>
      <c r="SB938" s="9"/>
      <c r="SC938" s="9"/>
      <c r="SD938" s="9"/>
      <c r="SE938" s="9"/>
      <c r="SF938" s="9"/>
      <c r="SG938" s="9"/>
      <c r="SH938" s="9"/>
      <c r="SI938" s="9"/>
      <c r="SJ938" s="9"/>
      <c r="SK938" s="9"/>
      <c r="SL938" s="9"/>
      <c r="SM938" s="9"/>
      <c r="SN938" s="9"/>
      <c r="SO938" s="9"/>
      <c r="SP938" s="9"/>
      <c r="SQ938" s="9"/>
      <c r="SR938" s="9"/>
      <c r="SS938" s="9"/>
      <c r="ST938" s="9"/>
      <c r="SU938" s="9"/>
      <c r="SV938" s="9"/>
      <c r="SW938" s="9"/>
      <c r="SX938" s="9"/>
      <c r="SY938" s="9"/>
      <c r="SZ938" s="9"/>
      <c r="TA938" s="9"/>
      <c r="TB938" s="9"/>
      <c r="TC938" s="9"/>
      <c r="TD938" s="9"/>
      <c r="TE938" s="9"/>
      <c r="TF938" s="9"/>
      <c r="TG938" s="9"/>
      <c r="TH938" s="9"/>
      <c r="TI938" s="9"/>
      <c r="TJ938" s="9"/>
      <c r="TK938" s="9"/>
      <c r="TL938" s="9"/>
      <c r="TM938" s="9"/>
      <c r="TN938" s="9"/>
      <c r="TO938" s="9"/>
      <c r="TP938" s="9"/>
      <c r="TQ938" s="9"/>
      <c r="TR938" s="9"/>
      <c r="TS938" s="9"/>
      <c r="TT938" s="9"/>
      <c r="TU938" s="9"/>
      <c r="TV938" s="9"/>
      <c r="TW938" s="9"/>
      <c r="TX938" s="9"/>
      <c r="TY938" s="9"/>
      <c r="TZ938" s="9"/>
      <c r="UA938" s="9"/>
      <c r="UB938" s="9"/>
      <c r="UC938" s="9"/>
      <c r="UD938" s="9"/>
      <c r="UE938" s="9"/>
      <c r="UF938" s="9"/>
      <c r="UG938" s="9"/>
      <c r="UH938" s="9"/>
      <c r="UI938" s="9"/>
      <c r="UJ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  <c r="GA939" s="9"/>
      <c r="GB939" s="9"/>
      <c r="GC939" s="9"/>
      <c r="GD939" s="9"/>
      <c r="GE939" s="9"/>
      <c r="GF939" s="9"/>
      <c r="GG939" s="9"/>
      <c r="GH939" s="9"/>
      <c r="GI939" s="9"/>
      <c r="GJ939" s="9"/>
      <c r="GK939" s="9"/>
      <c r="GL939" s="9"/>
      <c r="GM939" s="9"/>
      <c r="GN939" s="9"/>
      <c r="GO939" s="9"/>
      <c r="GP939" s="9"/>
      <c r="GQ939" s="9"/>
      <c r="GR939" s="9"/>
      <c r="GS939" s="9"/>
      <c r="GT939" s="9"/>
      <c r="GU939" s="9"/>
      <c r="GV939" s="9"/>
      <c r="GW939" s="9"/>
      <c r="GX939" s="9"/>
      <c r="GY939" s="9"/>
      <c r="GZ939" s="9"/>
      <c r="HA939" s="9"/>
      <c r="HB939" s="9"/>
      <c r="HC939" s="9"/>
      <c r="HD939" s="9"/>
      <c r="HE939" s="9"/>
      <c r="HF939" s="9"/>
      <c r="HG939" s="9"/>
      <c r="HH939" s="9"/>
      <c r="HI939" s="9"/>
      <c r="HJ939" s="9"/>
      <c r="HK939" s="9"/>
      <c r="HL939" s="9"/>
      <c r="HM939" s="9"/>
      <c r="HN939" s="9"/>
      <c r="HO939" s="9"/>
      <c r="HP939" s="9"/>
      <c r="HQ939" s="9"/>
      <c r="HR939" s="9"/>
      <c r="HS939" s="9"/>
      <c r="HT939" s="9"/>
      <c r="HU939" s="9"/>
      <c r="HV939" s="9"/>
      <c r="HW939" s="9"/>
      <c r="HX939" s="9"/>
      <c r="HY939" s="9"/>
      <c r="HZ939" s="9"/>
      <c r="IA939" s="9"/>
      <c r="IB939" s="9"/>
      <c r="IC939" s="9"/>
      <c r="ID939" s="9"/>
      <c r="IE939" s="9"/>
      <c r="IF939" s="9"/>
      <c r="IG939" s="9"/>
      <c r="IH939" s="9"/>
      <c r="II939" s="9"/>
      <c r="IJ939" s="9"/>
      <c r="IK939" s="9"/>
      <c r="IL939" s="9"/>
      <c r="IM939" s="9"/>
      <c r="IN939" s="9"/>
      <c r="IO939" s="9"/>
      <c r="IP939" s="9"/>
      <c r="IQ939" s="9"/>
      <c r="IR939" s="9"/>
      <c r="IS939" s="9"/>
      <c r="IT939" s="9"/>
      <c r="IU939" s="9"/>
      <c r="IV939" s="9"/>
      <c r="IW939" s="9"/>
      <c r="IX939" s="9"/>
      <c r="IY939" s="9"/>
      <c r="IZ939" s="9"/>
      <c r="JA939" s="9"/>
      <c r="JB939" s="9"/>
      <c r="JC939" s="9"/>
      <c r="JD939" s="9"/>
      <c r="JE939" s="9"/>
      <c r="JF939" s="9"/>
      <c r="JG939" s="9"/>
      <c r="JH939" s="9"/>
      <c r="JI939" s="9"/>
      <c r="JJ939" s="9"/>
      <c r="JK939" s="9"/>
      <c r="JL939" s="9"/>
      <c r="JM939" s="9"/>
      <c r="JN939" s="9"/>
      <c r="JO939" s="9"/>
      <c r="JP939" s="9"/>
      <c r="JQ939" s="9"/>
      <c r="JR939" s="9"/>
      <c r="JS939" s="9"/>
      <c r="JT939" s="9"/>
      <c r="JU939" s="9"/>
      <c r="JV939" s="9"/>
      <c r="JW939" s="9"/>
      <c r="JX939" s="9"/>
      <c r="JY939" s="9"/>
      <c r="JZ939" s="9"/>
      <c r="KA939" s="9"/>
      <c r="KB939" s="9"/>
      <c r="KC939" s="9"/>
      <c r="KD939" s="9"/>
      <c r="KE939" s="9"/>
      <c r="KF939" s="9"/>
      <c r="KG939" s="9"/>
      <c r="KH939" s="9"/>
      <c r="KI939" s="9"/>
      <c r="KJ939" s="9"/>
      <c r="KK939" s="9"/>
      <c r="KL939" s="9"/>
      <c r="KM939" s="9"/>
      <c r="KN939" s="9"/>
      <c r="KO939" s="9"/>
      <c r="KP939" s="9"/>
      <c r="KQ939" s="9"/>
      <c r="KR939" s="9"/>
      <c r="KS939" s="9"/>
      <c r="KT939" s="9"/>
      <c r="KU939" s="9"/>
      <c r="KV939" s="9"/>
      <c r="KW939" s="9"/>
      <c r="KX939" s="9"/>
      <c r="KY939" s="9"/>
      <c r="KZ939" s="9"/>
      <c r="LA939" s="9"/>
      <c r="LB939" s="9"/>
      <c r="LC939" s="9"/>
      <c r="LD939" s="9"/>
      <c r="LE939" s="9"/>
      <c r="LF939" s="9"/>
      <c r="LG939" s="9"/>
      <c r="LH939" s="9"/>
      <c r="LI939" s="9"/>
      <c r="LJ939" s="9"/>
      <c r="LK939" s="9"/>
      <c r="LL939" s="9"/>
      <c r="LM939" s="9"/>
      <c r="LN939" s="9"/>
      <c r="LO939" s="9"/>
      <c r="LP939" s="9"/>
      <c r="LQ939" s="9"/>
      <c r="LR939" s="9"/>
      <c r="LS939" s="9"/>
      <c r="LT939" s="9"/>
      <c r="LU939" s="9"/>
      <c r="LV939" s="9"/>
      <c r="LW939" s="9"/>
      <c r="LX939" s="9"/>
      <c r="LY939" s="9"/>
      <c r="LZ939" s="9"/>
      <c r="MA939" s="9"/>
      <c r="MB939" s="9"/>
      <c r="MC939" s="9"/>
      <c r="MD939" s="9"/>
      <c r="ME939" s="9"/>
      <c r="MF939" s="9"/>
      <c r="MG939" s="9"/>
      <c r="MH939" s="9"/>
      <c r="MI939" s="9"/>
      <c r="MJ939" s="9"/>
      <c r="MK939" s="9"/>
      <c r="ML939" s="9"/>
      <c r="MM939" s="9"/>
      <c r="MN939" s="9"/>
      <c r="MO939" s="9"/>
      <c r="MP939" s="9"/>
      <c r="MQ939" s="9"/>
      <c r="MR939" s="9"/>
      <c r="MS939" s="9"/>
      <c r="MT939" s="9"/>
      <c r="MU939" s="9"/>
      <c r="MV939" s="9"/>
      <c r="MW939" s="9"/>
      <c r="MX939" s="9"/>
      <c r="MY939" s="9"/>
      <c r="MZ939" s="9"/>
      <c r="NA939" s="9"/>
      <c r="NB939" s="9"/>
      <c r="NC939" s="9"/>
      <c r="ND939" s="9"/>
      <c r="NE939" s="9"/>
      <c r="NF939" s="9"/>
      <c r="NG939" s="9"/>
      <c r="NH939" s="9"/>
      <c r="NI939" s="9"/>
      <c r="NJ939" s="9"/>
      <c r="NK939" s="9"/>
      <c r="NL939" s="9"/>
      <c r="NM939" s="9"/>
      <c r="NN939" s="9"/>
      <c r="NO939" s="9"/>
      <c r="NP939" s="9"/>
      <c r="NQ939" s="9"/>
      <c r="NR939" s="9"/>
      <c r="NS939" s="9"/>
      <c r="NT939" s="9"/>
      <c r="NU939" s="9"/>
      <c r="NV939" s="9"/>
      <c r="NW939" s="9"/>
      <c r="NX939" s="9"/>
      <c r="NY939" s="9"/>
      <c r="NZ939" s="9"/>
      <c r="OA939" s="9"/>
      <c r="OB939" s="9"/>
      <c r="OC939" s="9"/>
      <c r="OD939" s="9"/>
      <c r="OE939" s="9"/>
      <c r="OF939" s="9"/>
      <c r="OG939" s="9"/>
      <c r="OH939" s="9"/>
      <c r="OI939" s="9"/>
      <c r="OJ939" s="9"/>
      <c r="OK939" s="9"/>
      <c r="OL939" s="9"/>
      <c r="OM939" s="9"/>
      <c r="ON939" s="9"/>
      <c r="OO939" s="9"/>
      <c r="OP939" s="9"/>
      <c r="OQ939" s="9"/>
      <c r="OR939" s="9"/>
      <c r="OS939" s="9"/>
      <c r="OT939" s="9"/>
      <c r="OU939" s="9"/>
      <c r="OV939" s="9"/>
      <c r="OW939" s="9"/>
      <c r="OX939" s="9"/>
      <c r="OY939" s="9"/>
      <c r="OZ939" s="9"/>
      <c r="PA939" s="9"/>
      <c r="PB939" s="9"/>
      <c r="PC939" s="9"/>
      <c r="PD939" s="9"/>
      <c r="PE939" s="9"/>
      <c r="PF939" s="9"/>
      <c r="PG939" s="9"/>
      <c r="PH939" s="9"/>
      <c r="PI939" s="9"/>
      <c r="PJ939" s="9"/>
      <c r="PK939" s="9"/>
      <c r="PL939" s="9"/>
      <c r="PM939" s="9"/>
      <c r="PN939" s="9"/>
      <c r="PO939" s="9"/>
      <c r="PP939" s="9"/>
      <c r="PQ939" s="9"/>
      <c r="PR939" s="9"/>
      <c r="PS939" s="9"/>
      <c r="PT939" s="9"/>
      <c r="PU939" s="9"/>
      <c r="PV939" s="9"/>
      <c r="PW939" s="9"/>
      <c r="PX939" s="9"/>
      <c r="PY939" s="9"/>
      <c r="PZ939" s="9"/>
      <c r="QA939" s="9"/>
      <c r="QB939" s="9"/>
      <c r="QC939" s="9"/>
      <c r="QD939" s="9"/>
      <c r="QE939" s="9"/>
      <c r="QF939" s="9"/>
      <c r="QG939" s="9"/>
      <c r="QH939" s="9"/>
      <c r="QI939" s="9"/>
      <c r="QJ939" s="9"/>
      <c r="QK939" s="9"/>
      <c r="QL939" s="9"/>
      <c r="QM939" s="9"/>
      <c r="QN939" s="9"/>
      <c r="QO939" s="9"/>
      <c r="QP939" s="9"/>
      <c r="QQ939" s="9"/>
      <c r="QR939" s="9"/>
      <c r="QS939" s="9"/>
      <c r="QT939" s="9"/>
      <c r="QU939" s="9"/>
      <c r="QV939" s="9"/>
      <c r="QW939" s="9"/>
      <c r="QX939" s="9"/>
      <c r="QY939" s="9"/>
      <c r="QZ939" s="9"/>
      <c r="RA939" s="9"/>
      <c r="RB939" s="9"/>
      <c r="RC939" s="9"/>
      <c r="RD939" s="9"/>
      <c r="RE939" s="9"/>
      <c r="RF939" s="9"/>
      <c r="RG939" s="9"/>
      <c r="RH939" s="9"/>
      <c r="RI939" s="9"/>
      <c r="RJ939" s="9"/>
      <c r="RK939" s="9"/>
      <c r="RL939" s="9"/>
      <c r="RM939" s="9"/>
      <c r="RN939" s="9"/>
      <c r="RO939" s="9"/>
      <c r="RP939" s="9"/>
      <c r="RQ939" s="9"/>
      <c r="RR939" s="9"/>
      <c r="RS939" s="9"/>
      <c r="RT939" s="9"/>
      <c r="RU939" s="9"/>
      <c r="RV939" s="9"/>
      <c r="RW939" s="9"/>
      <c r="RX939" s="9"/>
      <c r="RY939" s="9"/>
      <c r="RZ939" s="9"/>
      <c r="SA939" s="9"/>
      <c r="SB939" s="9"/>
      <c r="SC939" s="9"/>
      <c r="SD939" s="9"/>
      <c r="SE939" s="9"/>
      <c r="SF939" s="9"/>
      <c r="SG939" s="9"/>
      <c r="SH939" s="9"/>
      <c r="SI939" s="9"/>
      <c r="SJ939" s="9"/>
      <c r="SK939" s="9"/>
      <c r="SL939" s="9"/>
      <c r="SM939" s="9"/>
      <c r="SN939" s="9"/>
      <c r="SO939" s="9"/>
      <c r="SP939" s="9"/>
      <c r="SQ939" s="9"/>
      <c r="SR939" s="9"/>
      <c r="SS939" s="9"/>
      <c r="ST939" s="9"/>
      <c r="SU939" s="9"/>
      <c r="SV939" s="9"/>
      <c r="SW939" s="9"/>
      <c r="SX939" s="9"/>
      <c r="SY939" s="9"/>
      <c r="SZ939" s="9"/>
      <c r="TA939" s="9"/>
      <c r="TB939" s="9"/>
      <c r="TC939" s="9"/>
      <c r="TD939" s="9"/>
      <c r="TE939" s="9"/>
      <c r="TF939" s="9"/>
      <c r="TG939" s="9"/>
      <c r="TH939" s="9"/>
      <c r="TI939" s="9"/>
      <c r="TJ939" s="9"/>
      <c r="TK939" s="9"/>
      <c r="TL939" s="9"/>
      <c r="TM939" s="9"/>
      <c r="TN939" s="9"/>
      <c r="TO939" s="9"/>
      <c r="TP939" s="9"/>
      <c r="TQ939" s="9"/>
      <c r="TR939" s="9"/>
      <c r="TS939" s="9"/>
      <c r="TT939" s="9"/>
      <c r="TU939" s="9"/>
      <c r="TV939" s="9"/>
      <c r="TW939" s="9"/>
      <c r="TX939" s="9"/>
      <c r="TY939" s="9"/>
      <c r="TZ939" s="9"/>
      <c r="UA939" s="9"/>
      <c r="UB939" s="9"/>
      <c r="UC939" s="9"/>
      <c r="UD939" s="9"/>
      <c r="UE939" s="9"/>
      <c r="UF939" s="9"/>
      <c r="UG939" s="9"/>
      <c r="UH939" s="9"/>
      <c r="UI939" s="9"/>
      <c r="UJ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9"/>
      <c r="GV940" s="9"/>
      <c r="GW940" s="9"/>
      <c r="GX940" s="9"/>
      <c r="GY940" s="9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  <c r="HO940" s="9"/>
      <c r="HP940" s="9"/>
      <c r="HQ940" s="9"/>
      <c r="HR940" s="9"/>
      <c r="HS940" s="9"/>
      <c r="HT940" s="9"/>
      <c r="HU940" s="9"/>
      <c r="HV940" s="9"/>
      <c r="HW940" s="9"/>
      <c r="HX940" s="9"/>
      <c r="HY940" s="9"/>
      <c r="HZ940" s="9"/>
      <c r="IA940" s="9"/>
      <c r="IB940" s="9"/>
      <c r="IC940" s="9"/>
      <c r="ID940" s="9"/>
      <c r="IE940" s="9"/>
      <c r="IF940" s="9"/>
      <c r="IG940" s="9"/>
      <c r="IH940" s="9"/>
      <c r="II940" s="9"/>
      <c r="IJ940" s="9"/>
      <c r="IK940" s="9"/>
      <c r="IL940" s="9"/>
      <c r="IM940" s="9"/>
      <c r="IN940" s="9"/>
      <c r="IO940" s="9"/>
      <c r="IP940" s="9"/>
      <c r="IQ940" s="9"/>
      <c r="IR940" s="9"/>
      <c r="IS940" s="9"/>
      <c r="IT940" s="9"/>
      <c r="IU940" s="9"/>
      <c r="IV940" s="9"/>
      <c r="IW940" s="9"/>
      <c r="IX940" s="9"/>
      <c r="IY940" s="9"/>
      <c r="IZ940" s="9"/>
      <c r="JA940" s="9"/>
      <c r="JB940" s="9"/>
      <c r="JC940" s="9"/>
      <c r="JD940" s="9"/>
      <c r="JE940" s="9"/>
      <c r="JF940" s="9"/>
      <c r="JG940" s="9"/>
      <c r="JH940" s="9"/>
      <c r="JI940" s="9"/>
      <c r="JJ940" s="9"/>
      <c r="JK940" s="9"/>
      <c r="JL940" s="9"/>
      <c r="JM940" s="9"/>
      <c r="JN940" s="9"/>
      <c r="JO940" s="9"/>
      <c r="JP940" s="9"/>
      <c r="JQ940" s="9"/>
      <c r="JR940" s="9"/>
      <c r="JS940" s="9"/>
      <c r="JT940" s="9"/>
      <c r="JU940" s="9"/>
      <c r="JV940" s="9"/>
      <c r="JW940" s="9"/>
      <c r="JX940" s="9"/>
      <c r="JY940" s="9"/>
      <c r="JZ940" s="9"/>
      <c r="KA940" s="9"/>
      <c r="KB940" s="9"/>
      <c r="KC940" s="9"/>
      <c r="KD940" s="9"/>
      <c r="KE940" s="9"/>
      <c r="KF940" s="9"/>
      <c r="KG940" s="9"/>
      <c r="KH940" s="9"/>
      <c r="KI940" s="9"/>
      <c r="KJ940" s="9"/>
      <c r="KK940" s="9"/>
      <c r="KL940" s="9"/>
      <c r="KM940" s="9"/>
      <c r="KN940" s="9"/>
      <c r="KO940" s="9"/>
      <c r="KP940" s="9"/>
      <c r="KQ940" s="9"/>
      <c r="KR940" s="9"/>
      <c r="KS940" s="9"/>
      <c r="KT940" s="9"/>
      <c r="KU940" s="9"/>
      <c r="KV940" s="9"/>
      <c r="KW940" s="9"/>
      <c r="KX940" s="9"/>
      <c r="KY940" s="9"/>
      <c r="KZ940" s="9"/>
      <c r="LA940" s="9"/>
      <c r="LB940" s="9"/>
      <c r="LC940" s="9"/>
      <c r="LD940" s="9"/>
      <c r="LE940" s="9"/>
      <c r="LF940" s="9"/>
      <c r="LG940" s="9"/>
      <c r="LH940" s="9"/>
      <c r="LI940" s="9"/>
      <c r="LJ940" s="9"/>
      <c r="LK940" s="9"/>
      <c r="LL940" s="9"/>
      <c r="LM940" s="9"/>
      <c r="LN940" s="9"/>
      <c r="LO940" s="9"/>
      <c r="LP940" s="9"/>
      <c r="LQ940" s="9"/>
      <c r="LR940" s="9"/>
      <c r="LS940" s="9"/>
      <c r="LT940" s="9"/>
      <c r="LU940" s="9"/>
      <c r="LV940" s="9"/>
      <c r="LW940" s="9"/>
      <c r="LX940" s="9"/>
      <c r="LY940" s="9"/>
      <c r="LZ940" s="9"/>
      <c r="MA940" s="9"/>
      <c r="MB940" s="9"/>
      <c r="MC940" s="9"/>
      <c r="MD940" s="9"/>
      <c r="ME940" s="9"/>
      <c r="MF940" s="9"/>
      <c r="MG940" s="9"/>
      <c r="MH940" s="9"/>
      <c r="MI940" s="9"/>
      <c r="MJ940" s="9"/>
      <c r="MK940" s="9"/>
      <c r="ML940" s="9"/>
      <c r="MM940" s="9"/>
      <c r="MN940" s="9"/>
      <c r="MO940" s="9"/>
      <c r="MP940" s="9"/>
      <c r="MQ940" s="9"/>
      <c r="MR940" s="9"/>
      <c r="MS940" s="9"/>
      <c r="MT940" s="9"/>
      <c r="MU940" s="9"/>
      <c r="MV940" s="9"/>
      <c r="MW940" s="9"/>
      <c r="MX940" s="9"/>
      <c r="MY940" s="9"/>
      <c r="MZ940" s="9"/>
      <c r="NA940" s="9"/>
      <c r="NB940" s="9"/>
      <c r="NC940" s="9"/>
      <c r="ND940" s="9"/>
      <c r="NE940" s="9"/>
      <c r="NF940" s="9"/>
      <c r="NG940" s="9"/>
      <c r="NH940" s="9"/>
      <c r="NI940" s="9"/>
      <c r="NJ940" s="9"/>
      <c r="NK940" s="9"/>
      <c r="NL940" s="9"/>
      <c r="NM940" s="9"/>
      <c r="NN940" s="9"/>
      <c r="NO940" s="9"/>
      <c r="NP940" s="9"/>
      <c r="NQ940" s="9"/>
      <c r="NR940" s="9"/>
      <c r="NS940" s="9"/>
      <c r="NT940" s="9"/>
      <c r="NU940" s="9"/>
      <c r="NV940" s="9"/>
      <c r="NW940" s="9"/>
      <c r="NX940" s="9"/>
      <c r="NY940" s="9"/>
      <c r="NZ940" s="9"/>
      <c r="OA940" s="9"/>
      <c r="OB940" s="9"/>
      <c r="OC940" s="9"/>
      <c r="OD940" s="9"/>
      <c r="OE940" s="9"/>
      <c r="OF940" s="9"/>
      <c r="OG940" s="9"/>
      <c r="OH940" s="9"/>
      <c r="OI940" s="9"/>
      <c r="OJ940" s="9"/>
      <c r="OK940" s="9"/>
      <c r="OL940" s="9"/>
      <c r="OM940" s="9"/>
      <c r="ON940" s="9"/>
      <c r="OO940" s="9"/>
      <c r="OP940" s="9"/>
      <c r="OQ940" s="9"/>
      <c r="OR940" s="9"/>
      <c r="OS940" s="9"/>
      <c r="OT940" s="9"/>
      <c r="OU940" s="9"/>
      <c r="OV940" s="9"/>
      <c r="OW940" s="9"/>
      <c r="OX940" s="9"/>
      <c r="OY940" s="9"/>
      <c r="OZ940" s="9"/>
      <c r="PA940" s="9"/>
      <c r="PB940" s="9"/>
      <c r="PC940" s="9"/>
      <c r="PD940" s="9"/>
      <c r="PE940" s="9"/>
      <c r="PF940" s="9"/>
      <c r="PG940" s="9"/>
      <c r="PH940" s="9"/>
      <c r="PI940" s="9"/>
      <c r="PJ940" s="9"/>
      <c r="PK940" s="9"/>
      <c r="PL940" s="9"/>
      <c r="PM940" s="9"/>
      <c r="PN940" s="9"/>
      <c r="PO940" s="9"/>
      <c r="PP940" s="9"/>
      <c r="PQ940" s="9"/>
      <c r="PR940" s="9"/>
      <c r="PS940" s="9"/>
      <c r="PT940" s="9"/>
      <c r="PU940" s="9"/>
      <c r="PV940" s="9"/>
      <c r="PW940" s="9"/>
      <c r="PX940" s="9"/>
      <c r="PY940" s="9"/>
      <c r="PZ940" s="9"/>
      <c r="QA940" s="9"/>
      <c r="QB940" s="9"/>
      <c r="QC940" s="9"/>
      <c r="QD940" s="9"/>
      <c r="QE940" s="9"/>
      <c r="QF940" s="9"/>
      <c r="QG940" s="9"/>
      <c r="QH940" s="9"/>
      <c r="QI940" s="9"/>
      <c r="QJ940" s="9"/>
      <c r="QK940" s="9"/>
      <c r="QL940" s="9"/>
      <c r="QM940" s="9"/>
      <c r="QN940" s="9"/>
      <c r="QO940" s="9"/>
      <c r="QP940" s="9"/>
      <c r="QQ940" s="9"/>
      <c r="QR940" s="9"/>
      <c r="QS940" s="9"/>
      <c r="QT940" s="9"/>
      <c r="QU940" s="9"/>
      <c r="QV940" s="9"/>
      <c r="QW940" s="9"/>
      <c r="QX940" s="9"/>
      <c r="QY940" s="9"/>
      <c r="QZ940" s="9"/>
      <c r="RA940" s="9"/>
      <c r="RB940" s="9"/>
      <c r="RC940" s="9"/>
      <c r="RD940" s="9"/>
      <c r="RE940" s="9"/>
      <c r="RF940" s="9"/>
      <c r="RG940" s="9"/>
      <c r="RH940" s="9"/>
      <c r="RI940" s="9"/>
      <c r="RJ940" s="9"/>
      <c r="RK940" s="9"/>
      <c r="RL940" s="9"/>
      <c r="RM940" s="9"/>
      <c r="RN940" s="9"/>
      <c r="RO940" s="9"/>
      <c r="RP940" s="9"/>
      <c r="RQ940" s="9"/>
      <c r="RR940" s="9"/>
      <c r="RS940" s="9"/>
      <c r="RT940" s="9"/>
      <c r="RU940" s="9"/>
      <c r="RV940" s="9"/>
      <c r="RW940" s="9"/>
      <c r="RX940" s="9"/>
      <c r="RY940" s="9"/>
      <c r="RZ940" s="9"/>
      <c r="SA940" s="9"/>
      <c r="SB940" s="9"/>
      <c r="SC940" s="9"/>
      <c r="SD940" s="9"/>
      <c r="SE940" s="9"/>
      <c r="SF940" s="9"/>
      <c r="SG940" s="9"/>
      <c r="SH940" s="9"/>
      <c r="SI940" s="9"/>
      <c r="SJ940" s="9"/>
      <c r="SK940" s="9"/>
      <c r="SL940" s="9"/>
      <c r="SM940" s="9"/>
      <c r="SN940" s="9"/>
      <c r="SO940" s="9"/>
      <c r="SP940" s="9"/>
      <c r="SQ940" s="9"/>
      <c r="SR940" s="9"/>
      <c r="SS940" s="9"/>
      <c r="ST940" s="9"/>
      <c r="SU940" s="9"/>
      <c r="SV940" s="9"/>
      <c r="SW940" s="9"/>
      <c r="SX940" s="9"/>
      <c r="SY940" s="9"/>
      <c r="SZ940" s="9"/>
      <c r="TA940" s="9"/>
      <c r="TB940" s="9"/>
      <c r="TC940" s="9"/>
      <c r="TD940" s="9"/>
      <c r="TE940" s="9"/>
      <c r="TF940" s="9"/>
      <c r="TG940" s="9"/>
      <c r="TH940" s="9"/>
      <c r="TI940" s="9"/>
      <c r="TJ940" s="9"/>
      <c r="TK940" s="9"/>
      <c r="TL940" s="9"/>
      <c r="TM940" s="9"/>
      <c r="TN940" s="9"/>
      <c r="TO940" s="9"/>
      <c r="TP940" s="9"/>
      <c r="TQ940" s="9"/>
      <c r="TR940" s="9"/>
      <c r="TS940" s="9"/>
      <c r="TT940" s="9"/>
      <c r="TU940" s="9"/>
      <c r="TV940" s="9"/>
      <c r="TW940" s="9"/>
      <c r="TX940" s="9"/>
      <c r="TY940" s="9"/>
      <c r="TZ940" s="9"/>
      <c r="UA940" s="9"/>
      <c r="UB940" s="9"/>
      <c r="UC940" s="9"/>
      <c r="UD940" s="9"/>
      <c r="UE940" s="9"/>
      <c r="UF940" s="9"/>
      <c r="UG940" s="9"/>
      <c r="UH940" s="9"/>
      <c r="UI940" s="9"/>
      <c r="UJ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  <c r="HO941" s="9"/>
      <c r="HP941" s="9"/>
      <c r="HQ941" s="9"/>
      <c r="HR941" s="9"/>
      <c r="HS941" s="9"/>
      <c r="HT941" s="9"/>
      <c r="HU941" s="9"/>
      <c r="HV941" s="9"/>
      <c r="HW941" s="9"/>
      <c r="HX941" s="9"/>
      <c r="HY941" s="9"/>
      <c r="HZ941" s="9"/>
      <c r="IA941" s="9"/>
      <c r="IB941" s="9"/>
      <c r="IC941" s="9"/>
      <c r="ID941" s="9"/>
      <c r="IE941" s="9"/>
      <c r="IF941" s="9"/>
      <c r="IG941" s="9"/>
      <c r="IH941" s="9"/>
      <c r="II941" s="9"/>
      <c r="IJ941" s="9"/>
      <c r="IK941" s="9"/>
      <c r="IL941" s="9"/>
      <c r="IM941" s="9"/>
      <c r="IN941" s="9"/>
      <c r="IO941" s="9"/>
      <c r="IP941" s="9"/>
      <c r="IQ941" s="9"/>
      <c r="IR941" s="9"/>
      <c r="IS941" s="9"/>
      <c r="IT941" s="9"/>
      <c r="IU941" s="9"/>
      <c r="IV941" s="9"/>
      <c r="IW941" s="9"/>
      <c r="IX941" s="9"/>
      <c r="IY941" s="9"/>
      <c r="IZ941" s="9"/>
      <c r="JA941" s="9"/>
      <c r="JB941" s="9"/>
      <c r="JC941" s="9"/>
      <c r="JD941" s="9"/>
      <c r="JE941" s="9"/>
      <c r="JF941" s="9"/>
      <c r="JG941" s="9"/>
      <c r="JH941" s="9"/>
      <c r="JI941" s="9"/>
      <c r="JJ941" s="9"/>
      <c r="JK941" s="9"/>
      <c r="JL941" s="9"/>
      <c r="JM941" s="9"/>
      <c r="JN941" s="9"/>
      <c r="JO941" s="9"/>
      <c r="JP941" s="9"/>
      <c r="JQ941" s="9"/>
      <c r="JR941" s="9"/>
      <c r="JS941" s="9"/>
      <c r="JT941" s="9"/>
      <c r="JU941" s="9"/>
      <c r="JV941" s="9"/>
      <c r="JW941" s="9"/>
      <c r="JX941" s="9"/>
      <c r="JY941" s="9"/>
      <c r="JZ941" s="9"/>
      <c r="KA941" s="9"/>
      <c r="KB941" s="9"/>
      <c r="KC941" s="9"/>
      <c r="KD941" s="9"/>
      <c r="KE941" s="9"/>
      <c r="KF941" s="9"/>
      <c r="KG941" s="9"/>
      <c r="KH941" s="9"/>
      <c r="KI941" s="9"/>
      <c r="KJ941" s="9"/>
      <c r="KK941" s="9"/>
      <c r="KL941" s="9"/>
      <c r="KM941" s="9"/>
      <c r="KN941" s="9"/>
      <c r="KO941" s="9"/>
      <c r="KP941" s="9"/>
      <c r="KQ941" s="9"/>
      <c r="KR941" s="9"/>
      <c r="KS941" s="9"/>
      <c r="KT941" s="9"/>
      <c r="KU941" s="9"/>
      <c r="KV941" s="9"/>
      <c r="KW941" s="9"/>
      <c r="KX941" s="9"/>
      <c r="KY941" s="9"/>
      <c r="KZ941" s="9"/>
      <c r="LA941" s="9"/>
      <c r="LB941" s="9"/>
      <c r="LC941" s="9"/>
      <c r="LD941" s="9"/>
      <c r="LE941" s="9"/>
      <c r="LF941" s="9"/>
      <c r="LG941" s="9"/>
      <c r="LH941" s="9"/>
      <c r="LI941" s="9"/>
      <c r="LJ941" s="9"/>
      <c r="LK941" s="9"/>
      <c r="LL941" s="9"/>
      <c r="LM941" s="9"/>
      <c r="LN941" s="9"/>
      <c r="LO941" s="9"/>
      <c r="LP941" s="9"/>
      <c r="LQ941" s="9"/>
      <c r="LR941" s="9"/>
      <c r="LS941" s="9"/>
      <c r="LT941" s="9"/>
      <c r="LU941" s="9"/>
      <c r="LV941" s="9"/>
      <c r="LW941" s="9"/>
      <c r="LX941" s="9"/>
      <c r="LY941" s="9"/>
      <c r="LZ941" s="9"/>
      <c r="MA941" s="9"/>
      <c r="MB941" s="9"/>
      <c r="MC941" s="9"/>
      <c r="MD941" s="9"/>
      <c r="ME941" s="9"/>
      <c r="MF941" s="9"/>
      <c r="MG941" s="9"/>
      <c r="MH941" s="9"/>
      <c r="MI941" s="9"/>
      <c r="MJ941" s="9"/>
      <c r="MK941" s="9"/>
      <c r="ML941" s="9"/>
      <c r="MM941" s="9"/>
      <c r="MN941" s="9"/>
      <c r="MO941" s="9"/>
      <c r="MP941" s="9"/>
      <c r="MQ941" s="9"/>
      <c r="MR941" s="9"/>
      <c r="MS941" s="9"/>
      <c r="MT941" s="9"/>
      <c r="MU941" s="9"/>
      <c r="MV941" s="9"/>
      <c r="MW941" s="9"/>
      <c r="MX941" s="9"/>
      <c r="MY941" s="9"/>
      <c r="MZ941" s="9"/>
      <c r="NA941" s="9"/>
      <c r="NB941" s="9"/>
      <c r="NC941" s="9"/>
      <c r="ND941" s="9"/>
      <c r="NE941" s="9"/>
      <c r="NF941" s="9"/>
      <c r="NG941" s="9"/>
      <c r="NH941" s="9"/>
      <c r="NI941" s="9"/>
      <c r="NJ941" s="9"/>
      <c r="NK941" s="9"/>
      <c r="NL941" s="9"/>
      <c r="NM941" s="9"/>
      <c r="NN941" s="9"/>
      <c r="NO941" s="9"/>
      <c r="NP941" s="9"/>
      <c r="NQ941" s="9"/>
      <c r="NR941" s="9"/>
      <c r="NS941" s="9"/>
      <c r="NT941" s="9"/>
      <c r="NU941" s="9"/>
      <c r="NV941" s="9"/>
      <c r="NW941" s="9"/>
      <c r="NX941" s="9"/>
      <c r="NY941" s="9"/>
      <c r="NZ941" s="9"/>
      <c r="OA941" s="9"/>
      <c r="OB941" s="9"/>
      <c r="OC941" s="9"/>
      <c r="OD941" s="9"/>
      <c r="OE941" s="9"/>
      <c r="OF941" s="9"/>
      <c r="OG941" s="9"/>
      <c r="OH941" s="9"/>
      <c r="OI941" s="9"/>
      <c r="OJ941" s="9"/>
      <c r="OK941" s="9"/>
      <c r="OL941" s="9"/>
      <c r="OM941" s="9"/>
      <c r="ON941" s="9"/>
      <c r="OO941" s="9"/>
      <c r="OP941" s="9"/>
      <c r="OQ941" s="9"/>
      <c r="OR941" s="9"/>
      <c r="OS941" s="9"/>
      <c r="OT941" s="9"/>
      <c r="OU941" s="9"/>
      <c r="OV941" s="9"/>
      <c r="OW941" s="9"/>
      <c r="OX941" s="9"/>
      <c r="OY941" s="9"/>
      <c r="OZ941" s="9"/>
      <c r="PA941" s="9"/>
      <c r="PB941" s="9"/>
      <c r="PC941" s="9"/>
      <c r="PD941" s="9"/>
      <c r="PE941" s="9"/>
      <c r="PF941" s="9"/>
      <c r="PG941" s="9"/>
      <c r="PH941" s="9"/>
      <c r="PI941" s="9"/>
      <c r="PJ941" s="9"/>
      <c r="PK941" s="9"/>
      <c r="PL941" s="9"/>
      <c r="PM941" s="9"/>
      <c r="PN941" s="9"/>
      <c r="PO941" s="9"/>
      <c r="PP941" s="9"/>
      <c r="PQ941" s="9"/>
      <c r="PR941" s="9"/>
      <c r="PS941" s="9"/>
      <c r="PT941" s="9"/>
      <c r="PU941" s="9"/>
      <c r="PV941" s="9"/>
      <c r="PW941" s="9"/>
      <c r="PX941" s="9"/>
      <c r="PY941" s="9"/>
      <c r="PZ941" s="9"/>
      <c r="QA941" s="9"/>
      <c r="QB941" s="9"/>
      <c r="QC941" s="9"/>
      <c r="QD941" s="9"/>
      <c r="QE941" s="9"/>
      <c r="QF941" s="9"/>
      <c r="QG941" s="9"/>
      <c r="QH941" s="9"/>
      <c r="QI941" s="9"/>
      <c r="QJ941" s="9"/>
      <c r="QK941" s="9"/>
      <c r="QL941" s="9"/>
      <c r="QM941" s="9"/>
      <c r="QN941" s="9"/>
      <c r="QO941" s="9"/>
      <c r="QP941" s="9"/>
      <c r="QQ941" s="9"/>
      <c r="QR941" s="9"/>
      <c r="QS941" s="9"/>
      <c r="QT941" s="9"/>
      <c r="QU941" s="9"/>
      <c r="QV941" s="9"/>
      <c r="QW941" s="9"/>
      <c r="QX941" s="9"/>
      <c r="QY941" s="9"/>
      <c r="QZ941" s="9"/>
      <c r="RA941" s="9"/>
      <c r="RB941" s="9"/>
      <c r="RC941" s="9"/>
      <c r="RD941" s="9"/>
      <c r="RE941" s="9"/>
      <c r="RF941" s="9"/>
      <c r="RG941" s="9"/>
      <c r="RH941" s="9"/>
      <c r="RI941" s="9"/>
      <c r="RJ941" s="9"/>
      <c r="RK941" s="9"/>
      <c r="RL941" s="9"/>
      <c r="RM941" s="9"/>
      <c r="RN941" s="9"/>
      <c r="RO941" s="9"/>
      <c r="RP941" s="9"/>
      <c r="RQ941" s="9"/>
      <c r="RR941" s="9"/>
      <c r="RS941" s="9"/>
      <c r="RT941" s="9"/>
      <c r="RU941" s="9"/>
      <c r="RV941" s="9"/>
      <c r="RW941" s="9"/>
      <c r="RX941" s="9"/>
      <c r="RY941" s="9"/>
      <c r="RZ941" s="9"/>
      <c r="SA941" s="9"/>
      <c r="SB941" s="9"/>
      <c r="SC941" s="9"/>
      <c r="SD941" s="9"/>
      <c r="SE941" s="9"/>
      <c r="SF941" s="9"/>
      <c r="SG941" s="9"/>
      <c r="SH941" s="9"/>
      <c r="SI941" s="9"/>
      <c r="SJ941" s="9"/>
      <c r="SK941" s="9"/>
      <c r="SL941" s="9"/>
      <c r="SM941" s="9"/>
      <c r="SN941" s="9"/>
      <c r="SO941" s="9"/>
      <c r="SP941" s="9"/>
      <c r="SQ941" s="9"/>
      <c r="SR941" s="9"/>
      <c r="SS941" s="9"/>
      <c r="ST941" s="9"/>
      <c r="SU941" s="9"/>
      <c r="SV941" s="9"/>
      <c r="SW941" s="9"/>
      <c r="SX941" s="9"/>
      <c r="SY941" s="9"/>
      <c r="SZ941" s="9"/>
      <c r="TA941" s="9"/>
      <c r="TB941" s="9"/>
      <c r="TC941" s="9"/>
      <c r="TD941" s="9"/>
      <c r="TE941" s="9"/>
      <c r="TF941" s="9"/>
      <c r="TG941" s="9"/>
      <c r="TH941" s="9"/>
      <c r="TI941" s="9"/>
      <c r="TJ941" s="9"/>
      <c r="TK941" s="9"/>
      <c r="TL941" s="9"/>
      <c r="TM941" s="9"/>
      <c r="TN941" s="9"/>
      <c r="TO941" s="9"/>
      <c r="TP941" s="9"/>
      <c r="TQ941" s="9"/>
      <c r="TR941" s="9"/>
      <c r="TS941" s="9"/>
      <c r="TT941" s="9"/>
      <c r="TU941" s="9"/>
      <c r="TV941" s="9"/>
      <c r="TW941" s="9"/>
      <c r="TX941" s="9"/>
      <c r="TY941" s="9"/>
      <c r="TZ941" s="9"/>
      <c r="UA941" s="9"/>
      <c r="UB941" s="9"/>
      <c r="UC941" s="9"/>
      <c r="UD941" s="9"/>
      <c r="UE941" s="9"/>
      <c r="UF941" s="9"/>
      <c r="UG941" s="9"/>
      <c r="UH941" s="9"/>
      <c r="UI941" s="9"/>
      <c r="UJ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9"/>
      <c r="FS942" s="9"/>
      <c r="FT942" s="9"/>
      <c r="FU942" s="9"/>
      <c r="FV942" s="9"/>
      <c r="FW942" s="9"/>
      <c r="FX942" s="9"/>
      <c r="FY942" s="9"/>
      <c r="FZ942" s="9"/>
      <c r="GA942" s="9"/>
      <c r="GB942" s="9"/>
      <c r="GC942" s="9"/>
      <c r="GD942" s="9"/>
      <c r="GE942" s="9"/>
      <c r="GF942" s="9"/>
      <c r="GG942" s="9"/>
      <c r="GH942" s="9"/>
      <c r="GI942" s="9"/>
      <c r="GJ942" s="9"/>
      <c r="GK942" s="9"/>
      <c r="GL942" s="9"/>
      <c r="GM942" s="9"/>
      <c r="GN942" s="9"/>
      <c r="GO942" s="9"/>
      <c r="GP942" s="9"/>
      <c r="GQ942" s="9"/>
      <c r="GR942" s="9"/>
      <c r="GS942" s="9"/>
      <c r="GT942" s="9"/>
      <c r="GU942" s="9"/>
      <c r="GV942" s="9"/>
      <c r="GW942" s="9"/>
      <c r="GX942" s="9"/>
      <c r="GY942" s="9"/>
      <c r="GZ942" s="9"/>
      <c r="HA942" s="9"/>
      <c r="HB942" s="9"/>
      <c r="HC942" s="9"/>
      <c r="HD942" s="9"/>
      <c r="HE942" s="9"/>
      <c r="HF942" s="9"/>
      <c r="HG942" s="9"/>
      <c r="HH942" s="9"/>
      <c r="HI942" s="9"/>
      <c r="HJ942" s="9"/>
      <c r="HK942" s="9"/>
      <c r="HL942" s="9"/>
      <c r="HM942" s="9"/>
      <c r="HN942" s="9"/>
      <c r="HO942" s="9"/>
      <c r="HP942" s="9"/>
      <c r="HQ942" s="9"/>
      <c r="HR942" s="9"/>
      <c r="HS942" s="9"/>
      <c r="HT942" s="9"/>
      <c r="HU942" s="9"/>
      <c r="HV942" s="9"/>
      <c r="HW942" s="9"/>
      <c r="HX942" s="9"/>
      <c r="HY942" s="9"/>
      <c r="HZ942" s="9"/>
      <c r="IA942" s="9"/>
      <c r="IB942" s="9"/>
      <c r="IC942" s="9"/>
      <c r="ID942" s="9"/>
      <c r="IE942" s="9"/>
      <c r="IF942" s="9"/>
      <c r="IG942" s="9"/>
      <c r="IH942" s="9"/>
      <c r="II942" s="9"/>
      <c r="IJ942" s="9"/>
      <c r="IK942" s="9"/>
      <c r="IL942" s="9"/>
      <c r="IM942" s="9"/>
      <c r="IN942" s="9"/>
      <c r="IO942" s="9"/>
      <c r="IP942" s="9"/>
      <c r="IQ942" s="9"/>
      <c r="IR942" s="9"/>
      <c r="IS942" s="9"/>
      <c r="IT942" s="9"/>
      <c r="IU942" s="9"/>
      <c r="IV942" s="9"/>
      <c r="IW942" s="9"/>
      <c r="IX942" s="9"/>
      <c r="IY942" s="9"/>
      <c r="IZ942" s="9"/>
      <c r="JA942" s="9"/>
      <c r="JB942" s="9"/>
      <c r="JC942" s="9"/>
      <c r="JD942" s="9"/>
      <c r="JE942" s="9"/>
      <c r="JF942" s="9"/>
      <c r="JG942" s="9"/>
      <c r="JH942" s="9"/>
      <c r="JI942" s="9"/>
      <c r="JJ942" s="9"/>
      <c r="JK942" s="9"/>
      <c r="JL942" s="9"/>
      <c r="JM942" s="9"/>
      <c r="JN942" s="9"/>
      <c r="JO942" s="9"/>
      <c r="JP942" s="9"/>
      <c r="JQ942" s="9"/>
      <c r="JR942" s="9"/>
      <c r="JS942" s="9"/>
      <c r="JT942" s="9"/>
      <c r="JU942" s="9"/>
      <c r="JV942" s="9"/>
      <c r="JW942" s="9"/>
      <c r="JX942" s="9"/>
      <c r="JY942" s="9"/>
      <c r="JZ942" s="9"/>
      <c r="KA942" s="9"/>
      <c r="KB942" s="9"/>
      <c r="KC942" s="9"/>
      <c r="KD942" s="9"/>
      <c r="KE942" s="9"/>
      <c r="KF942" s="9"/>
      <c r="KG942" s="9"/>
      <c r="KH942" s="9"/>
      <c r="KI942" s="9"/>
      <c r="KJ942" s="9"/>
      <c r="KK942" s="9"/>
      <c r="KL942" s="9"/>
      <c r="KM942" s="9"/>
      <c r="KN942" s="9"/>
      <c r="KO942" s="9"/>
      <c r="KP942" s="9"/>
      <c r="KQ942" s="9"/>
      <c r="KR942" s="9"/>
      <c r="KS942" s="9"/>
      <c r="KT942" s="9"/>
      <c r="KU942" s="9"/>
      <c r="KV942" s="9"/>
      <c r="KW942" s="9"/>
      <c r="KX942" s="9"/>
      <c r="KY942" s="9"/>
      <c r="KZ942" s="9"/>
      <c r="LA942" s="9"/>
      <c r="LB942" s="9"/>
      <c r="LC942" s="9"/>
      <c r="LD942" s="9"/>
      <c r="LE942" s="9"/>
      <c r="LF942" s="9"/>
      <c r="LG942" s="9"/>
      <c r="LH942" s="9"/>
      <c r="LI942" s="9"/>
      <c r="LJ942" s="9"/>
      <c r="LK942" s="9"/>
      <c r="LL942" s="9"/>
      <c r="LM942" s="9"/>
      <c r="LN942" s="9"/>
      <c r="LO942" s="9"/>
      <c r="LP942" s="9"/>
      <c r="LQ942" s="9"/>
      <c r="LR942" s="9"/>
      <c r="LS942" s="9"/>
      <c r="LT942" s="9"/>
      <c r="LU942" s="9"/>
      <c r="LV942" s="9"/>
      <c r="LW942" s="9"/>
      <c r="LX942" s="9"/>
      <c r="LY942" s="9"/>
      <c r="LZ942" s="9"/>
      <c r="MA942" s="9"/>
      <c r="MB942" s="9"/>
      <c r="MC942" s="9"/>
      <c r="MD942" s="9"/>
      <c r="ME942" s="9"/>
      <c r="MF942" s="9"/>
      <c r="MG942" s="9"/>
      <c r="MH942" s="9"/>
      <c r="MI942" s="9"/>
      <c r="MJ942" s="9"/>
      <c r="MK942" s="9"/>
      <c r="ML942" s="9"/>
      <c r="MM942" s="9"/>
      <c r="MN942" s="9"/>
      <c r="MO942" s="9"/>
      <c r="MP942" s="9"/>
      <c r="MQ942" s="9"/>
      <c r="MR942" s="9"/>
      <c r="MS942" s="9"/>
      <c r="MT942" s="9"/>
      <c r="MU942" s="9"/>
      <c r="MV942" s="9"/>
      <c r="MW942" s="9"/>
      <c r="MX942" s="9"/>
      <c r="MY942" s="9"/>
      <c r="MZ942" s="9"/>
      <c r="NA942" s="9"/>
      <c r="NB942" s="9"/>
      <c r="NC942" s="9"/>
      <c r="ND942" s="9"/>
      <c r="NE942" s="9"/>
      <c r="NF942" s="9"/>
      <c r="NG942" s="9"/>
      <c r="NH942" s="9"/>
      <c r="NI942" s="9"/>
      <c r="NJ942" s="9"/>
      <c r="NK942" s="9"/>
      <c r="NL942" s="9"/>
      <c r="NM942" s="9"/>
      <c r="NN942" s="9"/>
      <c r="NO942" s="9"/>
      <c r="NP942" s="9"/>
      <c r="NQ942" s="9"/>
      <c r="NR942" s="9"/>
      <c r="NS942" s="9"/>
      <c r="NT942" s="9"/>
      <c r="NU942" s="9"/>
      <c r="NV942" s="9"/>
      <c r="NW942" s="9"/>
      <c r="NX942" s="9"/>
      <c r="NY942" s="9"/>
      <c r="NZ942" s="9"/>
      <c r="OA942" s="9"/>
      <c r="OB942" s="9"/>
      <c r="OC942" s="9"/>
      <c r="OD942" s="9"/>
      <c r="OE942" s="9"/>
      <c r="OF942" s="9"/>
      <c r="OG942" s="9"/>
      <c r="OH942" s="9"/>
      <c r="OI942" s="9"/>
      <c r="OJ942" s="9"/>
      <c r="OK942" s="9"/>
      <c r="OL942" s="9"/>
      <c r="OM942" s="9"/>
      <c r="ON942" s="9"/>
      <c r="OO942" s="9"/>
      <c r="OP942" s="9"/>
      <c r="OQ942" s="9"/>
      <c r="OR942" s="9"/>
      <c r="OS942" s="9"/>
      <c r="OT942" s="9"/>
      <c r="OU942" s="9"/>
      <c r="OV942" s="9"/>
      <c r="OW942" s="9"/>
      <c r="OX942" s="9"/>
      <c r="OY942" s="9"/>
      <c r="OZ942" s="9"/>
      <c r="PA942" s="9"/>
      <c r="PB942" s="9"/>
      <c r="PC942" s="9"/>
      <c r="PD942" s="9"/>
      <c r="PE942" s="9"/>
      <c r="PF942" s="9"/>
      <c r="PG942" s="9"/>
      <c r="PH942" s="9"/>
      <c r="PI942" s="9"/>
      <c r="PJ942" s="9"/>
      <c r="PK942" s="9"/>
      <c r="PL942" s="9"/>
      <c r="PM942" s="9"/>
      <c r="PN942" s="9"/>
      <c r="PO942" s="9"/>
      <c r="PP942" s="9"/>
      <c r="PQ942" s="9"/>
      <c r="PR942" s="9"/>
      <c r="PS942" s="9"/>
      <c r="PT942" s="9"/>
      <c r="PU942" s="9"/>
      <c r="PV942" s="9"/>
      <c r="PW942" s="9"/>
      <c r="PX942" s="9"/>
      <c r="PY942" s="9"/>
      <c r="PZ942" s="9"/>
      <c r="QA942" s="9"/>
      <c r="QB942" s="9"/>
      <c r="QC942" s="9"/>
      <c r="QD942" s="9"/>
      <c r="QE942" s="9"/>
      <c r="QF942" s="9"/>
      <c r="QG942" s="9"/>
      <c r="QH942" s="9"/>
      <c r="QI942" s="9"/>
      <c r="QJ942" s="9"/>
      <c r="QK942" s="9"/>
      <c r="QL942" s="9"/>
      <c r="QM942" s="9"/>
      <c r="QN942" s="9"/>
      <c r="QO942" s="9"/>
      <c r="QP942" s="9"/>
      <c r="QQ942" s="9"/>
      <c r="QR942" s="9"/>
      <c r="QS942" s="9"/>
      <c r="QT942" s="9"/>
      <c r="QU942" s="9"/>
      <c r="QV942" s="9"/>
      <c r="QW942" s="9"/>
      <c r="QX942" s="9"/>
      <c r="QY942" s="9"/>
      <c r="QZ942" s="9"/>
      <c r="RA942" s="9"/>
      <c r="RB942" s="9"/>
      <c r="RC942" s="9"/>
      <c r="RD942" s="9"/>
      <c r="RE942" s="9"/>
      <c r="RF942" s="9"/>
      <c r="RG942" s="9"/>
      <c r="RH942" s="9"/>
      <c r="RI942" s="9"/>
      <c r="RJ942" s="9"/>
      <c r="RK942" s="9"/>
      <c r="RL942" s="9"/>
      <c r="RM942" s="9"/>
      <c r="RN942" s="9"/>
      <c r="RO942" s="9"/>
      <c r="RP942" s="9"/>
      <c r="RQ942" s="9"/>
      <c r="RR942" s="9"/>
      <c r="RS942" s="9"/>
      <c r="RT942" s="9"/>
      <c r="RU942" s="9"/>
      <c r="RV942" s="9"/>
      <c r="RW942" s="9"/>
      <c r="RX942" s="9"/>
      <c r="RY942" s="9"/>
      <c r="RZ942" s="9"/>
      <c r="SA942" s="9"/>
      <c r="SB942" s="9"/>
      <c r="SC942" s="9"/>
      <c r="SD942" s="9"/>
      <c r="SE942" s="9"/>
      <c r="SF942" s="9"/>
      <c r="SG942" s="9"/>
      <c r="SH942" s="9"/>
      <c r="SI942" s="9"/>
      <c r="SJ942" s="9"/>
      <c r="SK942" s="9"/>
      <c r="SL942" s="9"/>
      <c r="SM942" s="9"/>
      <c r="SN942" s="9"/>
      <c r="SO942" s="9"/>
      <c r="SP942" s="9"/>
      <c r="SQ942" s="9"/>
      <c r="SR942" s="9"/>
      <c r="SS942" s="9"/>
      <c r="ST942" s="9"/>
      <c r="SU942" s="9"/>
      <c r="SV942" s="9"/>
      <c r="SW942" s="9"/>
      <c r="SX942" s="9"/>
      <c r="SY942" s="9"/>
      <c r="SZ942" s="9"/>
      <c r="TA942" s="9"/>
      <c r="TB942" s="9"/>
      <c r="TC942" s="9"/>
      <c r="TD942" s="9"/>
      <c r="TE942" s="9"/>
      <c r="TF942" s="9"/>
      <c r="TG942" s="9"/>
      <c r="TH942" s="9"/>
      <c r="TI942" s="9"/>
      <c r="TJ942" s="9"/>
      <c r="TK942" s="9"/>
      <c r="TL942" s="9"/>
      <c r="TM942" s="9"/>
      <c r="TN942" s="9"/>
      <c r="TO942" s="9"/>
      <c r="TP942" s="9"/>
      <c r="TQ942" s="9"/>
      <c r="TR942" s="9"/>
      <c r="TS942" s="9"/>
      <c r="TT942" s="9"/>
      <c r="TU942" s="9"/>
      <c r="TV942" s="9"/>
      <c r="TW942" s="9"/>
      <c r="TX942" s="9"/>
      <c r="TY942" s="9"/>
      <c r="TZ942" s="9"/>
      <c r="UA942" s="9"/>
      <c r="UB942" s="9"/>
      <c r="UC942" s="9"/>
      <c r="UD942" s="9"/>
      <c r="UE942" s="9"/>
      <c r="UF942" s="9"/>
      <c r="UG942" s="9"/>
      <c r="UH942" s="9"/>
      <c r="UI942" s="9"/>
      <c r="UJ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9"/>
      <c r="FP943" s="9"/>
      <c r="FQ943" s="9"/>
      <c r="FR943" s="9"/>
      <c r="FS943" s="9"/>
      <c r="FT943" s="9"/>
      <c r="FU943" s="9"/>
      <c r="FV943" s="9"/>
      <c r="FW943" s="9"/>
      <c r="FX943" s="9"/>
      <c r="FY943" s="9"/>
      <c r="FZ943" s="9"/>
      <c r="GA943" s="9"/>
      <c r="GB943" s="9"/>
      <c r="GC943" s="9"/>
      <c r="GD943" s="9"/>
      <c r="GE943" s="9"/>
      <c r="GF943" s="9"/>
      <c r="GG943" s="9"/>
      <c r="GH943" s="9"/>
      <c r="GI943" s="9"/>
      <c r="GJ943" s="9"/>
      <c r="GK943" s="9"/>
      <c r="GL943" s="9"/>
      <c r="GM943" s="9"/>
      <c r="GN943" s="9"/>
      <c r="GO943" s="9"/>
      <c r="GP943" s="9"/>
      <c r="GQ943" s="9"/>
      <c r="GR943" s="9"/>
      <c r="GS943" s="9"/>
      <c r="GT943" s="9"/>
      <c r="GU943" s="9"/>
      <c r="GV943" s="9"/>
      <c r="GW943" s="9"/>
      <c r="GX943" s="9"/>
      <c r="GY943" s="9"/>
      <c r="GZ943" s="9"/>
      <c r="HA943" s="9"/>
      <c r="HB943" s="9"/>
      <c r="HC943" s="9"/>
      <c r="HD943" s="9"/>
      <c r="HE943" s="9"/>
      <c r="HF943" s="9"/>
      <c r="HG943" s="9"/>
      <c r="HH943" s="9"/>
      <c r="HI943" s="9"/>
      <c r="HJ943" s="9"/>
      <c r="HK943" s="9"/>
      <c r="HL943" s="9"/>
      <c r="HM943" s="9"/>
      <c r="HN943" s="9"/>
      <c r="HO943" s="9"/>
      <c r="HP943" s="9"/>
      <c r="HQ943" s="9"/>
      <c r="HR943" s="9"/>
      <c r="HS943" s="9"/>
      <c r="HT943" s="9"/>
      <c r="HU943" s="9"/>
      <c r="HV943" s="9"/>
      <c r="HW943" s="9"/>
      <c r="HX943" s="9"/>
      <c r="HY943" s="9"/>
      <c r="HZ943" s="9"/>
      <c r="IA943" s="9"/>
      <c r="IB943" s="9"/>
      <c r="IC943" s="9"/>
      <c r="ID943" s="9"/>
      <c r="IE943" s="9"/>
      <c r="IF943" s="9"/>
      <c r="IG943" s="9"/>
      <c r="IH943" s="9"/>
      <c r="II943" s="9"/>
      <c r="IJ943" s="9"/>
      <c r="IK943" s="9"/>
      <c r="IL943" s="9"/>
      <c r="IM943" s="9"/>
      <c r="IN943" s="9"/>
      <c r="IO943" s="9"/>
      <c r="IP943" s="9"/>
      <c r="IQ943" s="9"/>
      <c r="IR943" s="9"/>
      <c r="IS943" s="9"/>
      <c r="IT943" s="9"/>
      <c r="IU943" s="9"/>
      <c r="IV943" s="9"/>
      <c r="IW943" s="9"/>
      <c r="IX943" s="9"/>
      <c r="IY943" s="9"/>
      <c r="IZ943" s="9"/>
      <c r="JA943" s="9"/>
      <c r="JB943" s="9"/>
      <c r="JC943" s="9"/>
      <c r="JD943" s="9"/>
      <c r="JE943" s="9"/>
      <c r="JF943" s="9"/>
      <c r="JG943" s="9"/>
      <c r="JH943" s="9"/>
      <c r="JI943" s="9"/>
      <c r="JJ943" s="9"/>
      <c r="JK943" s="9"/>
      <c r="JL943" s="9"/>
      <c r="JM943" s="9"/>
      <c r="JN943" s="9"/>
      <c r="JO943" s="9"/>
      <c r="JP943" s="9"/>
      <c r="JQ943" s="9"/>
      <c r="JR943" s="9"/>
      <c r="JS943" s="9"/>
      <c r="JT943" s="9"/>
      <c r="JU943" s="9"/>
      <c r="JV943" s="9"/>
      <c r="JW943" s="9"/>
      <c r="JX943" s="9"/>
      <c r="JY943" s="9"/>
      <c r="JZ943" s="9"/>
      <c r="KA943" s="9"/>
      <c r="KB943" s="9"/>
      <c r="KC943" s="9"/>
      <c r="KD943" s="9"/>
      <c r="KE943" s="9"/>
      <c r="KF943" s="9"/>
      <c r="KG943" s="9"/>
      <c r="KH943" s="9"/>
      <c r="KI943" s="9"/>
      <c r="KJ943" s="9"/>
      <c r="KK943" s="9"/>
      <c r="KL943" s="9"/>
      <c r="KM943" s="9"/>
      <c r="KN943" s="9"/>
      <c r="KO943" s="9"/>
      <c r="KP943" s="9"/>
      <c r="KQ943" s="9"/>
      <c r="KR943" s="9"/>
      <c r="KS943" s="9"/>
      <c r="KT943" s="9"/>
      <c r="KU943" s="9"/>
      <c r="KV943" s="9"/>
      <c r="KW943" s="9"/>
      <c r="KX943" s="9"/>
      <c r="KY943" s="9"/>
      <c r="KZ943" s="9"/>
      <c r="LA943" s="9"/>
      <c r="LB943" s="9"/>
      <c r="LC943" s="9"/>
      <c r="LD943" s="9"/>
      <c r="LE943" s="9"/>
      <c r="LF943" s="9"/>
      <c r="LG943" s="9"/>
      <c r="LH943" s="9"/>
      <c r="LI943" s="9"/>
      <c r="LJ943" s="9"/>
      <c r="LK943" s="9"/>
      <c r="LL943" s="9"/>
      <c r="LM943" s="9"/>
      <c r="LN943" s="9"/>
      <c r="LO943" s="9"/>
      <c r="LP943" s="9"/>
      <c r="LQ943" s="9"/>
      <c r="LR943" s="9"/>
      <c r="LS943" s="9"/>
      <c r="LT943" s="9"/>
      <c r="LU943" s="9"/>
      <c r="LV943" s="9"/>
      <c r="LW943" s="9"/>
      <c r="LX943" s="9"/>
      <c r="LY943" s="9"/>
      <c r="LZ943" s="9"/>
      <c r="MA943" s="9"/>
      <c r="MB943" s="9"/>
      <c r="MC943" s="9"/>
      <c r="MD943" s="9"/>
      <c r="ME943" s="9"/>
      <c r="MF943" s="9"/>
      <c r="MG943" s="9"/>
      <c r="MH943" s="9"/>
      <c r="MI943" s="9"/>
      <c r="MJ943" s="9"/>
      <c r="MK943" s="9"/>
      <c r="ML943" s="9"/>
      <c r="MM943" s="9"/>
      <c r="MN943" s="9"/>
      <c r="MO943" s="9"/>
      <c r="MP943" s="9"/>
      <c r="MQ943" s="9"/>
      <c r="MR943" s="9"/>
      <c r="MS943" s="9"/>
      <c r="MT943" s="9"/>
      <c r="MU943" s="9"/>
      <c r="MV943" s="9"/>
      <c r="MW943" s="9"/>
      <c r="MX943" s="9"/>
      <c r="MY943" s="9"/>
      <c r="MZ943" s="9"/>
      <c r="NA943" s="9"/>
      <c r="NB943" s="9"/>
      <c r="NC943" s="9"/>
      <c r="ND943" s="9"/>
      <c r="NE943" s="9"/>
      <c r="NF943" s="9"/>
      <c r="NG943" s="9"/>
      <c r="NH943" s="9"/>
      <c r="NI943" s="9"/>
      <c r="NJ943" s="9"/>
      <c r="NK943" s="9"/>
      <c r="NL943" s="9"/>
      <c r="NM943" s="9"/>
      <c r="NN943" s="9"/>
      <c r="NO943" s="9"/>
      <c r="NP943" s="9"/>
      <c r="NQ943" s="9"/>
      <c r="NR943" s="9"/>
      <c r="NS943" s="9"/>
      <c r="NT943" s="9"/>
      <c r="NU943" s="9"/>
      <c r="NV943" s="9"/>
      <c r="NW943" s="9"/>
      <c r="NX943" s="9"/>
      <c r="NY943" s="9"/>
      <c r="NZ943" s="9"/>
      <c r="OA943" s="9"/>
      <c r="OB943" s="9"/>
      <c r="OC943" s="9"/>
      <c r="OD943" s="9"/>
      <c r="OE943" s="9"/>
      <c r="OF943" s="9"/>
      <c r="OG943" s="9"/>
      <c r="OH943" s="9"/>
      <c r="OI943" s="9"/>
      <c r="OJ943" s="9"/>
      <c r="OK943" s="9"/>
      <c r="OL943" s="9"/>
      <c r="OM943" s="9"/>
      <c r="ON943" s="9"/>
      <c r="OO943" s="9"/>
      <c r="OP943" s="9"/>
      <c r="OQ943" s="9"/>
      <c r="OR943" s="9"/>
      <c r="OS943" s="9"/>
      <c r="OT943" s="9"/>
      <c r="OU943" s="9"/>
      <c r="OV943" s="9"/>
      <c r="OW943" s="9"/>
      <c r="OX943" s="9"/>
      <c r="OY943" s="9"/>
      <c r="OZ943" s="9"/>
      <c r="PA943" s="9"/>
      <c r="PB943" s="9"/>
      <c r="PC943" s="9"/>
      <c r="PD943" s="9"/>
      <c r="PE943" s="9"/>
      <c r="PF943" s="9"/>
      <c r="PG943" s="9"/>
      <c r="PH943" s="9"/>
      <c r="PI943" s="9"/>
      <c r="PJ943" s="9"/>
      <c r="PK943" s="9"/>
      <c r="PL943" s="9"/>
      <c r="PM943" s="9"/>
      <c r="PN943" s="9"/>
      <c r="PO943" s="9"/>
      <c r="PP943" s="9"/>
      <c r="PQ943" s="9"/>
      <c r="PR943" s="9"/>
      <c r="PS943" s="9"/>
      <c r="PT943" s="9"/>
      <c r="PU943" s="9"/>
      <c r="PV943" s="9"/>
      <c r="PW943" s="9"/>
      <c r="PX943" s="9"/>
      <c r="PY943" s="9"/>
      <c r="PZ943" s="9"/>
      <c r="QA943" s="9"/>
      <c r="QB943" s="9"/>
      <c r="QC943" s="9"/>
      <c r="QD943" s="9"/>
      <c r="QE943" s="9"/>
      <c r="QF943" s="9"/>
      <c r="QG943" s="9"/>
      <c r="QH943" s="9"/>
      <c r="QI943" s="9"/>
      <c r="QJ943" s="9"/>
      <c r="QK943" s="9"/>
      <c r="QL943" s="9"/>
      <c r="QM943" s="9"/>
      <c r="QN943" s="9"/>
      <c r="QO943" s="9"/>
      <c r="QP943" s="9"/>
      <c r="QQ943" s="9"/>
      <c r="QR943" s="9"/>
      <c r="QS943" s="9"/>
      <c r="QT943" s="9"/>
      <c r="QU943" s="9"/>
      <c r="QV943" s="9"/>
      <c r="QW943" s="9"/>
      <c r="QX943" s="9"/>
      <c r="QY943" s="9"/>
      <c r="QZ943" s="9"/>
      <c r="RA943" s="9"/>
      <c r="RB943" s="9"/>
      <c r="RC943" s="9"/>
      <c r="RD943" s="9"/>
      <c r="RE943" s="9"/>
      <c r="RF943" s="9"/>
      <c r="RG943" s="9"/>
      <c r="RH943" s="9"/>
      <c r="RI943" s="9"/>
      <c r="RJ943" s="9"/>
      <c r="RK943" s="9"/>
      <c r="RL943" s="9"/>
      <c r="RM943" s="9"/>
      <c r="RN943" s="9"/>
      <c r="RO943" s="9"/>
      <c r="RP943" s="9"/>
      <c r="RQ943" s="9"/>
      <c r="RR943" s="9"/>
      <c r="RS943" s="9"/>
      <c r="RT943" s="9"/>
      <c r="RU943" s="9"/>
      <c r="RV943" s="9"/>
      <c r="RW943" s="9"/>
      <c r="RX943" s="9"/>
      <c r="RY943" s="9"/>
      <c r="RZ943" s="9"/>
      <c r="SA943" s="9"/>
      <c r="SB943" s="9"/>
      <c r="SC943" s="9"/>
      <c r="SD943" s="9"/>
      <c r="SE943" s="9"/>
      <c r="SF943" s="9"/>
      <c r="SG943" s="9"/>
      <c r="SH943" s="9"/>
      <c r="SI943" s="9"/>
      <c r="SJ943" s="9"/>
      <c r="SK943" s="9"/>
      <c r="SL943" s="9"/>
      <c r="SM943" s="9"/>
      <c r="SN943" s="9"/>
      <c r="SO943" s="9"/>
      <c r="SP943" s="9"/>
      <c r="SQ943" s="9"/>
      <c r="SR943" s="9"/>
      <c r="SS943" s="9"/>
      <c r="ST943" s="9"/>
      <c r="SU943" s="9"/>
      <c r="SV943" s="9"/>
      <c r="SW943" s="9"/>
      <c r="SX943" s="9"/>
      <c r="SY943" s="9"/>
      <c r="SZ943" s="9"/>
      <c r="TA943" s="9"/>
      <c r="TB943" s="9"/>
      <c r="TC943" s="9"/>
      <c r="TD943" s="9"/>
      <c r="TE943" s="9"/>
      <c r="TF943" s="9"/>
      <c r="TG943" s="9"/>
      <c r="TH943" s="9"/>
      <c r="TI943" s="9"/>
      <c r="TJ943" s="9"/>
      <c r="TK943" s="9"/>
      <c r="TL943" s="9"/>
      <c r="TM943" s="9"/>
      <c r="TN943" s="9"/>
      <c r="TO943" s="9"/>
      <c r="TP943" s="9"/>
      <c r="TQ943" s="9"/>
      <c r="TR943" s="9"/>
      <c r="TS943" s="9"/>
      <c r="TT943" s="9"/>
      <c r="TU943" s="9"/>
      <c r="TV943" s="9"/>
      <c r="TW943" s="9"/>
      <c r="TX943" s="9"/>
      <c r="TY943" s="9"/>
      <c r="TZ943" s="9"/>
      <c r="UA943" s="9"/>
      <c r="UB943" s="9"/>
      <c r="UC943" s="9"/>
      <c r="UD943" s="9"/>
      <c r="UE943" s="9"/>
      <c r="UF943" s="9"/>
      <c r="UG943" s="9"/>
      <c r="UH943" s="9"/>
      <c r="UI943" s="9"/>
      <c r="UJ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9"/>
      <c r="FK944" s="9"/>
      <c r="FL944" s="9"/>
      <c r="FM944" s="9"/>
      <c r="FN944" s="9"/>
      <c r="FO944" s="9"/>
      <c r="FP944" s="9"/>
      <c r="FQ944" s="9"/>
      <c r="FR944" s="9"/>
      <c r="FS944" s="9"/>
      <c r="FT944" s="9"/>
      <c r="FU944" s="9"/>
      <c r="FV944" s="9"/>
      <c r="FW944" s="9"/>
      <c r="FX944" s="9"/>
      <c r="FY944" s="9"/>
      <c r="FZ944" s="9"/>
      <c r="GA944" s="9"/>
      <c r="GB944" s="9"/>
      <c r="GC944" s="9"/>
      <c r="GD944" s="9"/>
      <c r="GE944" s="9"/>
      <c r="GF944" s="9"/>
      <c r="GG944" s="9"/>
      <c r="GH944" s="9"/>
      <c r="GI944" s="9"/>
      <c r="GJ944" s="9"/>
      <c r="GK944" s="9"/>
      <c r="GL944" s="9"/>
      <c r="GM944" s="9"/>
      <c r="GN944" s="9"/>
      <c r="GO944" s="9"/>
      <c r="GP944" s="9"/>
      <c r="GQ944" s="9"/>
      <c r="GR944" s="9"/>
      <c r="GS944" s="9"/>
      <c r="GT944" s="9"/>
      <c r="GU944" s="9"/>
      <c r="GV944" s="9"/>
      <c r="GW944" s="9"/>
      <c r="GX944" s="9"/>
      <c r="GY944" s="9"/>
      <c r="GZ944" s="9"/>
      <c r="HA944" s="9"/>
      <c r="HB944" s="9"/>
      <c r="HC944" s="9"/>
      <c r="HD944" s="9"/>
      <c r="HE944" s="9"/>
      <c r="HF944" s="9"/>
      <c r="HG944" s="9"/>
      <c r="HH944" s="9"/>
      <c r="HI944" s="9"/>
      <c r="HJ944" s="9"/>
      <c r="HK944" s="9"/>
      <c r="HL944" s="9"/>
      <c r="HM944" s="9"/>
      <c r="HN944" s="9"/>
      <c r="HO944" s="9"/>
      <c r="HP944" s="9"/>
      <c r="HQ944" s="9"/>
      <c r="HR944" s="9"/>
      <c r="HS944" s="9"/>
      <c r="HT944" s="9"/>
      <c r="HU944" s="9"/>
      <c r="HV944" s="9"/>
      <c r="HW944" s="9"/>
      <c r="HX944" s="9"/>
      <c r="HY944" s="9"/>
      <c r="HZ944" s="9"/>
      <c r="IA944" s="9"/>
      <c r="IB944" s="9"/>
      <c r="IC944" s="9"/>
      <c r="ID944" s="9"/>
      <c r="IE944" s="9"/>
      <c r="IF944" s="9"/>
      <c r="IG944" s="9"/>
      <c r="IH944" s="9"/>
      <c r="II944" s="9"/>
      <c r="IJ944" s="9"/>
      <c r="IK944" s="9"/>
      <c r="IL944" s="9"/>
      <c r="IM944" s="9"/>
      <c r="IN944" s="9"/>
      <c r="IO944" s="9"/>
      <c r="IP944" s="9"/>
      <c r="IQ944" s="9"/>
      <c r="IR944" s="9"/>
      <c r="IS944" s="9"/>
      <c r="IT944" s="9"/>
      <c r="IU944" s="9"/>
      <c r="IV944" s="9"/>
      <c r="IW944" s="9"/>
      <c r="IX944" s="9"/>
      <c r="IY944" s="9"/>
      <c r="IZ944" s="9"/>
      <c r="JA944" s="9"/>
      <c r="JB944" s="9"/>
      <c r="JC944" s="9"/>
      <c r="JD944" s="9"/>
      <c r="JE944" s="9"/>
      <c r="JF944" s="9"/>
      <c r="JG944" s="9"/>
      <c r="JH944" s="9"/>
      <c r="JI944" s="9"/>
      <c r="JJ944" s="9"/>
      <c r="JK944" s="9"/>
      <c r="JL944" s="9"/>
      <c r="JM944" s="9"/>
      <c r="JN944" s="9"/>
      <c r="JO944" s="9"/>
      <c r="JP944" s="9"/>
      <c r="JQ944" s="9"/>
      <c r="JR944" s="9"/>
      <c r="JS944" s="9"/>
      <c r="JT944" s="9"/>
      <c r="JU944" s="9"/>
      <c r="JV944" s="9"/>
      <c r="JW944" s="9"/>
      <c r="JX944" s="9"/>
      <c r="JY944" s="9"/>
      <c r="JZ944" s="9"/>
      <c r="KA944" s="9"/>
      <c r="KB944" s="9"/>
      <c r="KC944" s="9"/>
      <c r="KD944" s="9"/>
      <c r="KE944" s="9"/>
      <c r="KF944" s="9"/>
      <c r="KG944" s="9"/>
      <c r="KH944" s="9"/>
      <c r="KI944" s="9"/>
      <c r="KJ944" s="9"/>
      <c r="KK944" s="9"/>
      <c r="KL944" s="9"/>
      <c r="KM944" s="9"/>
      <c r="KN944" s="9"/>
      <c r="KO944" s="9"/>
      <c r="KP944" s="9"/>
      <c r="KQ944" s="9"/>
      <c r="KR944" s="9"/>
      <c r="KS944" s="9"/>
      <c r="KT944" s="9"/>
      <c r="KU944" s="9"/>
      <c r="KV944" s="9"/>
      <c r="KW944" s="9"/>
      <c r="KX944" s="9"/>
      <c r="KY944" s="9"/>
      <c r="KZ944" s="9"/>
      <c r="LA944" s="9"/>
      <c r="LB944" s="9"/>
      <c r="LC944" s="9"/>
      <c r="LD944" s="9"/>
      <c r="LE944" s="9"/>
      <c r="LF944" s="9"/>
      <c r="LG944" s="9"/>
      <c r="LH944" s="9"/>
      <c r="LI944" s="9"/>
      <c r="LJ944" s="9"/>
      <c r="LK944" s="9"/>
      <c r="LL944" s="9"/>
      <c r="LM944" s="9"/>
      <c r="LN944" s="9"/>
      <c r="LO944" s="9"/>
      <c r="LP944" s="9"/>
      <c r="LQ944" s="9"/>
      <c r="LR944" s="9"/>
      <c r="LS944" s="9"/>
      <c r="LT944" s="9"/>
      <c r="LU944" s="9"/>
      <c r="LV944" s="9"/>
      <c r="LW944" s="9"/>
      <c r="LX944" s="9"/>
      <c r="LY944" s="9"/>
      <c r="LZ944" s="9"/>
      <c r="MA944" s="9"/>
      <c r="MB944" s="9"/>
      <c r="MC944" s="9"/>
      <c r="MD944" s="9"/>
      <c r="ME944" s="9"/>
      <c r="MF944" s="9"/>
      <c r="MG944" s="9"/>
      <c r="MH944" s="9"/>
      <c r="MI944" s="9"/>
      <c r="MJ944" s="9"/>
      <c r="MK944" s="9"/>
      <c r="ML944" s="9"/>
      <c r="MM944" s="9"/>
      <c r="MN944" s="9"/>
      <c r="MO944" s="9"/>
      <c r="MP944" s="9"/>
      <c r="MQ944" s="9"/>
      <c r="MR944" s="9"/>
      <c r="MS944" s="9"/>
      <c r="MT944" s="9"/>
      <c r="MU944" s="9"/>
      <c r="MV944" s="9"/>
      <c r="MW944" s="9"/>
      <c r="MX944" s="9"/>
      <c r="MY944" s="9"/>
      <c r="MZ944" s="9"/>
      <c r="NA944" s="9"/>
      <c r="NB944" s="9"/>
      <c r="NC944" s="9"/>
      <c r="ND944" s="9"/>
      <c r="NE944" s="9"/>
      <c r="NF944" s="9"/>
      <c r="NG944" s="9"/>
      <c r="NH944" s="9"/>
      <c r="NI944" s="9"/>
      <c r="NJ944" s="9"/>
      <c r="NK944" s="9"/>
      <c r="NL944" s="9"/>
      <c r="NM944" s="9"/>
      <c r="NN944" s="9"/>
      <c r="NO944" s="9"/>
      <c r="NP944" s="9"/>
      <c r="NQ944" s="9"/>
      <c r="NR944" s="9"/>
      <c r="NS944" s="9"/>
      <c r="NT944" s="9"/>
      <c r="NU944" s="9"/>
      <c r="NV944" s="9"/>
      <c r="NW944" s="9"/>
      <c r="NX944" s="9"/>
      <c r="NY944" s="9"/>
      <c r="NZ944" s="9"/>
      <c r="OA944" s="9"/>
      <c r="OB944" s="9"/>
      <c r="OC944" s="9"/>
      <c r="OD944" s="9"/>
      <c r="OE944" s="9"/>
      <c r="OF944" s="9"/>
      <c r="OG944" s="9"/>
      <c r="OH944" s="9"/>
      <c r="OI944" s="9"/>
      <c r="OJ944" s="9"/>
      <c r="OK944" s="9"/>
      <c r="OL944" s="9"/>
      <c r="OM944" s="9"/>
      <c r="ON944" s="9"/>
      <c r="OO944" s="9"/>
      <c r="OP944" s="9"/>
      <c r="OQ944" s="9"/>
      <c r="OR944" s="9"/>
      <c r="OS944" s="9"/>
      <c r="OT944" s="9"/>
      <c r="OU944" s="9"/>
      <c r="OV944" s="9"/>
      <c r="OW944" s="9"/>
      <c r="OX944" s="9"/>
      <c r="OY944" s="9"/>
      <c r="OZ944" s="9"/>
      <c r="PA944" s="9"/>
      <c r="PB944" s="9"/>
      <c r="PC944" s="9"/>
      <c r="PD944" s="9"/>
      <c r="PE944" s="9"/>
      <c r="PF944" s="9"/>
      <c r="PG944" s="9"/>
      <c r="PH944" s="9"/>
      <c r="PI944" s="9"/>
      <c r="PJ944" s="9"/>
      <c r="PK944" s="9"/>
      <c r="PL944" s="9"/>
      <c r="PM944" s="9"/>
      <c r="PN944" s="9"/>
      <c r="PO944" s="9"/>
      <c r="PP944" s="9"/>
      <c r="PQ944" s="9"/>
      <c r="PR944" s="9"/>
      <c r="PS944" s="9"/>
      <c r="PT944" s="9"/>
      <c r="PU944" s="9"/>
      <c r="PV944" s="9"/>
      <c r="PW944" s="9"/>
      <c r="PX944" s="9"/>
      <c r="PY944" s="9"/>
      <c r="PZ944" s="9"/>
      <c r="QA944" s="9"/>
      <c r="QB944" s="9"/>
      <c r="QC944" s="9"/>
      <c r="QD944" s="9"/>
      <c r="QE944" s="9"/>
      <c r="QF944" s="9"/>
      <c r="QG944" s="9"/>
      <c r="QH944" s="9"/>
      <c r="QI944" s="9"/>
      <c r="QJ944" s="9"/>
      <c r="QK944" s="9"/>
      <c r="QL944" s="9"/>
      <c r="QM944" s="9"/>
      <c r="QN944" s="9"/>
      <c r="QO944" s="9"/>
      <c r="QP944" s="9"/>
      <c r="QQ944" s="9"/>
      <c r="QR944" s="9"/>
      <c r="QS944" s="9"/>
      <c r="QT944" s="9"/>
      <c r="QU944" s="9"/>
      <c r="QV944" s="9"/>
      <c r="QW944" s="9"/>
      <c r="QX944" s="9"/>
      <c r="QY944" s="9"/>
      <c r="QZ944" s="9"/>
      <c r="RA944" s="9"/>
      <c r="RB944" s="9"/>
      <c r="RC944" s="9"/>
      <c r="RD944" s="9"/>
      <c r="RE944" s="9"/>
      <c r="RF944" s="9"/>
      <c r="RG944" s="9"/>
      <c r="RH944" s="9"/>
      <c r="RI944" s="9"/>
      <c r="RJ944" s="9"/>
      <c r="RK944" s="9"/>
      <c r="RL944" s="9"/>
      <c r="RM944" s="9"/>
      <c r="RN944" s="9"/>
      <c r="RO944" s="9"/>
      <c r="RP944" s="9"/>
      <c r="RQ944" s="9"/>
      <c r="RR944" s="9"/>
      <c r="RS944" s="9"/>
      <c r="RT944" s="9"/>
      <c r="RU944" s="9"/>
      <c r="RV944" s="9"/>
      <c r="RW944" s="9"/>
      <c r="RX944" s="9"/>
      <c r="RY944" s="9"/>
      <c r="RZ944" s="9"/>
      <c r="SA944" s="9"/>
      <c r="SB944" s="9"/>
      <c r="SC944" s="9"/>
      <c r="SD944" s="9"/>
      <c r="SE944" s="9"/>
      <c r="SF944" s="9"/>
      <c r="SG944" s="9"/>
      <c r="SH944" s="9"/>
      <c r="SI944" s="9"/>
      <c r="SJ944" s="9"/>
      <c r="SK944" s="9"/>
      <c r="SL944" s="9"/>
      <c r="SM944" s="9"/>
      <c r="SN944" s="9"/>
      <c r="SO944" s="9"/>
      <c r="SP944" s="9"/>
      <c r="SQ944" s="9"/>
      <c r="SR944" s="9"/>
      <c r="SS944" s="9"/>
      <c r="ST944" s="9"/>
      <c r="SU944" s="9"/>
      <c r="SV944" s="9"/>
      <c r="SW944" s="9"/>
      <c r="SX944" s="9"/>
      <c r="SY944" s="9"/>
      <c r="SZ944" s="9"/>
      <c r="TA944" s="9"/>
      <c r="TB944" s="9"/>
      <c r="TC944" s="9"/>
      <c r="TD944" s="9"/>
      <c r="TE944" s="9"/>
      <c r="TF944" s="9"/>
      <c r="TG944" s="9"/>
      <c r="TH944" s="9"/>
      <c r="TI944" s="9"/>
      <c r="TJ944" s="9"/>
      <c r="TK944" s="9"/>
      <c r="TL944" s="9"/>
      <c r="TM944" s="9"/>
      <c r="TN944" s="9"/>
      <c r="TO944" s="9"/>
      <c r="TP944" s="9"/>
      <c r="TQ944" s="9"/>
      <c r="TR944" s="9"/>
      <c r="TS944" s="9"/>
      <c r="TT944" s="9"/>
      <c r="TU944" s="9"/>
      <c r="TV944" s="9"/>
      <c r="TW944" s="9"/>
      <c r="TX944" s="9"/>
      <c r="TY944" s="9"/>
      <c r="TZ944" s="9"/>
      <c r="UA944" s="9"/>
      <c r="UB944" s="9"/>
      <c r="UC944" s="9"/>
      <c r="UD944" s="9"/>
      <c r="UE944" s="9"/>
      <c r="UF944" s="9"/>
      <c r="UG944" s="9"/>
      <c r="UH944" s="9"/>
      <c r="UI944" s="9"/>
      <c r="UJ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9"/>
      <c r="FS945" s="9"/>
      <c r="FT945" s="9"/>
      <c r="FU945" s="9"/>
      <c r="FV945" s="9"/>
      <c r="FW945" s="9"/>
      <c r="FX945" s="9"/>
      <c r="FY945" s="9"/>
      <c r="FZ945" s="9"/>
      <c r="GA945" s="9"/>
      <c r="GB945" s="9"/>
      <c r="GC945" s="9"/>
      <c r="GD945" s="9"/>
      <c r="GE945" s="9"/>
      <c r="GF945" s="9"/>
      <c r="GG945" s="9"/>
      <c r="GH945" s="9"/>
      <c r="GI945" s="9"/>
      <c r="GJ945" s="9"/>
      <c r="GK945" s="9"/>
      <c r="GL945" s="9"/>
      <c r="GM945" s="9"/>
      <c r="GN945" s="9"/>
      <c r="GO945" s="9"/>
      <c r="GP945" s="9"/>
      <c r="GQ945" s="9"/>
      <c r="GR945" s="9"/>
      <c r="GS945" s="9"/>
      <c r="GT945" s="9"/>
      <c r="GU945" s="9"/>
      <c r="GV945" s="9"/>
      <c r="GW945" s="9"/>
      <c r="GX945" s="9"/>
      <c r="GY945" s="9"/>
      <c r="GZ945" s="9"/>
      <c r="HA945" s="9"/>
      <c r="HB945" s="9"/>
      <c r="HC945" s="9"/>
      <c r="HD945" s="9"/>
      <c r="HE945" s="9"/>
      <c r="HF945" s="9"/>
      <c r="HG945" s="9"/>
      <c r="HH945" s="9"/>
      <c r="HI945" s="9"/>
      <c r="HJ945" s="9"/>
      <c r="HK945" s="9"/>
      <c r="HL945" s="9"/>
      <c r="HM945" s="9"/>
      <c r="HN945" s="9"/>
      <c r="HO945" s="9"/>
      <c r="HP945" s="9"/>
      <c r="HQ945" s="9"/>
      <c r="HR945" s="9"/>
      <c r="HS945" s="9"/>
      <c r="HT945" s="9"/>
      <c r="HU945" s="9"/>
      <c r="HV945" s="9"/>
      <c r="HW945" s="9"/>
      <c r="HX945" s="9"/>
      <c r="HY945" s="9"/>
      <c r="HZ945" s="9"/>
      <c r="IA945" s="9"/>
      <c r="IB945" s="9"/>
      <c r="IC945" s="9"/>
      <c r="ID945" s="9"/>
      <c r="IE945" s="9"/>
      <c r="IF945" s="9"/>
      <c r="IG945" s="9"/>
      <c r="IH945" s="9"/>
      <c r="II945" s="9"/>
      <c r="IJ945" s="9"/>
      <c r="IK945" s="9"/>
      <c r="IL945" s="9"/>
      <c r="IM945" s="9"/>
      <c r="IN945" s="9"/>
      <c r="IO945" s="9"/>
      <c r="IP945" s="9"/>
      <c r="IQ945" s="9"/>
      <c r="IR945" s="9"/>
      <c r="IS945" s="9"/>
      <c r="IT945" s="9"/>
      <c r="IU945" s="9"/>
      <c r="IV945" s="9"/>
      <c r="IW945" s="9"/>
      <c r="IX945" s="9"/>
      <c r="IY945" s="9"/>
      <c r="IZ945" s="9"/>
      <c r="JA945" s="9"/>
      <c r="JB945" s="9"/>
      <c r="JC945" s="9"/>
      <c r="JD945" s="9"/>
      <c r="JE945" s="9"/>
      <c r="JF945" s="9"/>
      <c r="JG945" s="9"/>
      <c r="JH945" s="9"/>
      <c r="JI945" s="9"/>
      <c r="JJ945" s="9"/>
      <c r="JK945" s="9"/>
      <c r="JL945" s="9"/>
      <c r="JM945" s="9"/>
      <c r="JN945" s="9"/>
      <c r="JO945" s="9"/>
      <c r="JP945" s="9"/>
      <c r="JQ945" s="9"/>
      <c r="JR945" s="9"/>
      <c r="JS945" s="9"/>
      <c r="JT945" s="9"/>
      <c r="JU945" s="9"/>
      <c r="JV945" s="9"/>
      <c r="JW945" s="9"/>
      <c r="JX945" s="9"/>
      <c r="JY945" s="9"/>
      <c r="JZ945" s="9"/>
      <c r="KA945" s="9"/>
      <c r="KB945" s="9"/>
      <c r="KC945" s="9"/>
      <c r="KD945" s="9"/>
      <c r="KE945" s="9"/>
      <c r="KF945" s="9"/>
      <c r="KG945" s="9"/>
      <c r="KH945" s="9"/>
      <c r="KI945" s="9"/>
      <c r="KJ945" s="9"/>
      <c r="KK945" s="9"/>
      <c r="KL945" s="9"/>
      <c r="KM945" s="9"/>
      <c r="KN945" s="9"/>
      <c r="KO945" s="9"/>
      <c r="KP945" s="9"/>
      <c r="KQ945" s="9"/>
      <c r="KR945" s="9"/>
      <c r="KS945" s="9"/>
      <c r="KT945" s="9"/>
      <c r="KU945" s="9"/>
      <c r="KV945" s="9"/>
      <c r="KW945" s="9"/>
      <c r="KX945" s="9"/>
      <c r="KY945" s="9"/>
      <c r="KZ945" s="9"/>
      <c r="LA945" s="9"/>
      <c r="LB945" s="9"/>
      <c r="LC945" s="9"/>
      <c r="LD945" s="9"/>
      <c r="LE945" s="9"/>
      <c r="LF945" s="9"/>
      <c r="LG945" s="9"/>
      <c r="LH945" s="9"/>
      <c r="LI945" s="9"/>
      <c r="LJ945" s="9"/>
      <c r="LK945" s="9"/>
      <c r="LL945" s="9"/>
      <c r="LM945" s="9"/>
      <c r="LN945" s="9"/>
      <c r="LO945" s="9"/>
      <c r="LP945" s="9"/>
      <c r="LQ945" s="9"/>
      <c r="LR945" s="9"/>
      <c r="LS945" s="9"/>
      <c r="LT945" s="9"/>
      <c r="LU945" s="9"/>
      <c r="LV945" s="9"/>
      <c r="LW945" s="9"/>
      <c r="LX945" s="9"/>
      <c r="LY945" s="9"/>
      <c r="LZ945" s="9"/>
      <c r="MA945" s="9"/>
      <c r="MB945" s="9"/>
      <c r="MC945" s="9"/>
      <c r="MD945" s="9"/>
      <c r="ME945" s="9"/>
      <c r="MF945" s="9"/>
      <c r="MG945" s="9"/>
      <c r="MH945" s="9"/>
      <c r="MI945" s="9"/>
      <c r="MJ945" s="9"/>
      <c r="MK945" s="9"/>
      <c r="ML945" s="9"/>
      <c r="MM945" s="9"/>
      <c r="MN945" s="9"/>
      <c r="MO945" s="9"/>
      <c r="MP945" s="9"/>
      <c r="MQ945" s="9"/>
      <c r="MR945" s="9"/>
      <c r="MS945" s="9"/>
      <c r="MT945" s="9"/>
      <c r="MU945" s="9"/>
      <c r="MV945" s="9"/>
      <c r="MW945" s="9"/>
      <c r="MX945" s="9"/>
      <c r="MY945" s="9"/>
      <c r="MZ945" s="9"/>
      <c r="NA945" s="9"/>
      <c r="NB945" s="9"/>
      <c r="NC945" s="9"/>
      <c r="ND945" s="9"/>
      <c r="NE945" s="9"/>
      <c r="NF945" s="9"/>
      <c r="NG945" s="9"/>
      <c r="NH945" s="9"/>
      <c r="NI945" s="9"/>
      <c r="NJ945" s="9"/>
      <c r="NK945" s="9"/>
      <c r="NL945" s="9"/>
      <c r="NM945" s="9"/>
      <c r="NN945" s="9"/>
      <c r="NO945" s="9"/>
      <c r="NP945" s="9"/>
      <c r="NQ945" s="9"/>
      <c r="NR945" s="9"/>
      <c r="NS945" s="9"/>
      <c r="NT945" s="9"/>
      <c r="NU945" s="9"/>
      <c r="NV945" s="9"/>
      <c r="NW945" s="9"/>
      <c r="NX945" s="9"/>
      <c r="NY945" s="9"/>
      <c r="NZ945" s="9"/>
      <c r="OA945" s="9"/>
      <c r="OB945" s="9"/>
      <c r="OC945" s="9"/>
      <c r="OD945" s="9"/>
      <c r="OE945" s="9"/>
      <c r="OF945" s="9"/>
      <c r="OG945" s="9"/>
      <c r="OH945" s="9"/>
      <c r="OI945" s="9"/>
      <c r="OJ945" s="9"/>
      <c r="OK945" s="9"/>
      <c r="OL945" s="9"/>
      <c r="OM945" s="9"/>
      <c r="ON945" s="9"/>
      <c r="OO945" s="9"/>
      <c r="OP945" s="9"/>
      <c r="OQ945" s="9"/>
      <c r="OR945" s="9"/>
      <c r="OS945" s="9"/>
      <c r="OT945" s="9"/>
      <c r="OU945" s="9"/>
      <c r="OV945" s="9"/>
      <c r="OW945" s="9"/>
      <c r="OX945" s="9"/>
      <c r="OY945" s="9"/>
      <c r="OZ945" s="9"/>
      <c r="PA945" s="9"/>
      <c r="PB945" s="9"/>
      <c r="PC945" s="9"/>
      <c r="PD945" s="9"/>
      <c r="PE945" s="9"/>
      <c r="PF945" s="9"/>
      <c r="PG945" s="9"/>
      <c r="PH945" s="9"/>
      <c r="PI945" s="9"/>
      <c r="PJ945" s="9"/>
      <c r="PK945" s="9"/>
      <c r="PL945" s="9"/>
      <c r="PM945" s="9"/>
      <c r="PN945" s="9"/>
      <c r="PO945" s="9"/>
      <c r="PP945" s="9"/>
      <c r="PQ945" s="9"/>
      <c r="PR945" s="9"/>
      <c r="PS945" s="9"/>
      <c r="PT945" s="9"/>
      <c r="PU945" s="9"/>
      <c r="PV945" s="9"/>
      <c r="PW945" s="9"/>
      <c r="PX945" s="9"/>
      <c r="PY945" s="9"/>
      <c r="PZ945" s="9"/>
      <c r="QA945" s="9"/>
      <c r="QB945" s="9"/>
      <c r="QC945" s="9"/>
      <c r="QD945" s="9"/>
      <c r="QE945" s="9"/>
      <c r="QF945" s="9"/>
      <c r="QG945" s="9"/>
      <c r="QH945" s="9"/>
      <c r="QI945" s="9"/>
      <c r="QJ945" s="9"/>
      <c r="QK945" s="9"/>
      <c r="QL945" s="9"/>
      <c r="QM945" s="9"/>
      <c r="QN945" s="9"/>
      <c r="QO945" s="9"/>
      <c r="QP945" s="9"/>
      <c r="QQ945" s="9"/>
      <c r="QR945" s="9"/>
      <c r="QS945" s="9"/>
      <c r="QT945" s="9"/>
      <c r="QU945" s="9"/>
      <c r="QV945" s="9"/>
      <c r="QW945" s="9"/>
      <c r="QX945" s="9"/>
      <c r="QY945" s="9"/>
      <c r="QZ945" s="9"/>
      <c r="RA945" s="9"/>
      <c r="RB945" s="9"/>
      <c r="RC945" s="9"/>
      <c r="RD945" s="9"/>
      <c r="RE945" s="9"/>
      <c r="RF945" s="9"/>
      <c r="RG945" s="9"/>
      <c r="RH945" s="9"/>
      <c r="RI945" s="9"/>
      <c r="RJ945" s="9"/>
      <c r="RK945" s="9"/>
      <c r="RL945" s="9"/>
      <c r="RM945" s="9"/>
      <c r="RN945" s="9"/>
      <c r="RO945" s="9"/>
      <c r="RP945" s="9"/>
      <c r="RQ945" s="9"/>
      <c r="RR945" s="9"/>
      <c r="RS945" s="9"/>
      <c r="RT945" s="9"/>
      <c r="RU945" s="9"/>
      <c r="RV945" s="9"/>
      <c r="RW945" s="9"/>
      <c r="RX945" s="9"/>
      <c r="RY945" s="9"/>
      <c r="RZ945" s="9"/>
      <c r="SA945" s="9"/>
      <c r="SB945" s="9"/>
      <c r="SC945" s="9"/>
      <c r="SD945" s="9"/>
      <c r="SE945" s="9"/>
      <c r="SF945" s="9"/>
      <c r="SG945" s="9"/>
      <c r="SH945" s="9"/>
      <c r="SI945" s="9"/>
      <c r="SJ945" s="9"/>
      <c r="SK945" s="9"/>
      <c r="SL945" s="9"/>
      <c r="SM945" s="9"/>
      <c r="SN945" s="9"/>
      <c r="SO945" s="9"/>
      <c r="SP945" s="9"/>
      <c r="SQ945" s="9"/>
      <c r="SR945" s="9"/>
      <c r="SS945" s="9"/>
      <c r="ST945" s="9"/>
      <c r="SU945" s="9"/>
      <c r="SV945" s="9"/>
      <c r="SW945" s="9"/>
      <c r="SX945" s="9"/>
      <c r="SY945" s="9"/>
      <c r="SZ945" s="9"/>
      <c r="TA945" s="9"/>
      <c r="TB945" s="9"/>
      <c r="TC945" s="9"/>
      <c r="TD945" s="9"/>
      <c r="TE945" s="9"/>
      <c r="TF945" s="9"/>
      <c r="TG945" s="9"/>
      <c r="TH945" s="9"/>
      <c r="TI945" s="9"/>
      <c r="TJ945" s="9"/>
      <c r="TK945" s="9"/>
      <c r="TL945" s="9"/>
      <c r="TM945" s="9"/>
      <c r="TN945" s="9"/>
      <c r="TO945" s="9"/>
      <c r="TP945" s="9"/>
      <c r="TQ945" s="9"/>
      <c r="TR945" s="9"/>
      <c r="TS945" s="9"/>
      <c r="TT945" s="9"/>
      <c r="TU945" s="9"/>
      <c r="TV945" s="9"/>
      <c r="TW945" s="9"/>
      <c r="TX945" s="9"/>
      <c r="TY945" s="9"/>
      <c r="TZ945" s="9"/>
      <c r="UA945" s="9"/>
      <c r="UB945" s="9"/>
      <c r="UC945" s="9"/>
      <c r="UD945" s="9"/>
      <c r="UE945" s="9"/>
      <c r="UF945" s="9"/>
      <c r="UG945" s="9"/>
      <c r="UH945" s="9"/>
      <c r="UI945" s="9"/>
      <c r="UJ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  <c r="GA946" s="9"/>
      <c r="GB946" s="9"/>
      <c r="GC946" s="9"/>
      <c r="GD946" s="9"/>
      <c r="GE946" s="9"/>
      <c r="GF946" s="9"/>
      <c r="GG946" s="9"/>
      <c r="GH946" s="9"/>
      <c r="GI946" s="9"/>
      <c r="GJ946" s="9"/>
      <c r="GK946" s="9"/>
      <c r="GL946" s="9"/>
      <c r="GM946" s="9"/>
      <c r="GN946" s="9"/>
      <c r="GO946" s="9"/>
      <c r="GP946" s="9"/>
      <c r="GQ946" s="9"/>
      <c r="GR946" s="9"/>
      <c r="GS946" s="9"/>
      <c r="GT946" s="9"/>
      <c r="GU946" s="9"/>
      <c r="GV946" s="9"/>
      <c r="GW946" s="9"/>
      <c r="GX946" s="9"/>
      <c r="GY946" s="9"/>
      <c r="GZ946" s="9"/>
      <c r="HA946" s="9"/>
      <c r="HB946" s="9"/>
      <c r="HC946" s="9"/>
      <c r="HD946" s="9"/>
      <c r="HE946" s="9"/>
      <c r="HF946" s="9"/>
      <c r="HG946" s="9"/>
      <c r="HH946" s="9"/>
      <c r="HI946" s="9"/>
      <c r="HJ946" s="9"/>
      <c r="HK946" s="9"/>
      <c r="HL946" s="9"/>
      <c r="HM946" s="9"/>
      <c r="HN946" s="9"/>
      <c r="HO946" s="9"/>
      <c r="HP946" s="9"/>
      <c r="HQ946" s="9"/>
      <c r="HR946" s="9"/>
      <c r="HS946" s="9"/>
      <c r="HT946" s="9"/>
      <c r="HU946" s="9"/>
      <c r="HV946" s="9"/>
      <c r="HW946" s="9"/>
      <c r="HX946" s="9"/>
      <c r="HY946" s="9"/>
      <c r="HZ946" s="9"/>
      <c r="IA946" s="9"/>
      <c r="IB946" s="9"/>
      <c r="IC946" s="9"/>
      <c r="ID946" s="9"/>
      <c r="IE946" s="9"/>
      <c r="IF946" s="9"/>
      <c r="IG946" s="9"/>
      <c r="IH946" s="9"/>
      <c r="II946" s="9"/>
      <c r="IJ946" s="9"/>
      <c r="IK946" s="9"/>
      <c r="IL946" s="9"/>
      <c r="IM946" s="9"/>
      <c r="IN946" s="9"/>
      <c r="IO946" s="9"/>
      <c r="IP946" s="9"/>
      <c r="IQ946" s="9"/>
      <c r="IR946" s="9"/>
      <c r="IS946" s="9"/>
      <c r="IT946" s="9"/>
      <c r="IU946" s="9"/>
      <c r="IV946" s="9"/>
      <c r="IW946" s="9"/>
      <c r="IX946" s="9"/>
      <c r="IY946" s="9"/>
      <c r="IZ946" s="9"/>
      <c r="JA946" s="9"/>
      <c r="JB946" s="9"/>
      <c r="JC946" s="9"/>
      <c r="JD946" s="9"/>
      <c r="JE946" s="9"/>
      <c r="JF946" s="9"/>
      <c r="JG946" s="9"/>
      <c r="JH946" s="9"/>
      <c r="JI946" s="9"/>
      <c r="JJ946" s="9"/>
      <c r="JK946" s="9"/>
      <c r="JL946" s="9"/>
      <c r="JM946" s="9"/>
      <c r="JN946" s="9"/>
      <c r="JO946" s="9"/>
      <c r="JP946" s="9"/>
      <c r="JQ946" s="9"/>
      <c r="JR946" s="9"/>
      <c r="JS946" s="9"/>
      <c r="JT946" s="9"/>
      <c r="JU946" s="9"/>
      <c r="JV946" s="9"/>
      <c r="JW946" s="9"/>
      <c r="JX946" s="9"/>
      <c r="JY946" s="9"/>
      <c r="JZ946" s="9"/>
      <c r="KA946" s="9"/>
      <c r="KB946" s="9"/>
      <c r="KC946" s="9"/>
      <c r="KD946" s="9"/>
      <c r="KE946" s="9"/>
      <c r="KF946" s="9"/>
      <c r="KG946" s="9"/>
      <c r="KH946" s="9"/>
      <c r="KI946" s="9"/>
      <c r="KJ946" s="9"/>
      <c r="KK946" s="9"/>
      <c r="KL946" s="9"/>
      <c r="KM946" s="9"/>
      <c r="KN946" s="9"/>
      <c r="KO946" s="9"/>
      <c r="KP946" s="9"/>
      <c r="KQ946" s="9"/>
      <c r="KR946" s="9"/>
      <c r="KS946" s="9"/>
      <c r="KT946" s="9"/>
      <c r="KU946" s="9"/>
      <c r="KV946" s="9"/>
      <c r="KW946" s="9"/>
      <c r="KX946" s="9"/>
      <c r="KY946" s="9"/>
      <c r="KZ946" s="9"/>
      <c r="LA946" s="9"/>
      <c r="LB946" s="9"/>
      <c r="LC946" s="9"/>
      <c r="LD946" s="9"/>
      <c r="LE946" s="9"/>
      <c r="LF946" s="9"/>
      <c r="LG946" s="9"/>
      <c r="LH946" s="9"/>
      <c r="LI946" s="9"/>
      <c r="LJ946" s="9"/>
      <c r="LK946" s="9"/>
      <c r="LL946" s="9"/>
      <c r="LM946" s="9"/>
      <c r="LN946" s="9"/>
      <c r="LO946" s="9"/>
      <c r="LP946" s="9"/>
      <c r="LQ946" s="9"/>
      <c r="LR946" s="9"/>
      <c r="LS946" s="9"/>
      <c r="LT946" s="9"/>
      <c r="LU946" s="9"/>
      <c r="LV946" s="9"/>
      <c r="LW946" s="9"/>
      <c r="LX946" s="9"/>
      <c r="LY946" s="9"/>
      <c r="LZ946" s="9"/>
      <c r="MA946" s="9"/>
      <c r="MB946" s="9"/>
      <c r="MC946" s="9"/>
      <c r="MD946" s="9"/>
      <c r="ME946" s="9"/>
      <c r="MF946" s="9"/>
      <c r="MG946" s="9"/>
      <c r="MH946" s="9"/>
      <c r="MI946" s="9"/>
      <c r="MJ946" s="9"/>
      <c r="MK946" s="9"/>
      <c r="ML946" s="9"/>
      <c r="MM946" s="9"/>
      <c r="MN946" s="9"/>
      <c r="MO946" s="9"/>
      <c r="MP946" s="9"/>
      <c r="MQ946" s="9"/>
      <c r="MR946" s="9"/>
      <c r="MS946" s="9"/>
      <c r="MT946" s="9"/>
      <c r="MU946" s="9"/>
      <c r="MV946" s="9"/>
      <c r="MW946" s="9"/>
      <c r="MX946" s="9"/>
      <c r="MY946" s="9"/>
      <c r="MZ946" s="9"/>
      <c r="NA946" s="9"/>
      <c r="NB946" s="9"/>
      <c r="NC946" s="9"/>
      <c r="ND946" s="9"/>
      <c r="NE946" s="9"/>
      <c r="NF946" s="9"/>
      <c r="NG946" s="9"/>
      <c r="NH946" s="9"/>
      <c r="NI946" s="9"/>
      <c r="NJ946" s="9"/>
      <c r="NK946" s="9"/>
      <c r="NL946" s="9"/>
      <c r="NM946" s="9"/>
      <c r="NN946" s="9"/>
      <c r="NO946" s="9"/>
      <c r="NP946" s="9"/>
      <c r="NQ946" s="9"/>
      <c r="NR946" s="9"/>
      <c r="NS946" s="9"/>
      <c r="NT946" s="9"/>
      <c r="NU946" s="9"/>
      <c r="NV946" s="9"/>
      <c r="NW946" s="9"/>
      <c r="NX946" s="9"/>
      <c r="NY946" s="9"/>
      <c r="NZ946" s="9"/>
      <c r="OA946" s="9"/>
      <c r="OB946" s="9"/>
      <c r="OC946" s="9"/>
      <c r="OD946" s="9"/>
      <c r="OE946" s="9"/>
      <c r="OF946" s="9"/>
      <c r="OG946" s="9"/>
      <c r="OH946" s="9"/>
      <c r="OI946" s="9"/>
      <c r="OJ946" s="9"/>
      <c r="OK946" s="9"/>
      <c r="OL946" s="9"/>
      <c r="OM946" s="9"/>
      <c r="ON946" s="9"/>
      <c r="OO946" s="9"/>
      <c r="OP946" s="9"/>
      <c r="OQ946" s="9"/>
      <c r="OR946" s="9"/>
      <c r="OS946" s="9"/>
      <c r="OT946" s="9"/>
      <c r="OU946" s="9"/>
      <c r="OV946" s="9"/>
      <c r="OW946" s="9"/>
      <c r="OX946" s="9"/>
      <c r="OY946" s="9"/>
      <c r="OZ946" s="9"/>
      <c r="PA946" s="9"/>
      <c r="PB946" s="9"/>
      <c r="PC946" s="9"/>
      <c r="PD946" s="9"/>
      <c r="PE946" s="9"/>
      <c r="PF946" s="9"/>
      <c r="PG946" s="9"/>
      <c r="PH946" s="9"/>
      <c r="PI946" s="9"/>
      <c r="PJ946" s="9"/>
      <c r="PK946" s="9"/>
      <c r="PL946" s="9"/>
      <c r="PM946" s="9"/>
      <c r="PN946" s="9"/>
      <c r="PO946" s="9"/>
      <c r="PP946" s="9"/>
      <c r="PQ946" s="9"/>
      <c r="PR946" s="9"/>
      <c r="PS946" s="9"/>
      <c r="PT946" s="9"/>
      <c r="PU946" s="9"/>
      <c r="PV946" s="9"/>
      <c r="PW946" s="9"/>
      <c r="PX946" s="9"/>
      <c r="PY946" s="9"/>
      <c r="PZ946" s="9"/>
      <c r="QA946" s="9"/>
      <c r="QB946" s="9"/>
      <c r="QC946" s="9"/>
      <c r="QD946" s="9"/>
      <c r="QE946" s="9"/>
      <c r="QF946" s="9"/>
      <c r="QG946" s="9"/>
      <c r="QH946" s="9"/>
      <c r="QI946" s="9"/>
      <c r="QJ946" s="9"/>
      <c r="QK946" s="9"/>
      <c r="QL946" s="9"/>
      <c r="QM946" s="9"/>
      <c r="QN946" s="9"/>
      <c r="QO946" s="9"/>
      <c r="QP946" s="9"/>
      <c r="QQ946" s="9"/>
      <c r="QR946" s="9"/>
      <c r="QS946" s="9"/>
      <c r="QT946" s="9"/>
      <c r="QU946" s="9"/>
      <c r="QV946" s="9"/>
      <c r="QW946" s="9"/>
      <c r="QX946" s="9"/>
      <c r="QY946" s="9"/>
      <c r="QZ946" s="9"/>
      <c r="RA946" s="9"/>
      <c r="RB946" s="9"/>
      <c r="RC946" s="9"/>
      <c r="RD946" s="9"/>
      <c r="RE946" s="9"/>
      <c r="RF946" s="9"/>
      <c r="RG946" s="9"/>
      <c r="RH946" s="9"/>
      <c r="RI946" s="9"/>
      <c r="RJ946" s="9"/>
      <c r="RK946" s="9"/>
      <c r="RL946" s="9"/>
      <c r="RM946" s="9"/>
      <c r="RN946" s="9"/>
      <c r="RO946" s="9"/>
      <c r="RP946" s="9"/>
      <c r="RQ946" s="9"/>
      <c r="RR946" s="9"/>
      <c r="RS946" s="9"/>
      <c r="RT946" s="9"/>
      <c r="RU946" s="9"/>
      <c r="RV946" s="9"/>
      <c r="RW946" s="9"/>
      <c r="RX946" s="9"/>
      <c r="RY946" s="9"/>
      <c r="RZ946" s="9"/>
      <c r="SA946" s="9"/>
      <c r="SB946" s="9"/>
      <c r="SC946" s="9"/>
      <c r="SD946" s="9"/>
      <c r="SE946" s="9"/>
      <c r="SF946" s="9"/>
      <c r="SG946" s="9"/>
      <c r="SH946" s="9"/>
      <c r="SI946" s="9"/>
      <c r="SJ946" s="9"/>
      <c r="SK946" s="9"/>
      <c r="SL946" s="9"/>
      <c r="SM946" s="9"/>
      <c r="SN946" s="9"/>
      <c r="SO946" s="9"/>
      <c r="SP946" s="9"/>
      <c r="SQ946" s="9"/>
      <c r="SR946" s="9"/>
      <c r="SS946" s="9"/>
      <c r="ST946" s="9"/>
      <c r="SU946" s="9"/>
      <c r="SV946" s="9"/>
      <c r="SW946" s="9"/>
      <c r="SX946" s="9"/>
      <c r="SY946" s="9"/>
      <c r="SZ946" s="9"/>
      <c r="TA946" s="9"/>
      <c r="TB946" s="9"/>
      <c r="TC946" s="9"/>
      <c r="TD946" s="9"/>
      <c r="TE946" s="9"/>
      <c r="TF946" s="9"/>
      <c r="TG946" s="9"/>
      <c r="TH946" s="9"/>
      <c r="TI946" s="9"/>
      <c r="TJ946" s="9"/>
      <c r="TK946" s="9"/>
      <c r="TL946" s="9"/>
      <c r="TM946" s="9"/>
      <c r="TN946" s="9"/>
      <c r="TO946" s="9"/>
      <c r="TP946" s="9"/>
      <c r="TQ946" s="9"/>
      <c r="TR946" s="9"/>
      <c r="TS946" s="9"/>
      <c r="TT946" s="9"/>
      <c r="TU946" s="9"/>
      <c r="TV946" s="9"/>
      <c r="TW946" s="9"/>
      <c r="TX946" s="9"/>
      <c r="TY946" s="9"/>
      <c r="TZ946" s="9"/>
      <c r="UA946" s="9"/>
      <c r="UB946" s="9"/>
      <c r="UC946" s="9"/>
      <c r="UD946" s="9"/>
      <c r="UE946" s="9"/>
      <c r="UF946" s="9"/>
      <c r="UG946" s="9"/>
      <c r="UH946" s="9"/>
      <c r="UI946" s="9"/>
      <c r="UJ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  <c r="FL947" s="9"/>
      <c r="FM947" s="9"/>
      <c r="FN947" s="9"/>
      <c r="FO947" s="9"/>
      <c r="FP947" s="9"/>
      <c r="FQ947" s="9"/>
      <c r="FR947" s="9"/>
      <c r="FS947" s="9"/>
      <c r="FT947" s="9"/>
      <c r="FU947" s="9"/>
      <c r="FV947" s="9"/>
      <c r="FW947" s="9"/>
      <c r="FX947" s="9"/>
      <c r="FY947" s="9"/>
      <c r="FZ947" s="9"/>
      <c r="GA947" s="9"/>
      <c r="GB947" s="9"/>
      <c r="GC947" s="9"/>
      <c r="GD947" s="9"/>
      <c r="GE947" s="9"/>
      <c r="GF947" s="9"/>
      <c r="GG947" s="9"/>
      <c r="GH947" s="9"/>
      <c r="GI947" s="9"/>
      <c r="GJ947" s="9"/>
      <c r="GK947" s="9"/>
      <c r="GL947" s="9"/>
      <c r="GM947" s="9"/>
      <c r="GN947" s="9"/>
      <c r="GO947" s="9"/>
      <c r="GP947" s="9"/>
      <c r="GQ947" s="9"/>
      <c r="GR947" s="9"/>
      <c r="GS947" s="9"/>
      <c r="GT947" s="9"/>
      <c r="GU947" s="9"/>
      <c r="GV947" s="9"/>
      <c r="GW947" s="9"/>
      <c r="GX947" s="9"/>
      <c r="GY947" s="9"/>
      <c r="GZ947" s="9"/>
      <c r="HA947" s="9"/>
      <c r="HB947" s="9"/>
      <c r="HC947" s="9"/>
      <c r="HD947" s="9"/>
      <c r="HE947" s="9"/>
      <c r="HF947" s="9"/>
      <c r="HG947" s="9"/>
      <c r="HH947" s="9"/>
      <c r="HI947" s="9"/>
      <c r="HJ947" s="9"/>
      <c r="HK947" s="9"/>
      <c r="HL947" s="9"/>
      <c r="HM947" s="9"/>
      <c r="HN947" s="9"/>
      <c r="HO947" s="9"/>
      <c r="HP947" s="9"/>
      <c r="HQ947" s="9"/>
      <c r="HR947" s="9"/>
      <c r="HS947" s="9"/>
      <c r="HT947" s="9"/>
      <c r="HU947" s="9"/>
      <c r="HV947" s="9"/>
      <c r="HW947" s="9"/>
      <c r="HX947" s="9"/>
      <c r="HY947" s="9"/>
      <c r="HZ947" s="9"/>
      <c r="IA947" s="9"/>
      <c r="IB947" s="9"/>
      <c r="IC947" s="9"/>
      <c r="ID947" s="9"/>
      <c r="IE947" s="9"/>
      <c r="IF947" s="9"/>
      <c r="IG947" s="9"/>
      <c r="IH947" s="9"/>
      <c r="II947" s="9"/>
      <c r="IJ947" s="9"/>
      <c r="IK947" s="9"/>
      <c r="IL947" s="9"/>
      <c r="IM947" s="9"/>
      <c r="IN947" s="9"/>
      <c r="IO947" s="9"/>
      <c r="IP947" s="9"/>
      <c r="IQ947" s="9"/>
      <c r="IR947" s="9"/>
      <c r="IS947" s="9"/>
      <c r="IT947" s="9"/>
      <c r="IU947" s="9"/>
      <c r="IV947" s="9"/>
      <c r="IW947" s="9"/>
      <c r="IX947" s="9"/>
      <c r="IY947" s="9"/>
      <c r="IZ947" s="9"/>
      <c r="JA947" s="9"/>
      <c r="JB947" s="9"/>
      <c r="JC947" s="9"/>
      <c r="JD947" s="9"/>
      <c r="JE947" s="9"/>
      <c r="JF947" s="9"/>
      <c r="JG947" s="9"/>
      <c r="JH947" s="9"/>
      <c r="JI947" s="9"/>
      <c r="JJ947" s="9"/>
      <c r="JK947" s="9"/>
      <c r="JL947" s="9"/>
      <c r="JM947" s="9"/>
      <c r="JN947" s="9"/>
      <c r="JO947" s="9"/>
      <c r="JP947" s="9"/>
      <c r="JQ947" s="9"/>
      <c r="JR947" s="9"/>
      <c r="JS947" s="9"/>
      <c r="JT947" s="9"/>
      <c r="JU947" s="9"/>
      <c r="JV947" s="9"/>
      <c r="JW947" s="9"/>
      <c r="JX947" s="9"/>
      <c r="JY947" s="9"/>
      <c r="JZ947" s="9"/>
      <c r="KA947" s="9"/>
      <c r="KB947" s="9"/>
      <c r="KC947" s="9"/>
      <c r="KD947" s="9"/>
      <c r="KE947" s="9"/>
      <c r="KF947" s="9"/>
      <c r="KG947" s="9"/>
      <c r="KH947" s="9"/>
      <c r="KI947" s="9"/>
      <c r="KJ947" s="9"/>
      <c r="KK947" s="9"/>
      <c r="KL947" s="9"/>
      <c r="KM947" s="9"/>
      <c r="KN947" s="9"/>
      <c r="KO947" s="9"/>
      <c r="KP947" s="9"/>
      <c r="KQ947" s="9"/>
      <c r="KR947" s="9"/>
      <c r="KS947" s="9"/>
      <c r="KT947" s="9"/>
      <c r="KU947" s="9"/>
      <c r="KV947" s="9"/>
      <c r="KW947" s="9"/>
      <c r="KX947" s="9"/>
      <c r="KY947" s="9"/>
      <c r="KZ947" s="9"/>
      <c r="LA947" s="9"/>
      <c r="LB947" s="9"/>
      <c r="LC947" s="9"/>
      <c r="LD947" s="9"/>
      <c r="LE947" s="9"/>
      <c r="LF947" s="9"/>
      <c r="LG947" s="9"/>
      <c r="LH947" s="9"/>
      <c r="LI947" s="9"/>
      <c r="LJ947" s="9"/>
      <c r="LK947" s="9"/>
      <c r="LL947" s="9"/>
      <c r="LM947" s="9"/>
      <c r="LN947" s="9"/>
      <c r="LO947" s="9"/>
      <c r="LP947" s="9"/>
      <c r="LQ947" s="9"/>
      <c r="LR947" s="9"/>
      <c r="LS947" s="9"/>
      <c r="LT947" s="9"/>
      <c r="LU947" s="9"/>
      <c r="LV947" s="9"/>
      <c r="LW947" s="9"/>
      <c r="LX947" s="9"/>
      <c r="LY947" s="9"/>
      <c r="LZ947" s="9"/>
      <c r="MA947" s="9"/>
      <c r="MB947" s="9"/>
      <c r="MC947" s="9"/>
      <c r="MD947" s="9"/>
      <c r="ME947" s="9"/>
      <c r="MF947" s="9"/>
      <c r="MG947" s="9"/>
      <c r="MH947" s="9"/>
      <c r="MI947" s="9"/>
      <c r="MJ947" s="9"/>
      <c r="MK947" s="9"/>
      <c r="ML947" s="9"/>
      <c r="MM947" s="9"/>
      <c r="MN947" s="9"/>
      <c r="MO947" s="9"/>
      <c r="MP947" s="9"/>
      <c r="MQ947" s="9"/>
      <c r="MR947" s="9"/>
      <c r="MS947" s="9"/>
      <c r="MT947" s="9"/>
      <c r="MU947" s="9"/>
      <c r="MV947" s="9"/>
      <c r="MW947" s="9"/>
      <c r="MX947" s="9"/>
      <c r="MY947" s="9"/>
      <c r="MZ947" s="9"/>
      <c r="NA947" s="9"/>
      <c r="NB947" s="9"/>
      <c r="NC947" s="9"/>
      <c r="ND947" s="9"/>
      <c r="NE947" s="9"/>
      <c r="NF947" s="9"/>
      <c r="NG947" s="9"/>
      <c r="NH947" s="9"/>
      <c r="NI947" s="9"/>
      <c r="NJ947" s="9"/>
      <c r="NK947" s="9"/>
      <c r="NL947" s="9"/>
      <c r="NM947" s="9"/>
      <c r="NN947" s="9"/>
      <c r="NO947" s="9"/>
      <c r="NP947" s="9"/>
      <c r="NQ947" s="9"/>
      <c r="NR947" s="9"/>
      <c r="NS947" s="9"/>
      <c r="NT947" s="9"/>
      <c r="NU947" s="9"/>
      <c r="NV947" s="9"/>
      <c r="NW947" s="9"/>
      <c r="NX947" s="9"/>
      <c r="NY947" s="9"/>
      <c r="NZ947" s="9"/>
      <c r="OA947" s="9"/>
      <c r="OB947" s="9"/>
      <c r="OC947" s="9"/>
      <c r="OD947" s="9"/>
      <c r="OE947" s="9"/>
      <c r="OF947" s="9"/>
      <c r="OG947" s="9"/>
      <c r="OH947" s="9"/>
      <c r="OI947" s="9"/>
      <c r="OJ947" s="9"/>
      <c r="OK947" s="9"/>
      <c r="OL947" s="9"/>
      <c r="OM947" s="9"/>
      <c r="ON947" s="9"/>
      <c r="OO947" s="9"/>
      <c r="OP947" s="9"/>
      <c r="OQ947" s="9"/>
      <c r="OR947" s="9"/>
      <c r="OS947" s="9"/>
      <c r="OT947" s="9"/>
      <c r="OU947" s="9"/>
      <c r="OV947" s="9"/>
      <c r="OW947" s="9"/>
      <c r="OX947" s="9"/>
      <c r="OY947" s="9"/>
      <c r="OZ947" s="9"/>
      <c r="PA947" s="9"/>
      <c r="PB947" s="9"/>
      <c r="PC947" s="9"/>
      <c r="PD947" s="9"/>
      <c r="PE947" s="9"/>
      <c r="PF947" s="9"/>
      <c r="PG947" s="9"/>
      <c r="PH947" s="9"/>
      <c r="PI947" s="9"/>
      <c r="PJ947" s="9"/>
      <c r="PK947" s="9"/>
      <c r="PL947" s="9"/>
      <c r="PM947" s="9"/>
      <c r="PN947" s="9"/>
      <c r="PO947" s="9"/>
      <c r="PP947" s="9"/>
      <c r="PQ947" s="9"/>
      <c r="PR947" s="9"/>
      <c r="PS947" s="9"/>
      <c r="PT947" s="9"/>
      <c r="PU947" s="9"/>
      <c r="PV947" s="9"/>
      <c r="PW947" s="9"/>
      <c r="PX947" s="9"/>
      <c r="PY947" s="9"/>
      <c r="PZ947" s="9"/>
      <c r="QA947" s="9"/>
      <c r="QB947" s="9"/>
      <c r="QC947" s="9"/>
      <c r="QD947" s="9"/>
      <c r="QE947" s="9"/>
      <c r="QF947" s="9"/>
      <c r="QG947" s="9"/>
      <c r="QH947" s="9"/>
      <c r="QI947" s="9"/>
      <c r="QJ947" s="9"/>
      <c r="QK947" s="9"/>
      <c r="QL947" s="9"/>
      <c r="QM947" s="9"/>
      <c r="QN947" s="9"/>
      <c r="QO947" s="9"/>
      <c r="QP947" s="9"/>
      <c r="QQ947" s="9"/>
      <c r="QR947" s="9"/>
      <c r="QS947" s="9"/>
      <c r="QT947" s="9"/>
      <c r="QU947" s="9"/>
      <c r="QV947" s="9"/>
      <c r="QW947" s="9"/>
      <c r="QX947" s="9"/>
      <c r="QY947" s="9"/>
      <c r="QZ947" s="9"/>
      <c r="RA947" s="9"/>
      <c r="RB947" s="9"/>
      <c r="RC947" s="9"/>
      <c r="RD947" s="9"/>
      <c r="RE947" s="9"/>
      <c r="RF947" s="9"/>
      <c r="RG947" s="9"/>
      <c r="RH947" s="9"/>
      <c r="RI947" s="9"/>
      <c r="RJ947" s="9"/>
      <c r="RK947" s="9"/>
      <c r="RL947" s="9"/>
      <c r="RM947" s="9"/>
      <c r="RN947" s="9"/>
      <c r="RO947" s="9"/>
      <c r="RP947" s="9"/>
      <c r="RQ947" s="9"/>
      <c r="RR947" s="9"/>
      <c r="RS947" s="9"/>
      <c r="RT947" s="9"/>
      <c r="RU947" s="9"/>
      <c r="RV947" s="9"/>
      <c r="RW947" s="9"/>
      <c r="RX947" s="9"/>
      <c r="RY947" s="9"/>
      <c r="RZ947" s="9"/>
      <c r="SA947" s="9"/>
      <c r="SB947" s="9"/>
      <c r="SC947" s="9"/>
      <c r="SD947" s="9"/>
      <c r="SE947" s="9"/>
      <c r="SF947" s="9"/>
      <c r="SG947" s="9"/>
      <c r="SH947" s="9"/>
      <c r="SI947" s="9"/>
      <c r="SJ947" s="9"/>
      <c r="SK947" s="9"/>
      <c r="SL947" s="9"/>
      <c r="SM947" s="9"/>
      <c r="SN947" s="9"/>
      <c r="SO947" s="9"/>
      <c r="SP947" s="9"/>
      <c r="SQ947" s="9"/>
      <c r="SR947" s="9"/>
      <c r="SS947" s="9"/>
      <c r="ST947" s="9"/>
      <c r="SU947" s="9"/>
      <c r="SV947" s="9"/>
      <c r="SW947" s="9"/>
      <c r="SX947" s="9"/>
      <c r="SY947" s="9"/>
      <c r="SZ947" s="9"/>
      <c r="TA947" s="9"/>
      <c r="TB947" s="9"/>
      <c r="TC947" s="9"/>
      <c r="TD947" s="9"/>
      <c r="TE947" s="9"/>
      <c r="TF947" s="9"/>
      <c r="TG947" s="9"/>
      <c r="TH947" s="9"/>
      <c r="TI947" s="9"/>
      <c r="TJ947" s="9"/>
      <c r="TK947" s="9"/>
      <c r="TL947" s="9"/>
      <c r="TM947" s="9"/>
      <c r="TN947" s="9"/>
      <c r="TO947" s="9"/>
      <c r="TP947" s="9"/>
      <c r="TQ947" s="9"/>
      <c r="TR947" s="9"/>
      <c r="TS947" s="9"/>
      <c r="TT947" s="9"/>
      <c r="TU947" s="9"/>
      <c r="TV947" s="9"/>
      <c r="TW947" s="9"/>
      <c r="TX947" s="9"/>
      <c r="TY947" s="9"/>
      <c r="TZ947" s="9"/>
      <c r="UA947" s="9"/>
      <c r="UB947" s="9"/>
      <c r="UC947" s="9"/>
      <c r="UD947" s="9"/>
      <c r="UE947" s="9"/>
      <c r="UF947" s="9"/>
      <c r="UG947" s="9"/>
      <c r="UH947" s="9"/>
      <c r="UI947" s="9"/>
      <c r="UJ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9"/>
      <c r="GV948" s="9"/>
      <c r="GW948" s="9"/>
      <c r="GX948" s="9"/>
      <c r="GY948" s="9"/>
      <c r="GZ948" s="9"/>
      <c r="HA948" s="9"/>
      <c r="HB948" s="9"/>
      <c r="HC948" s="9"/>
      <c r="HD948" s="9"/>
      <c r="HE948" s="9"/>
      <c r="HF948" s="9"/>
      <c r="HG948" s="9"/>
      <c r="HH948" s="9"/>
      <c r="HI948" s="9"/>
      <c r="HJ948" s="9"/>
      <c r="HK948" s="9"/>
      <c r="HL948" s="9"/>
      <c r="HM948" s="9"/>
      <c r="HN948" s="9"/>
      <c r="HO948" s="9"/>
      <c r="HP948" s="9"/>
      <c r="HQ948" s="9"/>
      <c r="HR948" s="9"/>
      <c r="HS948" s="9"/>
      <c r="HT948" s="9"/>
      <c r="HU948" s="9"/>
      <c r="HV948" s="9"/>
      <c r="HW948" s="9"/>
      <c r="HX948" s="9"/>
      <c r="HY948" s="9"/>
      <c r="HZ948" s="9"/>
      <c r="IA948" s="9"/>
      <c r="IB948" s="9"/>
      <c r="IC948" s="9"/>
      <c r="ID948" s="9"/>
      <c r="IE948" s="9"/>
      <c r="IF948" s="9"/>
      <c r="IG948" s="9"/>
      <c r="IH948" s="9"/>
      <c r="II948" s="9"/>
      <c r="IJ948" s="9"/>
      <c r="IK948" s="9"/>
      <c r="IL948" s="9"/>
      <c r="IM948" s="9"/>
      <c r="IN948" s="9"/>
      <c r="IO948" s="9"/>
      <c r="IP948" s="9"/>
      <c r="IQ948" s="9"/>
      <c r="IR948" s="9"/>
      <c r="IS948" s="9"/>
      <c r="IT948" s="9"/>
      <c r="IU948" s="9"/>
      <c r="IV948" s="9"/>
      <c r="IW948" s="9"/>
      <c r="IX948" s="9"/>
      <c r="IY948" s="9"/>
      <c r="IZ948" s="9"/>
      <c r="JA948" s="9"/>
      <c r="JB948" s="9"/>
      <c r="JC948" s="9"/>
      <c r="JD948" s="9"/>
      <c r="JE948" s="9"/>
      <c r="JF948" s="9"/>
      <c r="JG948" s="9"/>
      <c r="JH948" s="9"/>
      <c r="JI948" s="9"/>
      <c r="JJ948" s="9"/>
      <c r="JK948" s="9"/>
      <c r="JL948" s="9"/>
      <c r="JM948" s="9"/>
      <c r="JN948" s="9"/>
      <c r="JO948" s="9"/>
      <c r="JP948" s="9"/>
      <c r="JQ948" s="9"/>
      <c r="JR948" s="9"/>
      <c r="JS948" s="9"/>
      <c r="JT948" s="9"/>
      <c r="JU948" s="9"/>
      <c r="JV948" s="9"/>
      <c r="JW948" s="9"/>
      <c r="JX948" s="9"/>
      <c r="JY948" s="9"/>
      <c r="JZ948" s="9"/>
      <c r="KA948" s="9"/>
      <c r="KB948" s="9"/>
      <c r="KC948" s="9"/>
      <c r="KD948" s="9"/>
      <c r="KE948" s="9"/>
      <c r="KF948" s="9"/>
      <c r="KG948" s="9"/>
      <c r="KH948" s="9"/>
      <c r="KI948" s="9"/>
      <c r="KJ948" s="9"/>
      <c r="KK948" s="9"/>
      <c r="KL948" s="9"/>
      <c r="KM948" s="9"/>
      <c r="KN948" s="9"/>
      <c r="KO948" s="9"/>
      <c r="KP948" s="9"/>
      <c r="KQ948" s="9"/>
      <c r="KR948" s="9"/>
      <c r="KS948" s="9"/>
      <c r="KT948" s="9"/>
      <c r="KU948" s="9"/>
      <c r="KV948" s="9"/>
      <c r="KW948" s="9"/>
      <c r="KX948" s="9"/>
      <c r="KY948" s="9"/>
      <c r="KZ948" s="9"/>
      <c r="LA948" s="9"/>
      <c r="LB948" s="9"/>
      <c r="LC948" s="9"/>
      <c r="LD948" s="9"/>
      <c r="LE948" s="9"/>
      <c r="LF948" s="9"/>
      <c r="LG948" s="9"/>
      <c r="LH948" s="9"/>
      <c r="LI948" s="9"/>
      <c r="LJ948" s="9"/>
      <c r="LK948" s="9"/>
      <c r="LL948" s="9"/>
      <c r="LM948" s="9"/>
      <c r="LN948" s="9"/>
      <c r="LO948" s="9"/>
      <c r="LP948" s="9"/>
      <c r="LQ948" s="9"/>
      <c r="LR948" s="9"/>
      <c r="LS948" s="9"/>
      <c r="LT948" s="9"/>
      <c r="LU948" s="9"/>
      <c r="LV948" s="9"/>
      <c r="LW948" s="9"/>
      <c r="LX948" s="9"/>
      <c r="LY948" s="9"/>
      <c r="LZ948" s="9"/>
      <c r="MA948" s="9"/>
      <c r="MB948" s="9"/>
      <c r="MC948" s="9"/>
      <c r="MD948" s="9"/>
      <c r="ME948" s="9"/>
      <c r="MF948" s="9"/>
      <c r="MG948" s="9"/>
      <c r="MH948" s="9"/>
      <c r="MI948" s="9"/>
      <c r="MJ948" s="9"/>
      <c r="MK948" s="9"/>
      <c r="ML948" s="9"/>
      <c r="MM948" s="9"/>
      <c r="MN948" s="9"/>
      <c r="MO948" s="9"/>
      <c r="MP948" s="9"/>
      <c r="MQ948" s="9"/>
      <c r="MR948" s="9"/>
      <c r="MS948" s="9"/>
      <c r="MT948" s="9"/>
      <c r="MU948" s="9"/>
      <c r="MV948" s="9"/>
      <c r="MW948" s="9"/>
      <c r="MX948" s="9"/>
      <c r="MY948" s="9"/>
      <c r="MZ948" s="9"/>
      <c r="NA948" s="9"/>
      <c r="NB948" s="9"/>
      <c r="NC948" s="9"/>
      <c r="ND948" s="9"/>
      <c r="NE948" s="9"/>
      <c r="NF948" s="9"/>
      <c r="NG948" s="9"/>
      <c r="NH948" s="9"/>
      <c r="NI948" s="9"/>
      <c r="NJ948" s="9"/>
      <c r="NK948" s="9"/>
      <c r="NL948" s="9"/>
      <c r="NM948" s="9"/>
      <c r="NN948" s="9"/>
      <c r="NO948" s="9"/>
      <c r="NP948" s="9"/>
      <c r="NQ948" s="9"/>
      <c r="NR948" s="9"/>
      <c r="NS948" s="9"/>
      <c r="NT948" s="9"/>
      <c r="NU948" s="9"/>
      <c r="NV948" s="9"/>
      <c r="NW948" s="9"/>
      <c r="NX948" s="9"/>
      <c r="NY948" s="9"/>
      <c r="NZ948" s="9"/>
      <c r="OA948" s="9"/>
      <c r="OB948" s="9"/>
      <c r="OC948" s="9"/>
      <c r="OD948" s="9"/>
      <c r="OE948" s="9"/>
      <c r="OF948" s="9"/>
      <c r="OG948" s="9"/>
      <c r="OH948" s="9"/>
      <c r="OI948" s="9"/>
      <c r="OJ948" s="9"/>
      <c r="OK948" s="9"/>
      <c r="OL948" s="9"/>
      <c r="OM948" s="9"/>
      <c r="ON948" s="9"/>
      <c r="OO948" s="9"/>
      <c r="OP948" s="9"/>
      <c r="OQ948" s="9"/>
      <c r="OR948" s="9"/>
      <c r="OS948" s="9"/>
      <c r="OT948" s="9"/>
      <c r="OU948" s="9"/>
      <c r="OV948" s="9"/>
      <c r="OW948" s="9"/>
      <c r="OX948" s="9"/>
      <c r="OY948" s="9"/>
      <c r="OZ948" s="9"/>
      <c r="PA948" s="9"/>
      <c r="PB948" s="9"/>
      <c r="PC948" s="9"/>
      <c r="PD948" s="9"/>
      <c r="PE948" s="9"/>
      <c r="PF948" s="9"/>
      <c r="PG948" s="9"/>
      <c r="PH948" s="9"/>
      <c r="PI948" s="9"/>
      <c r="PJ948" s="9"/>
      <c r="PK948" s="9"/>
      <c r="PL948" s="9"/>
      <c r="PM948" s="9"/>
      <c r="PN948" s="9"/>
      <c r="PO948" s="9"/>
      <c r="PP948" s="9"/>
      <c r="PQ948" s="9"/>
      <c r="PR948" s="9"/>
      <c r="PS948" s="9"/>
      <c r="PT948" s="9"/>
      <c r="PU948" s="9"/>
      <c r="PV948" s="9"/>
      <c r="PW948" s="9"/>
      <c r="PX948" s="9"/>
      <c r="PY948" s="9"/>
      <c r="PZ948" s="9"/>
      <c r="QA948" s="9"/>
      <c r="QB948" s="9"/>
      <c r="QC948" s="9"/>
      <c r="QD948" s="9"/>
      <c r="QE948" s="9"/>
      <c r="QF948" s="9"/>
      <c r="QG948" s="9"/>
      <c r="QH948" s="9"/>
      <c r="QI948" s="9"/>
      <c r="QJ948" s="9"/>
      <c r="QK948" s="9"/>
      <c r="QL948" s="9"/>
      <c r="QM948" s="9"/>
      <c r="QN948" s="9"/>
      <c r="QO948" s="9"/>
      <c r="QP948" s="9"/>
      <c r="QQ948" s="9"/>
      <c r="QR948" s="9"/>
      <c r="QS948" s="9"/>
      <c r="QT948" s="9"/>
      <c r="QU948" s="9"/>
      <c r="QV948" s="9"/>
      <c r="QW948" s="9"/>
      <c r="QX948" s="9"/>
      <c r="QY948" s="9"/>
      <c r="QZ948" s="9"/>
      <c r="RA948" s="9"/>
      <c r="RB948" s="9"/>
      <c r="RC948" s="9"/>
      <c r="RD948" s="9"/>
      <c r="RE948" s="9"/>
      <c r="RF948" s="9"/>
      <c r="RG948" s="9"/>
      <c r="RH948" s="9"/>
      <c r="RI948" s="9"/>
      <c r="RJ948" s="9"/>
      <c r="RK948" s="9"/>
      <c r="RL948" s="9"/>
      <c r="RM948" s="9"/>
      <c r="RN948" s="9"/>
      <c r="RO948" s="9"/>
      <c r="RP948" s="9"/>
      <c r="RQ948" s="9"/>
      <c r="RR948" s="9"/>
      <c r="RS948" s="9"/>
      <c r="RT948" s="9"/>
      <c r="RU948" s="9"/>
      <c r="RV948" s="9"/>
      <c r="RW948" s="9"/>
      <c r="RX948" s="9"/>
      <c r="RY948" s="9"/>
      <c r="RZ948" s="9"/>
      <c r="SA948" s="9"/>
      <c r="SB948" s="9"/>
      <c r="SC948" s="9"/>
      <c r="SD948" s="9"/>
      <c r="SE948" s="9"/>
      <c r="SF948" s="9"/>
      <c r="SG948" s="9"/>
      <c r="SH948" s="9"/>
      <c r="SI948" s="9"/>
      <c r="SJ948" s="9"/>
      <c r="SK948" s="9"/>
      <c r="SL948" s="9"/>
      <c r="SM948" s="9"/>
      <c r="SN948" s="9"/>
      <c r="SO948" s="9"/>
      <c r="SP948" s="9"/>
      <c r="SQ948" s="9"/>
      <c r="SR948" s="9"/>
      <c r="SS948" s="9"/>
      <c r="ST948" s="9"/>
      <c r="SU948" s="9"/>
      <c r="SV948" s="9"/>
      <c r="SW948" s="9"/>
      <c r="SX948" s="9"/>
      <c r="SY948" s="9"/>
      <c r="SZ948" s="9"/>
      <c r="TA948" s="9"/>
      <c r="TB948" s="9"/>
      <c r="TC948" s="9"/>
      <c r="TD948" s="9"/>
      <c r="TE948" s="9"/>
      <c r="TF948" s="9"/>
      <c r="TG948" s="9"/>
      <c r="TH948" s="9"/>
      <c r="TI948" s="9"/>
      <c r="TJ948" s="9"/>
      <c r="TK948" s="9"/>
      <c r="TL948" s="9"/>
      <c r="TM948" s="9"/>
      <c r="TN948" s="9"/>
      <c r="TO948" s="9"/>
      <c r="TP948" s="9"/>
      <c r="TQ948" s="9"/>
      <c r="TR948" s="9"/>
      <c r="TS948" s="9"/>
      <c r="TT948" s="9"/>
      <c r="TU948" s="9"/>
      <c r="TV948" s="9"/>
      <c r="TW948" s="9"/>
      <c r="TX948" s="9"/>
      <c r="TY948" s="9"/>
      <c r="TZ948" s="9"/>
      <c r="UA948" s="9"/>
      <c r="UB948" s="9"/>
      <c r="UC948" s="9"/>
      <c r="UD948" s="9"/>
      <c r="UE948" s="9"/>
      <c r="UF948" s="9"/>
      <c r="UG948" s="9"/>
      <c r="UH948" s="9"/>
      <c r="UI948" s="9"/>
      <c r="UJ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9"/>
      <c r="FP949" s="9"/>
      <c r="FQ949" s="9"/>
      <c r="FR949" s="9"/>
      <c r="FS949" s="9"/>
      <c r="FT949" s="9"/>
      <c r="FU949" s="9"/>
      <c r="FV949" s="9"/>
      <c r="FW949" s="9"/>
      <c r="FX949" s="9"/>
      <c r="FY949" s="9"/>
      <c r="FZ949" s="9"/>
      <c r="GA949" s="9"/>
      <c r="GB949" s="9"/>
      <c r="GC949" s="9"/>
      <c r="GD949" s="9"/>
      <c r="GE949" s="9"/>
      <c r="GF949" s="9"/>
      <c r="GG949" s="9"/>
      <c r="GH949" s="9"/>
      <c r="GI949" s="9"/>
      <c r="GJ949" s="9"/>
      <c r="GK949" s="9"/>
      <c r="GL949" s="9"/>
      <c r="GM949" s="9"/>
      <c r="GN949" s="9"/>
      <c r="GO949" s="9"/>
      <c r="GP949" s="9"/>
      <c r="GQ949" s="9"/>
      <c r="GR949" s="9"/>
      <c r="GS949" s="9"/>
      <c r="GT949" s="9"/>
      <c r="GU949" s="9"/>
      <c r="GV949" s="9"/>
      <c r="GW949" s="9"/>
      <c r="GX949" s="9"/>
      <c r="GY949" s="9"/>
      <c r="GZ949" s="9"/>
      <c r="HA949" s="9"/>
      <c r="HB949" s="9"/>
      <c r="HC949" s="9"/>
      <c r="HD949" s="9"/>
      <c r="HE949" s="9"/>
      <c r="HF949" s="9"/>
      <c r="HG949" s="9"/>
      <c r="HH949" s="9"/>
      <c r="HI949" s="9"/>
      <c r="HJ949" s="9"/>
      <c r="HK949" s="9"/>
      <c r="HL949" s="9"/>
      <c r="HM949" s="9"/>
      <c r="HN949" s="9"/>
      <c r="HO949" s="9"/>
      <c r="HP949" s="9"/>
      <c r="HQ949" s="9"/>
      <c r="HR949" s="9"/>
      <c r="HS949" s="9"/>
      <c r="HT949" s="9"/>
      <c r="HU949" s="9"/>
      <c r="HV949" s="9"/>
      <c r="HW949" s="9"/>
      <c r="HX949" s="9"/>
      <c r="HY949" s="9"/>
      <c r="HZ949" s="9"/>
      <c r="IA949" s="9"/>
      <c r="IB949" s="9"/>
      <c r="IC949" s="9"/>
      <c r="ID949" s="9"/>
      <c r="IE949" s="9"/>
      <c r="IF949" s="9"/>
      <c r="IG949" s="9"/>
      <c r="IH949" s="9"/>
      <c r="II949" s="9"/>
      <c r="IJ949" s="9"/>
      <c r="IK949" s="9"/>
      <c r="IL949" s="9"/>
      <c r="IM949" s="9"/>
      <c r="IN949" s="9"/>
      <c r="IO949" s="9"/>
      <c r="IP949" s="9"/>
      <c r="IQ949" s="9"/>
      <c r="IR949" s="9"/>
      <c r="IS949" s="9"/>
      <c r="IT949" s="9"/>
      <c r="IU949" s="9"/>
      <c r="IV949" s="9"/>
      <c r="IW949" s="9"/>
      <c r="IX949" s="9"/>
      <c r="IY949" s="9"/>
      <c r="IZ949" s="9"/>
      <c r="JA949" s="9"/>
      <c r="JB949" s="9"/>
      <c r="JC949" s="9"/>
      <c r="JD949" s="9"/>
      <c r="JE949" s="9"/>
      <c r="JF949" s="9"/>
      <c r="JG949" s="9"/>
      <c r="JH949" s="9"/>
      <c r="JI949" s="9"/>
      <c r="JJ949" s="9"/>
      <c r="JK949" s="9"/>
      <c r="JL949" s="9"/>
      <c r="JM949" s="9"/>
      <c r="JN949" s="9"/>
      <c r="JO949" s="9"/>
      <c r="JP949" s="9"/>
      <c r="JQ949" s="9"/>
      <c r="JR949" s="9"/>
      <c r="JS949" s="9"/>
      <c r="JT949" s="9"/>
      <c r="JU949" s="9"/>
      <c r="JV949" s="9"/>
      <c r="JW949" s="9"/>
      <c r="JX949" s="9"/>
      <c r="JY949" s="9"/>
      <c r="JZ949" s="9"/>
      <c r="KA949" s="9"/>
      <c r="KB949" s="9"/>
      <c r="KC949" s="9"/>
      <c r="KD949" s="9"/>
      <c r="KE949" s="9"/>
      <c r="KF949" s="9"/>
      <c r="KG949" s="9"/>
      <c r="KH949" s="9"/>
      <c r="KI949" s="9"/>
      <c r="KJ949" s="9"/>
      <c r="KK949" s="9"/>
      <c r="KL949" s="9"/>
      <c r="KM949" s="9"/>
      <c r="KN949" s="9"/>
      <c r="KO949" s="9"/>
      <c r="KP949" s="9"/>
      <c r="KQ949" s="9"/>
      <c r="KR949" s="9"/>
      <c r="KS949" s="9"/>
      <c r="KT949" s="9"/>
      <c r="KU949" s="9"/>
      <c r="KV949" s="9"/>
      <c r="KW949" s="9"/>
      <c r="KX949" s="9"/>
      <c r="KY949" s="9"/>
      <c r="KZ949" s="9"/>
      <c r="LA949" s="9"/>
      <c r="LB949" s="9"/>
      <c r="LC949" s="9"/>
      <c r="LD949" s="9"/>
      <c r="LE949" s="9"/>
      <c r="LF949" s="9"/>
      <c r="LG949" s="9"/>
      <c r="LH949" s="9"/>
      <c r="LI949" s="9"/>
      <c r="LJ949" s="9"/>
      <c r="LK949" s="9"/>
      <c r="LL949" s="9"/>
      <c r="LM949" s="9"/>
      <c r="LN949" s="9"/>
      <c r="LO949" s="9"/>
      <c r="LP949" s="9"/>
      <c r="LQ949" s="9"/>
      <c r="LR949" s="9"/>
      <c r="LS949" s="9"/>
      <c r="LT949" s="9"/>
      <c r="LU949" s="9"/>
      <c r="LV949" s="9"/>
      <c r="LW949" s="9"/>
      <c r="LX949" s="9"/>
      <c r="LY949" s="9"/>
      <c r="LZ949" s="9"/>
      <c r="MA949" s="9"/>
      <c r="MB949" s="9"/>
      <c r="MC949" s="9"/>
      <c r="MD949" s="9"/>
      <c r="ME949" s="9"/>
      <c r="MF949" s="9"/>
      <c r="MG949" s="9"/>
      <c r="MH949" s="9"/>
      <c r="MI949" s="9"/>
      <c r="MJ949" s="9"/>
      <c r="MK949" s="9"/>
      <c r="ML949" s="9"/>
      <c r="MM949" s="9"/>
      <c r="MN949" s="9"/>
      <c r="MO949" s="9"/>
      <c r="MP949" s="9"/>
      <c r="MQ949" s="9"/>
      <c r="MR949" s="9"/>
      <c r="MS949" s="9"/>
      <c r="MT949" s="9"/>
      <c r="MU949" s="9"/>
      <c r="MV949" s="9"/>
      <c r="MW949" s="9"/>
      <c r="MX949" s="9"/>
      <c r="MY949" s="9"/>
      <c r="MZ949" s="9"/>
      <c r="NA949" s="9"/>
      <c r="NB949" s="9"/>
      <c r="NC949" s="9"/>
      <c r="ND949" s="9"/>
      <c r="NE949" s="9"/>
      <c r="NF949" s="9"/>
      <c r="NG949" s="9"/>
      <c r="NH949" s="9"/>
      <c r="NI949" s="9"/>
      <c r="NJ949" s="9"/>
      <c r="NK949" s="9"/>
      <c r="NL949" s="9"/>
      <c r="NM949" s="9"/>
      <c r="NN949" s="9"/>
      <c r="NO949" s="9"/>
      <c r="NP949" s="9"/>
      <c r="NQ949" s="9"/>
      <c r="NR949" s="9"/>
      <c r="NS949" s="9"/>
      <c r="NT949" s="9"/>
      <c r="NU949" s="9"/>
      <c r="NV949" s="9"/>
      <c r="NW949" s="9"/>
      <c r="NX949" s="9"/>
      <c r="NY949" s="9"/>
      <c r="NZ949" s="9"/>
      <c r="OA949" s="9"/>
      <c r="OB949" s="9"/>
      <c r="OC949" s="9"/>
      <c r="OD949" s="9"/>
      <c r="OE949" s="9"/>
      <c r="OF949" s="9"/>
      <c r="OG949" s="9"/>
      <c r="OH949" s="9"/>
      <c r="OI949" s="9"/>
      <c r="OJ949" s="9"/>
      <c r="OK949" s="9"/>
      <c r="OL949" s="9"/>
      <c r="OM949" s="9"/>
      <c r="ON949" s="9"/>
      <c r="OO949" s="9"/>
      <c r="OP949" s="9"/>
      <c r="OQ949" s="9"/>
      <c r="OR949" s="9"/>
      <c r="OS949" s="9"/>
      <c r="OT949" s="9"/>
      <c r="OU949" s="9"/>
      <c r="OV949" s="9"/>
      <c r="OW949" s="9"/>
      <c r="OX949" s="9"/>
      <c r="OY949" s="9"/>
      <c r="OZ949" s="9"/>
      <c r="PA949" s="9"/>
      <c r="PB949" s="9"/>
      <c r="PC949" s="9"/>
      <c r="PD949" s="9"/>
      <c r="PE949" s="9"/>
      <c r="PF949" s="9"/>
      <c r="PG949" s="9"/>
      <c r="PH949" s="9"/>
      <c r="PI949" s="9"/>
      <c r="PJ949" s="9"/>
      <c r="PK949" s="9"/>
      <c r="PL949" s="9"/>
      <c r="PM949" s="9"/>
      <c r="PN949" s="9"/>
      <c r="PO949" s="9"/>
      <c r="PP949" s="9"/>
      <c r="PQ949" s="9"/>
      <c r="PR949" s="9"/>
      <c r="PS949" s="9"/>
      <c r="PT949" s="9"/>
      <c r="PU949" s="9"/>
      <c r="PV949" s="9"/>
      <c r="PW949" s="9"/>
      <c r="PX949" s="9"/>
      <c r="PY949" s="9"/>
      <c r="PZ949" s="9"/>
      <c r="QA949" s="9"/>
      <c r="QB949" s="9"/>
      <c r="QC949" s="9"/>
      <c r="QD949" s="9"/>
      <c r="QE949" s="9"/>
      <c r="QF949" s="9"/>
      <c r="QG949" s="9"/>
      <c r="QH949" s="9"/>
      <c r="QI949" s="9"/>
      <c r="QJ949" s="9"/>
      <c r="QK949" s="9"/>
      <c r="QL949" s="9"/>
      <c r="QM949" s="9"/>
      <c r="QN949" s="9"/>
      <c r="QO949" s="9"/>
      <c r="QP949" s="9"/>
      <c r="QQ949" s="9"/>
      <c r="QR949" s="9"/>
      <c r="QS949" s="9"/>
      <c r="QT949" s="9"/>
      <c r="QU949" s="9"/>
      <c r="QV949" s="9"/>
      <c r="QW949" s="9"/>
      <c r="QX949" s="9"/>
      <c r="QY949" s="9"/>
      <c r="QZ949" s="9"/>
      <c r="RA949" s="9"/>
      <c r="RB949" s="9"/>
      <c r="RC949" s="9"/>
      <c r="RD949" s="9"/>
      <c r="RE949" s="9"/>
      <c r="RF949" s="9"/>
      <c r="RG949" s="9"/>
      <c r="RH949" s="9"/>
      <c r="RI949" s="9"/>
      <c r="RJ949" s="9"/>
      <c r="RK949" s="9"/>
      <c r="RL949" s="9"/>
      <c r="RM949" s="9"/>
      <c r="RN949" s="9"/>
      <c r="RO949" s="9"/>
      <c r="RP949" s="9"/>
      <c r="RQ949" s="9"/>
      <c r="RR949" s="9"/>
      <c r="RS949" s="9"/>
      <c r="RT949" s="9"/>
      <c r="RU949" s="9"/>
      <c r="RV949" s="9"/>
      <c r="RW949" s="9"/>
      <c r="RX949" s="9"/>
      <c r="RY949" s="9"/>
      <c r="RZ949" s="9"/>
      <c r="SA949" s="9"/>
      <c r="SB949" s="9"/>
      <c r="SC949" s="9"/>
      <c r="SD949" s="9"/>
      <c r="SE949" s="9"/>
      <c r="SF949" s="9"/>
      <c r="SG949" s="9"/>
      <c r="SH949" s="9"/>
      <c r="SI949" s="9"/>
      <c r="SJ949" s="9"/>
      <c r="SK949" s="9"/>
      <c r="SL949" s="9"/>
      <c r="SM949" s="9"/>
      <c r="SN949" s="9"/>
      <c r="SO949" s="9"/>
      <c r="SP949" s="9"/>
      <c r="SQ949" s="9"/>
      <c r="SR949" s="9"/>
      <c r="SS949" s="9"/>
      <c r="ST949" s="9"/>
      <c r="SU949" s="9"/>
      <c r="SV949" s="9"/>
      <c r="SW949" s="9"/>
      <c r="SX949" s="9"/>
      <c r="SY949" s="9"/>
      <c r="SZ949" s="9"/>
      <c r="TA949" s="9"/>
      <c r="TB949" s="9"/>
      <c r="TC949" s="9"/>
      <c r="TD949" s="9"/>
      <c r="TE949" s="9"/>
      <c r="TF949" s="9"/>
      <c r="TG949" s="9"/>
      <c r="TH949" s="9"/>
      <c r="TI949" s="9"/>
      <c r="TJ949" s="9"/>
      <c r="TK949" s="9"/>
      <c r="TL949" s="9"/>
      <c r="TM949" s="9"/>
      <c r="TN949" s="9"/>
      <c r="TO949" s="9"/>
      <c r="TP949" s="9"/>
      <c r="TQ949" s="9"/>
      <c r="TR949" s="9"/>
      <c r="TS949" s="9"/>
      <c r="TT949" s="9"/>
      <c r="TU949" s="9"/>
      <c r="TV949" s="9"/>
      <c r="TW949" s="9"/>
      <c r="TX949" s="9"/>
      <c r="TY949" s="9"/>
      <c r="TZ949" s="9"/>
      <c r="UA949" s="9"/>
      <c r="UB949" s="9"/>
      <c r="UC949" s="9"/>
      <c r="UD949" s="9"/>
      <c r="UE949" s="9"/>
      <c r="UF949" s="9"/>
      <c r="UG949" s="9"/>
      <c r="UH949" s="9"/>
      <c r="UI949" s="9"/>
      <c r="UJ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  <c r="FL950" s="9"/>
      <c r="FM950" s="9"/>
      <c r="FN950" s="9"/>
      <c r="FO950" s="9"/>
      <c r="FP950" s="9"/>
      <c r="FQ950" s="9"/>
      <c r="FR950" s="9"/>
      <c r="FS950" s="9"/>
      <c r="FT950" s="9"/>
      <c r="FU950" s="9"/>
      <c r="FV950" s="9"/>
      <c r="FW950" s="9"/>
      <c r="FX950" s="9"/>
      <c r="FY950" s="9"/>
      <c r="FZ950" s="9"/>
      <c r="GA950" s="9"/>
      <c r="GB950" s="9"/>
      <c r="GC950" s="9"/>
      <c r="GD950" s="9"/>
      <c r="GE950" s="9"/>
      <c r="GF950" s="9"/>
      <c r="GG950" s="9"/>
      <c r="GH950" s="9"/>
      <c r="GI950" s="9"/>
      <c r="GJ950" s="9"/>
      <c r="GK950" s="9"/>
      <c r="GL950" s="9"/>
      <c r="GM950" s="9"/>
      <c r="GN950" s="9"/>
      <c r="GO950" s="9"/>
      <c r="GP950" s="9"/>
      <c r="GQ950" s="9"/>
      <c r="GR950" s="9"/>
      <c r="GS950" s="9"/>
      <c r="GT950" s="9"/>
      <c r="GU950" s="9"/>
      <c r="GV950" s="9"/>
      <c r="GW950" s="9"/>
      <c r="GX950" s="9"/>
      <c r="GY950" s="9"/>
      <c r="GZ950" s="9"/>
      <c r="HA950" s="9"/>
      <c r="HB950" s="9"/>
      <c r="HC950" s="9"/>
      <c r="HD950" s="9"/>
      <c r="HE950" s="9"/>
      <c r="HF950" s="9"/>
      <c r="HG950" s="9"/>
      <c r="HH950" s="9"/>
      <c r="HI950" s="9"/>
      <c r="HJ950" s="9"/>
      <c r="HK950" s="9"/>
      <c r="HL950" s="9"/>
      <c r="HM950" s="9"/>
      <c r="HN950" s="9"/>
      <c r="HO950" s="9"/>
      <c r="HP950" s="9"/>
      <c r="HQ950" s="9"/>
      <c r="HR950" s="9"/>
      <c r="HS950" s="9"/>
      <c r="HT950" s="9"/>
      <c r="HU950" s="9"/>
      <c r="HV950" s="9"/>
      <c r="HW950" s="9"/>
      <c r="HX950" s="9"/>
      <c r="HY950" s="9"/>
      <c r="HZ950" s="9"/>
      <c r="IA950" s="9"/>
      <c r="IB950" s="9"/>
      <c r="IC950" s="9"/>
      <c r="ID950" s="9"/>
      <c r="IE950" s="9"/>
      <c r="IF950" s="9"/>
      <c r="IG950" s="9"/>
      <c r="IH950" s="9"/>
      <c r="II950" s="9"/>
      <c r="IJ950" s="9"/>
      <c r="IK950" s="9"/>
      <c r="IL950" s="9"/>
      <c r="IM950" s="9"/>
      <c r="IN950" s="9"/>
      <c r="IO950" s="9"/>
      <c r="IP950" s="9"/>
      <c r="IQ950" s="9"/>
      <c r="IR950" s="9"/>
      <c r="IS950" s="9"/>
      <c r="IT950" s="9"/>
      <c r="IU950" s="9"/>
      <c r="IV950" s="9"/>
      <c r="IW950" s="9"/>
      <c r="IX950" s="9"/>
      <c r="IY950" s="9"/>
      <c r="IZ950" s="9"/>
      <c r="JA950" s="9"/>
      <c r="JB950" s="9"/>
      <c r="JC950" s="9"/>
      <c r="JD950" s="9"/>
      <c r="JE950" s="9"/>
      <c r="JF950" s="9"/>
      <c r="JG950" s="9"/>
      <c r="JH950" s="9"/>
      <c r="JI950" s="9"/>
      <c r="JJ950" s="9"/>
      <c r="JK950" s="9"/>
      <c r="JL950" s="9"/>
      <c r="JM950" s="9"/>
      <c r="JN950" s="9"/>
      <c r="JO950" s="9"/>
      <c r="JP950" s="9"/>
      <c r="JQ950" s="9"/>
      <c r="JR950" s="9"/>
      <c r="JS950" s="9"/>
      <c r="JT950" s="9"/>
      <c r="JU950" s="9"/>
      <c r="JV950" s="9"/>
      <c r="JW950" s="9"/>
      <c r="JX950" s="9"/>
      <c r="JY950" s="9"/>
      <c r="JZ950" s="9"/>
      <c r="KA950" s="9"/>
      <c r="KB950" s="9"/>
      <c r="KC950" s="9"/>
      <c r="KD950" s="9"/>
      <c r="KE950" s="9"/>
      <c r="KF950" s="9"/>
      <c r="KG950" s="9"/>
      <c r="KH950" s="9"/>
      <c r="KI950" s="9"/>
      <c r="KJ950" s="9"/>
      <c r="KK950" s="9"/>
      <c r="KL950" s="9"/>
      <c r="KM950" s="9"/>
      <c r="KN950" s="9"/>
      <c r="KO950" s="9"/>
      <c r="KP950" s="9"/>
      <c r="KQ950" s="9"/>
      <c r="KR950" s="9"/>
      <c r="KS950" s="9"/>
      <c r="KT950" s="9"/>
      <c r="KU950" s="9"/>
      <c r="KV950" s="9"/>
      <c r="KW950" s="9"/>
      <c r="KX950" s="9"/>
      <c r="KY950" s="9"/>
      <c r="KZ950" s="9"/>
      <c r="LA950" s="9"/>
      <c r="LB950" s="9"/>
      <c r="LC950" s="9"/>
      <c r="LD950" s="9"/>
      <c r="LE950" s="9"/>
      <c r="LF950" s="9"/>
      <c r="LG950" s="9"/>
      <c r="LH950" s="9"/>
      <c r="LI950" s="9"/>
      <c r="LJ950" s="9"/>
      <c r="LK950" s="9"/>
      <c r="LL950" s="9"/>
      <c r="LM950" s="9"/>
      <c r="LN950" s="9"/>
      <c r="LO950" s="9"/>
      <c r="LP950" s="9"/>
      <c r="LQ950" s="9"/>
      <c r="LR950" s="9"/>
      <c r="LS950" s="9"/>
      <c r="LT950" s="9"/>
      <c r="LU950" s="9"/>
      <c r="LV950" s="9"/>
      <c r="LW950" s="9"/>
      <c r="LX950" s="9"/>
      <c r="LY950" s="9"/>
      <c r="LZ950" s="9"/>
      <c r="MA950" s="9"/>
      <c r="MB950" s="9"/>
      <c r="MC950" s="9"/>
      <c r="MD950" s="9"/>
      <c r="ME950" s="9"/>
      <c r="MF950" s="9"/>
      <c r="MG950" s="9"/>
      <c r="MH950" s="9"/>
      <c r="MI950" s="9"/>
      <c r="MJ950" s="9"/>
      <c r="MK950" s="9"/>
      <c r="ML950" s="9"/>
      <c r="MM950" s="9"/>
      <c r="MN950" s="9"/>
      <c r="MO950" s="9"/>
      <c r="MP950" s="9"/>
      <c r="MQ950" s="9"/>
      <c r="MR950" s="9"/>
      <c r="MS950" s="9"/>
      <c r="MT950" s="9"/>
      <c r="MU950" s="9"/>
      <c r="MV950" s="9"/>
      <c r="MW950" s="9"/>
      <c r="MX950" s="9"/>
      <c r="MY950" s="9"/>
      <c r="MZ950" s="9"/>
      <c r="NA950" s="9"/>
      <c r="NB950" s="9"/>
      <c r="NC950" s="9"/>
      <c r="ND950" s="9"/>
      <c r="NE950" s="9"/>
      <c r="NF950" s="9"/>
      <c r="NG950" s="9"/>
      <c r="NH950" s="9"/>
      <c r="NI950" s="9"/>
      <c r="NJ950" s="9"/>
      <c r="NK950" s="9"/>
      <c r="NL950" s="9"/>
      <c r="NM950" s="9"/>
      <c r="NN950" s="9"/>
      <c r="NO950" s="9"/>
      <c r="NP950" s="9"/>
      <c r="NQ950" s="9"/>
      <c r="NR950" s="9"/>
      <c r="NS950" s="9"/>
      <c r="NT950" s="9"/>
      <c r="NU950" s="9"/>
      <c r="NV950" s="9"/>
      <c r="NW950" s="9"/>
      <c r="NX950" s="9"/>
      <c r="NY950" s="9"/>
      <c r="NZ950" s="9"/>
      <c r="OA950" s="9"/>
      <c r="OB950" s="9"/>
      <c r="OC950" s="9"/>
      <c r="OD950" s="9"/>
      <c r="OE950" s="9"/>
      <c r="OF950" s="9"/>
      <c r="OG950" s="9"/>
      <c r="OH950" s="9"/>
      <c r="OI950" s="9"/>
      <c r="OJ950" s="9"/>
      <c r="OK950" s="9"/>
      <c r="OL950" s="9"/>
      <c r="OM950" s="9"/>
      <c r="ON950" s="9"/>
      <c r="OO950" s="9"/>
      <c r="OP950" s="9"/>
      <c r="OQ950" s="9"/>
      <c r="OR950" s="9"/>
      <c r="OS950" s="9"/>
      <c r="OT950" s="9"/>
      <c r="OU950" s="9"/>
      <c r="OV950" s="9"/>
      <c r="OW950" s="9"/>
      <c r="OX950" s="9"/>
      <c r="OY950" s="9"/>
      <c r="OZ950" s="9"/>
      <c r="PA950" s="9"/>
      <c r="PB950" s="9"/>
      <c r="PC950" s="9"/>
      <c r="PD950" s="9"/>
      <c r="PE950" s="9"/>
      <c r="PF950" s="9"/>
      <c r="PG950" s="9"/>
      <c r="PH950" s="9"/>
      <c r="PI950" s="9"/>
      <c r="PJ950" s="9"/>
      <c r="PK950" s="9"/>
      <c r="PL950" s="9"/>
      <c r="PM950" s="9"/>
      <c r="PN950" s="9"/>
      <c r="PO950" s="9"/>
      <c r="PP950" s="9"/>
      <c r="PQ950" s="9"/>
      <c r="PR950" s="9"/>
      <c r="PS950" s="9"/>
      <c r="PT950" s="9"/>
      <c r="PU950" s="9"/>
      <c r="PV950" s="9"/>
      <c r="PW950" s="9"/>
      <c r="PX950" s="9"/>
      <c r="PY950" s="9"/>
      <c r="PZ950" s="9"/>
      <c r="QA950" s="9"/>
      <c r="QB950" s="9"/>
      <c r="QC950" s="9"/>
      <c r="QD950" s="9"/>
      <c r="QE950" s="9"/>
      <c r="QF950" s="9"/>
      <c r="QG950" s="9"/>
      <c r="QH950" s="9"/>
      <c r="QI950" s="9"/>
      <c r="QJ950" s="9"/>
      <c r="QK950" s="9"/>
      <c r="QL950" s="9"/>
      <c r="QM950" s="9"/>
      <c r="QN950" s="9"/>
      <c r="QO950" s="9"/>
      <c r="QP950" s="9"/>
      <c r="QQ950" s="9"/>
      <c r="QR950" s="9"/>
      <c r="QS950" s="9"/>
      <c r="QT950" s="9"/>
      <c r="QU950" s="9"/>
      <c r="QV950" s="9"/>
      <c r="QW950" s="9"/>
      <c r="QX950" s="9"/>
      <c r="QY950" s="9"/>
      <c r="QZ950" s="9"/>
      <c r="RA950" s="9"/>
      <c r="RB950" s="9"/>
      <c r="RC950" s="9"/>
      <c r="RD950" s="9"/>
      <c r="RE950" s="9"/>
      <c r="RF950" s="9"/>
      <c r="RG950" s="9"/>
      <c r="RH950" s="9"/>
      <c r="RI950" s="9"/>
      <c r="RJ950" s="9"/>
      <c r="RK950" s="9"/>
      <c r="RL950" s="9"/>
      <c r="RM950" s="9"/>
      <c r="RN950" s="9"/>
      <c r="RO950" s="9"/>
      <c r="RP950" s="9"/>
      <c r="RQ950" s="9"/>
      <c r="RR950" s="9"/>
      <c r="RS950" s="9"/>
      <c r="RT950" s="9"/>
      <c r="RU950" s="9"/>
      <c r="RV950" s="9"/>
      <c r="RW950" s="9"/>
      <c r="RX950" s="9"/>
      <c r="RY950" s="9"/>
      <c r="RZ950" s="9"/>
      <c r="SA950" s="9"/>
      <c r="SB950" s="9"/>
      <c r="SC950" s="9"/>
      <c r="SD950" s="9"/>
      <c r="SE950" s="9"/>
      <c r="SF950" s="9"/>
      <c r="SG950" s="9"/>
      <c r="SH950" s="9"/>
      <c r="SI950" s="9"/>
      <c r="SJ950" s="9"/>
      <c r="SK950" s="9"/>
      <c r="SL950" s="9"/>
      <c r="SM950" s="9"/>
      <c r="SN950" s="9"/>
      <c r="SO950" s="9"/>
      <c r="SP950" s="9"/>
      <c r="SQ950" s="9"/>
      <c r="SR950" s="9"/>
      <c r="SS950" s="9"/>
      <c r="ST950" s="9"/>
      <c r="SU950" s="9"/>
      <c r="SV950" s="9"/>
      <c r="SW950" s="9"/>
      <c r="SX950" s="9"/>
      <c r="SY950" s="9"/>
      <c r="SZ950" s="9"/>
      <c r="TA950" s="9"/>
      <c r="TB950" s="9"/>
      <c r="TC950" s="9"/>
      <c r="TD950" s="9"/>
      <c r="TE950" s="9"/>
      <c r="TF950" s="9"/>
      <c r="TG950" s="9"/>
      <c r="TH950" s="9"/>
      <c r="TI950" s="9"/>
      <c r="TJ950" s="9"/>
      <c r="TK950" s="9"/>
      <c r="TL950" s="9"/>
      <c r="TM950" s="9"/>
      <c r="TN950" s="9"/>
      <c r="TO950" s="9"/>
      <c r="TP950" s="9"/>
      <c r="TQ950" s="9"/>
      <c r="TR950" s="9"/>
      <c r="TS950" s="9"/>
      <c r="TT950" s="9"/>
      <c r="TU950" s="9"/>
      <c r="TV950" s="9"/>
      <c r="TW950" s="9"/>
      <c r="TX950" s="9"/>
      <c r="TY950" s="9"/>
      <c r="TZ950" s="9"/>
      <c r="UA950" s="9"/>
      <c r="UB950" s="9"/>
      <c r="UC950" s="9"/>
      <c r="UD950" s="9"/>
      <c r="UE950" s="9"/>
      <c r="UF950" s="9"/>
      <c r="UG950" s="9"/>
      <c r="UH950" s="9"/>
      <c r="UI950" s="9"/>
      <c r="UJ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  <c r="HO951" s="9"/>
      <c r="HP951" s="9"/>
      <c r="HQ951" s="9"/>
      <c r="HR951" s="9"/>
      <c r="HS951" s="9"/>
      <c r="HT951" s="9"/>
      <c r="HU951" s="9"/>
      <c r="HV951" s="9"/>
      <c r="HW951" s="9"/>
      <c r="HX951" s="9"/>
      <c r="HY951" s="9"/>
      <c r="HZ951" s="9"/>
      <c r="IA951" s="9"/>
      <c r="IB951" s="9"/>
      <c r="IC951" s="9"/>
      <c r="ID951" s="9"/>
      <c r="IE951" s="9"/>
      <c r="IF951" s="9"/>
      <c r="IG951" s="9"/>
      <c r="IH951" s="9"/>
      <c r="II951" s="9"/>
      <c r="IJ951" s="9"/>
      <c r="IK951" s="9"/>
      <c r="IL951" s="9"/>
      <c r="IM951" s="9"/>
      <c r="IN951" s="9"/>
      <c r="IO951" s="9"/>
      <c r="IP951" s="9"/>
      <c r="IQ951" s="9"/>
      <c r="IR951" s="9"/>
      <c r="IS951" s="9"/>
      <c r="IT951" s="9"/>
      <c r="IU951" s="9"/>
      <c r="IV951" s="9"/>
      <c r="IW951" s="9"/>
      <c r="IX951" s="9"/>
      <c r="IY951" s="9"/>
      <c r="IZ951" s="9"/>
      <c r="JA951" s="9"/>
      <c r="JB951" s="9"/>
      <c r="JC951" s="9"/>
      <c r="JD951" s="9"/>
      <c r="JE951" s="9"/>
      <c r="JF951" s="9"/>
      <c r="JG951" s="9"/>
      <c r="JH951" s="9"/>
      <c r="JI951" s="9"/>
      <c r="JJ951" s="9"/>
      <c r="JK951" s="9"/>
      <c r="JL951" s="9"/>
      <c r="JM951" s="9"/>
      <c r="JN951" s="9"/>
      <c r="JO951" s="9"/>
      <c r="JP951" s="9"/>
      <c r="JQ951" s="9"/>
      <c r="JR951" s="9"/>
      <c r="JS951" s="9"/>
      <c r="JT951" s="9"/>
      <c r="JU951" s="9"/>
      <c r="JV951" s="9"/>
      <c r="JW951" s="9"/>
      <c r="JX951" s="9"/>
      <c r="JY951" s="9"/>
      <c r="JZ951" s="9"/>
      <c r="KA951" s="9"/>
      <c r="KB951" s="9"/>
      <c r="KC951" s="9"/>
      <c r="KD951" s="9"/>
      <c r="KE951" s="9"/>
      <c r="KF951" s="9"/>
      <c r="KG951" s="9"/>
      <c r="KH951" s="9"/>
      <c r="KI951" s="9"/>
      <c r="KJ951" s="9"/>
      <c r="KK951" s="9"/>
      <c r="KL951" s="9"/>
      <c r="KM951" s="9"/>
      <c r="KN951" s="9"/>
      <c r="KO951" s="9"/>
      <c r="KP951" s="9"/>
      <c r="KQ951" s="9"/>
      <c r="KR951" s="9"/>
      <c r="KS951" s="9"/>
      <c r="KT951" s="9"/>
      <c r="KU951" s="9"/>
      <c r="KV951" s="9"/>
      <c r="KW951" s="9"/>
      <c r="KX951" s="9"/>
      <c r="KY951" s="9"/>
      <c r="KZ951" s="9"/>
      <c r="LA951" s="9"/>
      <c r="LB951" s="9"/>
      <c r="LC951" s="9"/>
      <c r="LD951" s="9"/>
      <c r="LE951" s="9"/>
      <c r="LF951" s="9"/>
      <c r="LG951" s="9"/>
      <c r="LH951" s="9"/>
      <c r="LI951" s="9"/>
      <c r="LJ951" s="9"/>
      <c r="LK951" s="9"/>
      <c r="LL951" s="9"/>
      <c r="LM951" s="9"/>
      <c r="LN951" s="9"/>
      <c r="LO951" s="9"/>
      <c r="LP951" s="9"/>
      <c r="LQ951" s="9"/>
      <c r="LR951" s="9"/>
      <c r="LS951" s="9"/>
      <c r="LT951" s="9"/>
      <c r="LU951" s="9"/>
      <c r="LV951" s="9"/>
      <c r="LW951" s="9"/>
      <c r="LX951" s="9"/>
      <c r="LY951" s="9"/>
      <c r="LZ951" s="9"/>
      <c r="MA951" s="9"/>
      <c r="MB951" s="9"/>
      <c r="MC951" s="9"/>
      <c r="MD951" s="9"/>
      <c r="ME951" s="9"/>
      <c r="MF951" s="9"/>
      <c r="MG951" s="9"/>
      <c r="MH951" s="9"/>
      <c r="MI951" s="9"/>
      <c r="MJ951" s="9"/>
      <c r="MK951" s="9"/>
      <c r="ML951" s="9"/>
      <c r="MM951" s="9"/>
      <c r="MN951" s="9"/>
      <c r="MO951" s="9"/>
      <c r="MP951" s="9"/>
      <c r="MQ951" s="9"/>
      <c r="MR951" s="9"/>
      <c r="MS951" s="9"/>
      <c r="MT951" s="9"/>
      <c r="MU951" s="9"/>
      <c r="MV951" s="9"/>
      <c r="MW951" s="9"/>
      <c r="MX951" s="9"/>
      <c r="MY951" s="9"/>
      <c r="MZ951" s="9"/>
      <c r="NA951" s="9"/>
      <c r="NB951" s="9"/>
      <c r="NC951" s="9"/>
      <c r="ND951" s="9"/>
      <c r="NE951" s="9"/>
      <c r="NF951" s="9"/>
      <c r="NG951" s="9"/>
      <c r="NH951" s="9"/>
      <c r="NI951" s="9"/>
      <c r="NJ951" s="9"/>
      <c r="NK951" s="9"/>
      <c r="NL951" s="9"/>
      <c r="NM951" s="9"/>
      <c r="NN951" s="9"/>
      <c r="NO951" s="9"/>
      <c r="NP951" s="9"/>
      <c r="NQ951" s="9"/>
      <c r="NR951" s="9"/>
      <c r="NS951" s="9"/>
      <c r="NT951" s="9"/>
      <c r="NU951" s="9"/>
      <c r="NV951" s="9"/>
      <c r="NW951" s="9"/>
      <c r="NX951" s="9"/>
      <c r="NY951" s="9"/>
      <c r="NZ951" s="9"/>
      <c r="OA951" s="9"/>
      <c r="OB951" s="9"/>
      <c r="OC951" s="9"/>
      <c r="OD951" s="9"/>
      <c r="OE951" s="9"/>
      <c r="OF951" s="9"/>
      <c r="OG951" s="9"/>
      <c r="OH951" s="9"/>
      <c r="OI951" s="9"/>
      <c r="OJ951" s="9"/>
      <c r="OK951" s="9"/>
      <c r="OL951" s="9"/>
      <c r="OM951" s="9"/>
      <c r="ON951" s="9"/>
      <c r="OO951" s="9"/>
      <c r="OP951" s="9"/>
      <c r="OQ951" s="9"/>
      <c r="OR951" s="9"/>
      <c r="OS951" s="9"/>
      <c r="OT951" s="9"/>
      <c r="OU951" s="9"/>
      <c r="OV951" s="9"/>
      <c r="OW951" s="9"/>
      <c r="OX951" s="9"/>
      <c r="OY951" s="9"/>
      <c r="OZ951" s="9"/>
      <c r="PA951" s="9"/>
      <c r="PB951" s="9"/>
      <c r="PC951" s="9"/>
      <c r="PD951" s="9"/>
      <c r="PE951" s="9"/>
      <c r="PF951" s="9"/>
      <c r="PG951" s="9"/>
      <c r="PH951" s="9"/>
      <c r="PI951" s="9"/>
      <c r="PJ951" s="9"/>
      <c r="PK951" s="9"/>
      <c r="PL951" s="9"/>
      <c r="PM951" s="9"/>
      <c r="PN951" s="9"/>
      <c r="PO951" s="9"/>
      <c r="PP951" s="9"/>
      <c r="PQ951" s="9"/>
      <c r="PR951" s="9"/>
      <c r="PS951" s="9"/>
      <c r="PT951" s="9"/>
      <c r="PU951" s="9"/>
      <c r="PV951" s="9"/>
      <c r="PW951" s="9"/>
      <c r="PX951" s="9"/>
      <c r="PY951" s="9"/>
      <c r="PZ951" s="9"/>
      <c r="QA951" s="9"/>
      <c r="QB951" s="9"/>
      <c r="QC951" s="9"/>
      <c r="QD951" s="9"/>
      <c r="QE951" s="9"/>
      <c r="QF951" s="9"/>
      <c r="QG951" s="9"/>
      <c r="QH951" s="9"/>
      <c r="QI951" s="9"/>
      <c r="QJ951" s="9"/>
      <c r="QK951" s="9"/>
      <c r="QL951" s="9"/>
      <c r="QM951" s="9"/>
      <c r="QN951" s="9"/>
      <c r="QO951" s="9"/>
      <c r="QP951" s="9"/>
      <c r="QQ951" s="9"/>
      <c r="QR951" s="9"/>
      <c r="QS951" s="9"/>
      <c r="QT951" s="9"/>
      <c r="QU951" s="9"/>
      <c r="QV951" s="9"/>
      <c r="QW951" s="9"/>
      <c r="QX951" s="9"/>
      <c r="QY951" s="9"/>
      <c r="QZ951" s="9"/>
      <c r="RA951" s="9"/>
      <c r="RB951" s="9"/>
      <c r="RC951" s="9"/>
      <c r="RD951" s="9"/>
      <c r="RE951" s="9"/>
      <c r="RF951" s="9"/>
      <c r="RG951" s="9"/>
      <c r="RH951" s="9"/>
      <c r="RI951" s="9"/>
      <c r="RJ951" s="9"/>
      <c r="RK951" s="9"/>
      <c r="RL951" s="9"/>
      <c r="RM951" s="9"/>
      <c r="RN951" s="9"/>
      <c r="RO951" s="9"/>
      <c r="RP951" s="9"/>
      <c r="RQ951" s="9"/>
      <c r="RR951" s="9"/>
      <c r="RS951" s="9"/>
      <c r="RT951" s="9"/>
      <c r="RU951" s="9"/>
      <c r="RV951" s="9"/>
      <c r="RW951" s="9"/>
      <c r="RX951" s="9"/>
      <c r="RY951" s="9"/>
      <c r="RZ951" s="9"/>
      <c r="SA951" s="9"/>
      <c r="SB951" s="9"/>
      <c r="SC951" s="9"/>
      <c r="SD951" s="9"/>
      <c r="SE951" s="9"/>
      <c r="SF951" s="9"/>
      <c r="SG951" s="9"/>
      <c r="SH951" s="9"/>
      <c r="SI951" s="9"/>
      <c r="SJ951" s="9"/>
      <c r="SK951" s="9"/>
      <c r="SL951" s="9"/>
      <c r="SM951" s="9"/>
      <c r="SN951" s="9"/>
      <c r="SO951" s="9"/>
      <c r="SP951" s="9"/>
      <c r="SQ951" s="9"/>
      <c r="SR951" s="9"/>
      <c r="SS951" s="9"/>
      <c r="ST951" s="9"/>
      <c r="SU951" s="9"/>
      <c r="SV951" s="9"/>
      <c r="SW951" s="9"/>
      <c r="SX951" s="9"/>
      <c r="SY951" s="9"/>
      <c r="SZ951" s="9"/>
      <c r="TA951" s="9"/>
      <c r="TB951" s="9"/>
      <c r="TC951" s="9"/>
      <c r="TD951" s="9"/>
      <c r="TE951" s="9"/>
      <c r="TF951" s="9"/>
      <c r="TG951" s="9"/>
      <c r="TH951" s="9"/>
      <c r="TI951" s="9"/>
      <c r="TJ951" s="9"/>
      <c r="TK951" s="9"/>
      <c r="TL951" s="9"/>
      <c r="TM951" s="9"/>
      <c r="TN951" s="9"/>
      <c r="TO951" s="9"/>
      <c r="TP951" s="9"/>
      <c r="TQ951" s="9"/>
      <c r="TR951" s="9"/>
      <c r="TS951" s="9"/>
      <c r="TT951" s="9"/>
      <c r="TU951" s="9"/>
      <c r="TV951" s="9"/>
      <c r="TW951" s="9"/>
      <c r="TX951" s="9"/>
      <c r="TY951" s="9"/>
      <c r="TZ951" s="9"/>
      <c r="UA951" s="9"/>
      <c r="UB951" s="9"/>
      <c r="UC951" s="9"/>
      <c r="UD951" s="9"/>
      <c r="UE951" s="9"/>
      <c r="UF951" s="9"/>
      <c r="UG951" s="9"/>
      <c r="UH951" s="9"/>
      <c r="UI951" s="9"/>
      <c r="UJ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9"/>
      <c r="FS952" s="9"/>
      <c r="FT952" s="9"/>
      <c r="FU952" s="9"/>
      <c r="FV952" s="9"/>
      <c r="FW952" s="9"/>
      <c r="FX952" s="9"/>
      <c r="FY952" s="9"/>
      <c r="FZ952" s="9"/>
      <c r="GA952" s="9"/>
      <c r="GB952" s="9"/>
      <c r="GC952" s="9"/>
      <c r="GD952" s="9"/>
      <c r="GE952" s="9"/>
      <c r="GF952" s="9"/>
      <c r="GG952" s="9"/>
      <c r="GH952" s="9"/>
      <c r="GI952" s="9"/>
      <c r="GJ952" s="9"/>
      <c r="GK952" s="9"/>
      <c r="GL952" s="9"/>
      <c r="GM952" s="9"/>
      <c r="GN952" s="9"/>
      <c r="GO952" s="9"/>
      <c r="GP952" s="9"/>
      <c r="GQ952" s="9"/>
      <c r="GR952" s="9"/>
      <c r="GS952" s="9"/>
      <c r="GT952" s="9"/>
      <c r="GU952" s="9"/>
      <c r="GV952" s="9"/>
      <c r="GW952" s="9"/>
      <c r="GX952" s="9"/>
      <c r="GY952" s="9"/>
      <c r="GZ952" s="9"/>
      <c r="HA952" s="9"/>
      <c r="HB952" s="9"/>
      <c r="HC952" s="9"/>
      <c r="HD952" s="9"/>
      <c r="HE952" s="9"/>
      <c r="HF952" s="9"/>
      <c r="HG952" s="9"/>
      <c r="HH952" s="9"/>
      <c r="HI952" s="9"/>
      <c r="HJ952" s="9"/>
      <c r="HK952" s="9"/>
      <c r="HL952" s="9"/>
      <c r="HM952" s="9"/>
      <c r="HN952" s="9"/>
      <c r="HO952" s="9"/>
      <c r="HP952" s="9"/>
      <c r="HQ952" s="9"/>
      <c r="HR952" s="9"/>
      <c r="HS952" s="9"/>
      <c r="HT952" s="9"/>
      <c r="HU952" s="9"/>
      <c r="HV952" s="9"/>
      <c r="HW952" s="9"/>
      <c r="HX952" s="9"/>
      <c r="HY952" s="9"/>
      <c r="HZ952" s="9"/>
      <c r="IA952" s="9"/>
      <c r="IB952" s="9"/>
      <c r="IC952" s="9"/>
      <c r="ID952" s="9"/>
      <c r="IE952" s="9"/>
      <c r="IF952" s="9"/>
      <c r="IG952" s="9"/>
      <c r="IH952" s="9"/>
      <c r="II952" s="9"/>
      <c r="IJ952" s="9"/>
      <c r="IK952" s="9"/>
      <c r="IL952" s="9"/>
      <c r="IM952" s="9"/>
      <c r="IN952" s="9"/>
      <c r="IO952" s="9"/>
      <c r="IP952" s="9"/>
      <c r="IQ952" s="9"/>
      <c r="IR952" s="9"/>
      <c r="IS952" s="9"/>
      <c r="IT952" s="9"/>
      <c r="IU952" s="9"/>
      <c r="IV952" s="9"/>
      <c r="IW952" s="9"/>
      <c r="IX952" s="9"/>
      <c r="IY952" s="9"/>
      <c r="IZ952" s="9"/>
      <c r="JA952" s="9"/>
      <c r="JB952" s="9"/>
      <c r="JC952" s="9"/>
      <c r="JD952" s="9"/>
      <c r="JE952" s="9"/>
      <c r="JF952" s="9"/>
      <c r="JG952" s="9"/>
      <c r="JH952" s="9"/>
      <c r="JI952" s="9"/>
      <c r="JJ952" s="9"/>
      <c r="JK952" s="9"/>
      <c r="JL952" s="9"/>
      <c r="JM952" s="9"/>
      <c r="JN952" s="9"/>
      <c r="JO952" s="9"/>
      <c r="JP952" s="9"/>
      <c r="JQ952" s="9"/>
      <c r="JR952" s="9"/>
      <c r="JS952" s="9"/>
      <c r="JT952" s="9"/>
      <c r="JU952" s="9"/>
      <c r="JV952" s="9"/>
      <c r="JW952" s="9"/>
      <c r="JX952" s="9"/>
      <c r="JY952" s="9"/>
      <c r="JZ952" s="9"/>
      <c r="KA952" s="9"/>
      <c r="KB952" s="9"/>
      <c r="KC952" s="9"/>
      <c r="KD952" s="9"/>
      <c r="KE952" s="9"/>
      <c r="KF952" s="9"/>
      <c r="KG952" s="9"/>
      <c r="KH952" s="9"/>
      <c r="KI952" s="9"/>
      <c r="KJ952" s="9"/>
      <c r="KK952" s="9"/>
      <c r="KL952" s="9"/>
      <c r="KM952" s="9"/>
      <c r="KN952" s="9"/>
      <c r="KO952" s="9"/>
      <c r="KP952" s="9"/>
      <c r="KQ952" s="9"/>
      <c r="KR952" s="9"/>
      <c r="KS952" s="9"/>
      <c r="KT952" s="9"/>
      <c r="KU952" s="9"/>
      <c r="KV952" s="9"/>
      <c r="KW952" s="9"/>
      <c r="KX952" s="9"/>
      <c r="KY952" s="9"/>
      <c r="KZ952" s="9"/>
      <c r="LA952" s="9"/>
      <c r="LB952" s="9"/>
      <c r="LC952" s="9"/>
      <c r="LD952" s="9"/>
      <c r="LE952" s="9"/>
      <c r="LF952" s="9"/>
      <c r="LG952" s="9"/>
      <c r="LH952" s="9"/>
      <c r="LI952" s="9"/>
      <c r="LJ952" s="9"/>
      <c r="LK952" s="9"/>
      <c r="LL952" s="9"/>
      <c r="LM952" s="9"/>
      <c r="LN952" s="9"/>
      <c r="LO952" s="9"/>
      <c r="LP952" s="9"/>
      <c r="LQ952" s="9"/>
      <c r="LR952" s="9"/>
      <c r="LS952" s="9"/>
      <c r="LT952" s="9"/>
      <c r="LU952" s="9"/>
      <c r="LV952" s="9"/>
      <c r="LW952" s="9"/>
      <c r="LX952" s="9"/>
      <c r="LY952" s="9"/>
      <c r="LZ952" s="9"/>
      <c r="MA952" s="9"/>
      <c r="MB952" s="9"/>
      <c r="MC952" s="9"/>
      <c r="MD952" s="9"/>
      <c r="ME952" s="9"/>
      <c r="MF952" s="9"/>
      <c r="MG952" s="9"/>
      <c r="MH952" s="9"/>
      <c r="MI952" s="9"/>
      <c r="MJ952" s="9"/>
      <c r="MK952" s="9"/>
      <c r="ML952" s="9"/>
      <c r="MM952" s="9"/>
      <c r="MN952" s="9"/>
      <c r="MO952" s="9"/>
      <c r="MP952" s="9"/>
      <c r="MQ952" s="9"/>
      <c r="MR952" s="9"/>
      <c r="MS952" s="9"/>
      <c r="MT952" s="9"/>
      <c r="MU952" s="9"/>
      <c r="MV952" s="9"/>
      <c r="MW952" s="9"/>
      <c r="MX952" s="9"/>
      <c r="MY952" s="9"/>
      <c r="MZ952" s="9"/>
      <c r="NA952" s="9"/>
      <c r="NB952" s="9"/>
      <c r="NC952" s="9"/>
      <c r="ND952" s="9"/>
      <c r="NE952" s="9"/>
      <c r="NF952" s="9"/>
      <c r="NG952" s="9"/>
      <c r="NH952" s="9"/>
      <c r="NI952" s="9"/>
      <c r="NJ952" s="9"/>
      <c r="NK952" s="9"/>
      <c r="NL952" s="9"/>
      <c r="NM952" s="9"/>
      <c r="NN952" s="9"/>
      <c r="NO952" s="9"/>
      <c r="NP952" s="9"/>
      <c r="NQ952" s="9"/>
      <c r="NR952" s="9"/>
      <c r="NS952" s="9"/>
      <c r="NT952" s="9"/>
      <c r="NU952" s="9"/>
      <c r="NV952" s="9"/>
      <c r="NW952" s="9"/>
      <c r="NX952" s="9"/>
      <c r="NY952" s="9"/>
      <c r="NZ952" s="9"/>
      <c r="OA952" s="9"/>
      <c r="OB952" s="9"/>
      <c r="OC952" s="9"/>
      <c r="OD952" s="9"/>
      <c r="OE952" s="9"/>
      <c r="OF952" s="9"/>
      <c r="OG952" s="9"/>
      <c r="OH952" s="9"/>
      <c r="OI952" s="9"/>
      <c r="OJ952" s="9"/>
      <c r="OK952" s="9"/>
      <c r="OL952" s="9"/>
      <c r="OM952" s="9"/>
      <c r="ON952" s="9"/>
      <c r="OO952" s="9"/>
      <c r="OP952" s="9"/>
      <c r="OQ952" s="9"/>
      <c r="OR952" s="9"/>
      <c r="OS952" s="9"/>
      <c r="OT952" s="9"/>
      <c r="OU952" s="9"/>
      <c r="OV952" s="9"/>
      <c r="OW952" s="9"/>
      <c r="OX952" s="9"/>
      <c r="OY952" s="9"/>
      <c r="OZ952" s="9"/>
      <c r="PA952" s="9"/>
      <c r="PB952" s="9"/>
      <c r="PC952" s="9"/>
      <c r="PD952" s="9"/>
      <c r="PE952" s="9"/>
      <c r="PF952" s="9"/>
      <c r="PG952" s="9"/>
      <c r="PH952" s="9"/>
      <c r="PI952" s="9"/>
      <c r="PJ952" s="9"/>
      <c r="PK952" s="9"/>
      <c r="PL952" s="9"/>
      <c r="PM952" s="9"/>
      <c r="PN952" s="9"/>
      <c r="PO952" s="9"/>
      <c r="PP952" s="9"/>
      <c r="PQ952" s="9"/>
      <c r="PR952" s="9"/>
      <c r="PS952" s="9"/>
      <c r="PT952" s="9"/>
      <c r="PU952" s="9"/>
      <c r="PV952" s="9"/>
      <c r="PW952" s="9"/>
      <c r="PX952" s="9"/>
      <c r="PY952" s="9"/>
      <c r="PZ952" s="9"/>
      <c r="QA952" s="9"/>
      <c r="QB952" s="9"/>
      <c r="QC952" s="9"/>
      <c r="QD952" s="9"/>
      <c r="QE952" s="9"/>
      <c r="QF952" s="9"/>
      <c r="QG952" s="9"/>
      <c r="QH952" s="9"/>
      <c r="QI952" s="9"/>
      <c r="QJ952" s="9"/>
      <c r="QK952" s="9"/>
      <c r="QL952" s="9"/>
      <c r="QM952" s="9"/>
      <c r="QN952" s="9"/>
      <c r="QO952" s="9"/>
      <c r="QP952" s="9"/>
      <c r="QQ952" s="9"/>
      <c r="QR952" s="9"/>
      <c r="QS952" s="9"/>
      <c r="QT952" s="9"/>
      <c r="QU952" s="9"/>
      <c r="QV952" s="9"/>
      <c r="QW952" s="9"/>
      <c r="QX952" s="9"/>
      <c r="QY952" s="9"/>
      <c r="QZ952" s="9"/>
      <c r="RA952" s="9"/>
      <c r="RB952" s="9"/>
      <c r="RC952" s="9"/>
      <c r="RD952" s="9"/>
      <c r="RE952" s="9"/>
      <c r="RF952" s="9"/>
      <c r="RG952" s="9"/>
      <c r="RH952" s="9"/>
      <c r="RI952" s="9"/>
      <c r="RJ952" s="9"/>
      <c r="RK952" s="9"/>
      <c r="RL952" s="9"/>
      <c r="RM952" s="9"/>
      <c r="RN952" s="9"/>
      <c r="RO952" s="9"/>
      <c r="RP952" s="9"/>
      <c r="RQ952" s="9"/>
      <c r="RR952" s="9"/>
      <c r="RS952" s="9"/>
      <c r="RT952" s="9"/>
      <c r="RU952" s="9"/>
      <c r="RV952" s="9"/>
      <c r="RW952" s="9"/>
      <c r="RX952" s="9"/>
      <c r="RY952" s="9"/>
      <c r="RZ952" s="9"/>
      <c r="SA952" s="9"/>
      <c r="SB952" s="9"/>
      <c r="SC952" s="9"/>
      <c r="SD952" s="9"/>
      <c r="SE952" s="9"/>
      <c r="SF952" s="9"/>
      <c r="SG952" s="9"/>
      <c r="SH952" s="9"/>
      <c r="SI952" s="9"/>
      <c r="SJ952" s="9"/>
      <c r="SK952" s="9"/>
      <c r="SL952" s="9"/>
      <c r="SM952" s="9"/>
      <c r="SN952" s="9"/>
      <c r="SO952" s="9"/>
      <c r="SP952" s="9"/>
      <c r="SQ952" s="9"/>
      <c r="SR952" s="9"/>
      <c r="SS952" s="9"/>
      <c r="ST952" s="9"/>
      <c r="SU952" s="9"/>
      <c r="SV952" s="9"/>
      <c r="SW952" s="9"/>
      <c r="SX952" s="9"/>
      <c r="SY952" s="9"/>
      <c r="SZ952" s="9"/>
      <c r="TA952" s="9"/>
      <c r="TB952" s="9"/>
      <c r="TC952" s="9"/>
      <c r="TD952" s="9"/>
      <c r="TE952" s="9"/>
      <c r="TF952" s="9"/>
      <c r="TG952" s="9"/>
      <c r="TH952" s="9"/>
      <c r="TI952" s="9"/>
      <c r="TJ952" s="9"/>
      <c r="TK952" s="9"/>
      <c r="TL952" s="9"/>
      <c r="TM952" s="9"/>
      <c r="TN952" s="9"/>
      <c r="TO952" s="9"/>
      <c r="TP952" s="9"/>
      <c r="TQ952" s="9"/>
      <c r="TR952" s="9"/>
      <c r="TS952" s="9"/>
      <c r="TT952" s="9"/>
      <c r="TU952" s="9"/>
      <c r="TV952" s="9"/>
      <c r="TW952" s="9"/>
      <c r="TX952" s="9"/>
      <c r="TY952" s="9"/>
      <c r="TZ952" s="9"/>
      <c r="UA952" s="9"/>
      <c r="UB952" s="9"/>
      <c r="UC952" s="9"/>
      <c r="UD952" s="9"/>
      <c r="UE952" s="9"/>
      <c r="UF952" s="9"/>
      <c r="UG952" s="9"/>
      <c r="UH952" s="9"/>
      <c r="UI952" s="9"/>
      <c r="UJ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  <c r="EW953" s="9"/>
      <c r="EX953" s="9"/>
      <c r="EY953" s="9"/>
      <c r="EZ953" s="9"/>
      <c r="FA953" s="9"/>
      <c r="FB953" s="9"/>
      <c r="FC953" s="9"/>
      <c r="FD953" s="9"/>
      <c r="FE953" s="9"/>
      <c r="FF953" s="9"/>
      <c r="FG953" s="9"/>
      <c r="FH953" s="9"/>
      <c r="FI953" s="9"/>
      <c r="FJ953" s="9"/>
      <c r="FK953" s="9"/>
      <c r="FL953" s="9"/>
      <c r="FM953" s="9"/>
      <c r="FN953" s="9"/>
      <c r="FO953" s="9"/>
      <c r="FP953" s="9"/>
      <c r="FQ953" s="9"/>
      <c r="FR953" s="9"/>
      <c r="FS953" s="9"/>
      <c r="FT953" s="9"/>
      <c r="FU953" s="9"/>
      <c r="FV953" s="9"/>
      <c r="FW953" s="9"/>
      <c r="FX953" s="9"/>
      <c r="FY953" s="9"/>
      <c r="FZ953" s="9"/>
      <c r="GA953" s="9"/>
      <c r="GB953" s="9"/>
      <c r="GC953" s="9"/>
      <c r="GD953" s="9"/>
      <c r="GE953" s="9"/>
      <c r="GF953" s="9"/>
      <c r="GG953" s="9"/>
      <c r="GH953" s="9"/>
      <c r="GI953" s="9"/>
      <c r="GJ953" s="9"/>
      <c r="GK953" s="9"/>
      <c r="GL953" s="9"/>
      <c r="GM953" s="9"/>
      <c r="GN953" s="9"/>
      <c r="GO953" s="9"/>
      <c r="GP953" s="9"/>
      <c r="GQ953" s="9"/>
      <c r="GR953" s="9"/>
      <c r="GS953" s="9"/>
      <c r="GT953" s="9"/>
      <c r="GU953" s="9"/>
      <c r="GV953" s="9"/>
      <c r="GW953" s="9"/>
      <c r="GX953" s="9"/>
      <c r="GY953" s="9"/>
      <c r="GZ953" s="9"/>
      <c r="HA953" s="9"/>
      <c r="HB953" s="9"/>
      <c r="HC953" s="9"/>
      <c r="HD953" s="9"/>
      <c r="HE953" s="9"/>
      <c r="HF953" s="9"/>
      <c r="HG953" s="9"/>
      <c r="HH953" s="9"/>
      <c r="HI953" s="9"/>
      <c r="HJ953" s="9"/>
      <c r="HK953" s="9"/>
      <c r="HL953" s="9"/>
      <c r="HM953" s="9"/>
      <c r="HN953" s="9"/>
      <c r="HO953" s="9"/>
      <c r="HP953" s="9"/>
      <c r="HQ953" s="9"/>
      <c r="HR953" s="9"/>
      <c r="HS953" s="9"/>
      <c r="HT953" s="9"/>
      <c r="HU953" s="9"/>
      <c r="HV953" s="9"/>
      <c r="HW953" s="9"/>
      <c r="HX953" s="9"/>
      <c r="HY953" s="9"/>
      <c r="HZ953" s="9"/>
      <c r="IA953" s="9"/>
      <c r="IB953" s="9"/>
      <c r="IC953" s="9"/>
      <c r="ID953" s="9"/>
      <c r="IE953" s="9"/>
      <c r="IF953" s="9"/>
      <c r="IG953" s="9"/>
      <c r="IH953" s="9"/>
      <c r="II953" s="9"/>
      <c r="IJ953" s="9"/>
      <c r="IK953" s="9"/>
      <c r="IL953" s="9"/>
      <c r="IM953" s="9"/>
      <c r="IN953" s="9"/>
      <c r="IO953" s="9"/>
      <c r="IP953" s="9"/>
      <c r="IQ953" s="9"/>
      <c r="IR953" s="9"/>
      <c r="IS953" s="9"/>
      <c r="IT953" s="9"/>
      <c r="IU953" s="9"/>
      <c r="IV953" s="9"/>
      <c r="IW953" s="9"/>
      <c r="IX953" s="9"/>
      <c r="IY953" s="9"/>
      <c r="IZ953" s="9"/>
      <c r="JA953" s="9"/>
      <c r="JB953" s="9"/>
      <c r="JC953" s="9"/>
      <c r="JD953" s="9"/>
      <c r="JE953" s="9"/>
      <c r="JF953" s="9"/>
      <c r="JG953" s="9"/>
      <c r="JH953" s="9"/>
      <c r="JI953" s="9"/>
      <c r="JJ953" s="9"/>
      <c r="JK953" s="9"/>
      <c r="JL953" s="9"/>
      <c r="JM953" s="9"/>
      <c r="JN953" s="9"/>
      <c r="JO953" s="9"/>
      <c r="JP953" s="9"/>
      <c r="JQ953" s="9"/>
      <c r="JR953" s="9"/>
      <c r="JS953" s="9"/>
      <c r="JT953" s="9"/>
      <c r="JU953" s="9"/>
      <c r="JV953" s="9"/>
      <c r="JW953" s="9"/>
      <c r="JX953" s="9"/>
      <c r="JY953" s="9"/>
      <c r="JZ953" s="9"/>
      <c r="KA953" s="9"/>
      <c r="KB953" s="9"/>
      <c r="KC953" s="9"/>
      <c r="KD953" s="9"/>
      <c r="KE953" s="9"/>
      <c r="KF953" s="9"/>
      <c r="KG953" s="9"/>
      <c r="KH953" s="9"/>
      <c r="KI953" s="9"/>
      <c r="KJ953" s="9"/>
      <c r="KK953" s="9"/>
      <c r="KL953" s="9"/>
      <c r="KM953" s="9"/>
      <c r="KN953" s="9"/>
      <c r="KO953" s="9"/>
      <c r="KP953" s="9"/>
      <c r="KQ953" s="9"/>
      <c r="KR953" s="9"/>
      <c r="KS953" s="9"/>
      <c r="KT953" s="9"/>
      <c r="KU953" s="9"/>
      <c r="KV953" s="9"/>
      <c r="KW953" s="9"/>
      <c r="KX953" s="9"/>
      <c r="KY953" s="9"/>
      <c r="KZ953" s="9"/>
      <c r="LA953" s="9"/>
      <c r="LB953" s="9"/>
      <c r="LC953" s="9"/>
      <c r="LD953" s="9"/>
      <c r="LE953" s="9"/>
      <c r="LF953" s="9"/>
      <c r="LG953" s="9"/>
      <c r="LH953" s="9"/>
      <c r="LI953" s="9"/>
      <c r="LJ953" s="9"/>
      <c r="LK953" s="9"/>
      <c r="LL953" s="9"/>
      <c r="LM953" s="9"/>
      <c r="LN953" s="9"/>
      <c r="LO953" s="9"/>
      <c r="LP953" s="9"/>
      <c r="LQ953" s="9"/>
      <c r="LR953" s="9"/>
      <c r="LS953" s="9"/>
      <c r="LT953" s="9"/>
      <c r="LU953" s="9"/>
      <c r="LV953" s="9"/>
      <c r="LW953" s="9"/>
      <c r="LX953" s="9"/>
      <c r="LY953" s="9"/>
      <c r="LZ953" s="9"/>
      <c r="MA953" s="9"/>
      <c r="MB953" s="9"/>
      <c r="MC953" s="9"/>
      <c r="MD953" s="9"/>
      <c r="ME953" s="9"/>
      <c r="MF953" s="9"/>
      <c r="MG953" s="9"/>
      <c r="MH953" s="9"/>
      <c r="MI953" s="9"/>
      <c r="MJ953" s="9"/>
      <c r="MK953" s="9"/>
      <c r="ML953" s="9"/>
      <c r="MM953" s="9"/>
      <c r="MN953" s="9"/>
      <c r="MO953" s="9"/>
      <c r="MP953" s="9"/>
      <c r="MQ953" s="9"/>
      <c r="MR953" s="9"/>
      <c r="MS953" s="9"/>
      <c r="MT953" s="9"/>
      <c r="MU953" s="9"/>
      <c r="MV953" s="9"/>
      <c r="MW953" s="9"/>
      <c r="MX953" s="9"/>
      <c r="MY953" s="9"/>
      <c r="MZ953" s="9"/>
      <c r="NA953" s="9"/>
      <c r="NB953" s="9"/>
      <c r="NC953" s="9"/>
      <c r="ND953" s="9"/>
      <c r="NE953" s="9"/>
      <c r="NF953" s="9"/>
      <c r="NG953" s="9"/>
      <c r="NH953" s="9"/>
      <c r="NI953" s="9"/>
      <c r="NJ953" s="9"/>
      <c r="NK953" s="9"/>
      <c r="NL953" s="9"/>
      <c r="NM953" s="9"/>
      <c r="NN953" s="9"/>
      <c r="NO953" s="9"/>
      <c r="NP953" s="9"/>
      <c r="NQ953" s="9"/>
      <c r="NR953" s="9"/>
      <c r="NS953" s="9"/>
      <c r="NT953" s="9"/>
      <c r="NU953" s="9"/>
      <c r="NV953" s="9"/>
      <c r="NW953" s="9"/>
      <c r="NX953" s="9"/>
      <c r="NY953" s="9"/>
      <c r="NZ953" s="9"/>
      <c r="OA953" s="9"/>
      <c r="OB953" s="9"/>
      <c r="OC953" s="9"/>
      <c r="OD953" s="9"/>
      <c r="OE953" s="9"/>
      <c r="OF953" s="9"/>
      <c r="OG953" s="9"/>
      <c r="OH953" s="9"/>
      <c r="OI953" s="9"/>
      <c r="OJ953" s="9"/>
      <c r="OK953" s="9"/>
      <c r="OL953" s="9"/>
      <c r="OM953" s="9"/>
      <c r="ON953" s="9"/>
      <c r="OO953" s="9"/>
      <c r="OP953" s="9"/>
      <c r="OQ953" s="9"/>
      <c r="OR953" s="9"/>
      <c r="OS953" s="9"/>
      <c r="OT953" s="9"/>
      <c r="OU953" s="9"/>
      <c r="OV953" s="9"/>
      <c r="OW953" s="9"/>
      <c r="OX953" s="9"/>
      <c r="OY953" s="9"/>
      <c r="OZ953" s="9"/>
      <c r="PA953" s="9"/>
      <c r="PB953" s="9"/>
      <c r="PC953" s="9"/>
      <c r="PD953" s="9"/>
      <c r="PE953" s="9"/>
      <c r="PF953" s="9"/>
      <c r="PG953" s="9"/>
      <c r="PH953" s="9"/>
      <c r="PI953" s="9"/>
      <c r="PJ953" s="9"/>
      <c r="PK953" s="9"/>
      <c r="PL953" s="9"/>
      <c r="PM953" s="9"/>
      <c r="PN953" s="9"/>
      <c r="PO953" s="9"/>
      <c r="PP953" s="9"/>
      <c r="PQ953" s="9"/>
      <c r="PR953" s="9"/>
      <c r="PS953" s="9"/>
      <c r="PT953" s="9"/>
      <c r="PU953" s="9"/>
      <c r="PV953" s="9"/>
      <c r="PW953" s="9"/>
      <c r="PX953" s="9"/>
      <c r="PY953" s="9"/>
      <c r="PZ953" s="9"/>
      <c r="QA953" s="9"/>
      <c r="QB953" s="9"/>
      <c r="QC953" s="9"/>
      <c r="QD953" s="9"/>
      <c r="QE953" s="9"/>
      <c r="QF953" s="9"/>
      <c r="QG953" s="9"/>
      <c r="QH953" s="9"/>
      <c r="QI953" s="9"/>
      <c r="QJ953" s="9"/>
      <c r="QK953" s="9"/>
      <c r="QL953" s="9"/>
      <c r="QM953" s="9"/>
      <c r="QN953" s="9"/>
      <c r="QO953" s="9"/>
      <c r="QP953" s="9"/>
      <c r="QQ953" s="9"/>
      <c r="QR953" s="9"/>
      <c r="QS953" s="9"/>
      <c r="QT953" s="9"/>
      <c r="QU953" s="9"/>
      <c r="QV953" s="9"/>
      <c r="QW953" s="9"/>
      <c r="QX953" s="9"/>
      <c r="QY953" s="9"/>
      <c r="QZ953" s="9"/>
      <c r="RA953" s="9"/>
      <c r="RB953" s="9"/>
      <c r="RC953" s="9"/>
      <c r="RD953" s="9"/>
      <c r="RE953" s="9"/>
      <c r="RF953" s="9"/>
      <c r="RG953" s="9"/>
      <c r="RH953" s="9"/>
      <c r="RI953" s="9"/>
      <c r="RJ953" s="9"/>
      <c r="RK953" s="9"/>
      <c r="RL953" s="9"/>
      <c r="RM953" s="9"/>
      <c r="RN953" s="9"/>
      <c r="RO953" s="9"/>
      <c r="RP953" s="9"/>
      <c r="RQ953" s="9"/>
      <c r="RR953" s="9"/>
      <c r="RS953" s="9"/>
      <c r="RT953" s="9"/>
      <c r="RU953" s="9"/>
      <c r="RV953" s="9"/>
      <c r="RW953" s="9"/>
      <c r="RX953" s="9"/>
      <c r="RY953" s="9"/>
      <c r="RZ953" s="9"/>
      <c r="SA953" s="9"/>
      <c r="SB953" s="9"/>
      <c r="SC953" s="9"/>
      <c r="SD953" s="9"/>
      <c r="SE953" s="9"/>
      <c r="SF953" s="9"/>
      <c r="SG953" s="9"/>
      <c r="SH953" s="9"/>
      <c r="SI953" s="9"/>
      <c r="SJ953" s="9"/>
      <c r="SK953" s="9"/>
      <c r="SL953" s="9"/>
      <c r="SM953" s="9"/>
      <c r="SN953" s="9"/>
      <c r="SO953" s="9"/>
      <c r="SP953" s="9"/>
      <c r="SQ953" s="9"/>
      <c r="SR953" s="9"/>
      <c r="SS953" s="9"/>
      <c r="ST953" s="9"/>
      <c r="SU953" s="9"/>
      <c r="SV953" s="9"/>
      <c r="SW953" s="9"/>
      <c r="SX953" s="9"/>
      <c r="SY953" s="9"/>
      <c r="SZ953" s="9"/>
      <c r="TA953" s="9"/>
      <c r="TB953" s="9"/>
      <c r="TC953" s="9"/>
      <c r="TD953" s="9"/>
      <c r="TE953" s="9"/>
      <c r="TF953" s="9"/>
      <c r="TG953" s="9"/>
      <c r="TH953" s="9"/>
      <c r="TI953" s="9"/>
      <c r="TJ953" s="9"/>
      <c r="TK953" s="9"/>
      <c r="TL953" s="9"/>
      <c r="TM953" s="9"/>
      <c r="TN953" s="9"/>
      <c r="TO953" s="9"/>
      <c r="TP953" s="9"/>
      <c r="TQ953" s="9"/>
      <c r="TR953" s="9"/>
      <c r="TS953" s="9"/>
      <c r="TT953" s="9"/>
      <c r="TU953" s="9"/>
      <c r="TV953" s="9"/>
      <c r="TW953" s="9"/>
      <c r="TX953" s="9"/>
      <c r="TY953" s="9"/>
      <c r="TZ953" s="9"/>
      <c r="UA953" s="9"/>
      <c r="UB953" s="9"/>
      <c r="UC953" s="9"/>
      <c r="UD953" s="9"/>
      <c r="UE953" s="9"/>
      <c r="UF953" s="9"/>
      <c r="UG953" s="9"/>
      <c r="UH953" s="9"/>
      <c r="UI953" s="9"/>
      <c r="UJ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9"/>
      <c r="FS954" s="9"/>
      <c r="FT954" s="9"/>
      <c r="FU954" s="9"/>
      <c r="FV954" s="9"/>
      <c r="FW954" s="9"/>
      <c r="FX954" s="9"/>
      <c r="FY954" s="9"/>
      <c r="FZ954" s="9"/>
      <c r="GA954" s="9"/>
      <c r="GB954" s="9"/>
      <c r="GC954" s="9"/>
      <c r="GD954" s="9"/>
      <c r="GE954" s="9"/>
      <c r="GF954" s="9"/>
      <c r="GG954" s="9"/>
      <c r="GH954" s="9"/>
      <c r="GI954" s="9"/>
      <c r="GJ954" s="9"/>
      <c r="GK954" s="9"/>
      <c r="GL954" s="9"/>
      <c r="GM954" s="9"/>
      <c r="GN954" s="9"/>
      <c r="GO954" s="9"/>
      <c r="GP954" s="9"/>
      <c r="GQ954" s="9"/>
      <c r="GR954" s="9"/>
      <c r="GS954" s="9"/>
      <c r="GT954" s="9"/>
      <c r="GU954" s="9"/>
      <c r="GV954" s="9"/>
      <c r="GW954" s="9"/>
      <c r="GX954" s="9"/>
      <c r="GY954" s="9"/>
      <c r="GZ954" s="9"/>
      <c r="HA954" s="9"/>
      <c r="HB954" s="9"/>
      <c r="HC954" s="9"/>
      <c r="HD954" s="9"/>
      <c r="HE954" s="9"/>
      <c r="HF954" s="9"/>
      <c r="HG954" s="9"/>
      <c r="HH954" s="9"/>
      <c r="HI954" s="9"/>
      <c r="HJ954" s="9"/>
      <c r="HK954" s="9"/>
      <c r="HL954" s="9"/>
      <c r="HM954" s="9"/>
      <c r="HN954" s="9"/>
      <c r="HO954" s="9"/>
      <c r="HP954" s="9"/>
      <c r="HQ954" s="9"/>
      <c r="HR954" s="9"/>
      <c r="HS954" s="9"/>
      <c r="HT954" s="9"/>
      <c r="HU954" s="9"/>
      <c r="HV954" s="9"/>
      <c r="HW954" s="9"/>
      <c r="HX954" s="9"/>
      <c r="HY954" s="9"/>
      <c r="HZ954" s="9"/>
      <c r="IA954" s="9"/>
      <c r="IB954" s="9"/>
      <c r="IC954" s="9"/>
      <c r="ID954" s="9"/>
      <c r="IE954" s="9"/>
      <c r="IF954" s="9"/>
      <c r="IG954" s="9"/>
      <c r="IH954" s="9"/>
      <c r="II954" s="9"/>
      <c r="IJ954" s="9"/>
      <c r="IK954" s="9"/>
      <c r="IL954" s="9"/>
      <c r="IM954" s="9"/>
      <c r="IN954" s="9"/>
      <c r="IO954" s="9"/>
      <c r="IP954" s="9"/>
      <c r="IQ954" s="9"/>
      <c r="IR954" s="9"/>
      <c r="IS954" s="9"/>
      <c r="IT954" s="9"/>
      <c r="IU954" s="9"/>
      <c r="IV954" s="9"/>
      <c r="IW954" s="9"/>
      <c r="IX954" s="9"/>
      <c r="IY954" s="9"/>
      <c r="IZ954" s="9"/>
      <c r="JA954" s="9"/>
      <c r="JB954" s="9"/>
      <c r="JC954" s="9"/>
      <c r="JD954" s="9"/>
      <c r="JE954" s="9"/>
      <c r="JF954" s="9"/>
      <c r="JG954" s="9"/>
      <c r="JH954" s="9"/>
      <c r="JI954" s="9"/>
      <c r="JJ954" s="9"/>
      <c r="JK954" s="9"/>
      <c r="JL954" s="9"/>
      <c r="JM954" s="9"/>
      <c r="JN954" s="9"/>
      <c r="JO954" s="9"/>
      <c r="JP954" s="9"/>
      <c r="JQ954" s="9"/>
      <c r="JR954" s="9"/>
      <c r="JS954" s="9"/>
      <c r="JT954" s="9"/>
      <c r="JU954" s="9"/>
      <c r="JV954" s="9"/>
      <c r="JW954" s="9"/>
      <c r="JX954" s="9"/>
      <c r="JY954" s="9"/>
      <c r="JZ954" s="9"/>
      <c r="KA954" s="9"/>
      <c r="KB954" s="9"/>
      <c r="KC954" s="9"/>
      <c r="KD954" s="9"/>
      <c r="KE954" s="9"/>
      <c r="KF954" s="9"/>
      <c r="KG954" s="9"/>
      <c r="KH954" s="9"/>
      <c r="KI954" s="9"/>
      <c r="KJ954" s="9"/>
      <c r="KK954" s="9"/>
      <c r="KL954" s="9"/>
      <c r="KM954" s="9"/>
      <c r="KN954" s="9"/>
      <c r="KO954" s="9"/>
      <c r="KP954" s="9"/>
      <c r="KQ954" s="9"/>
      <c r="KR954" s="9"/>
      <c r="KS954" s="9"/>
      <c r="KT954" s="9"/>
      <c r="KU954" s="9"/>
      <c r="KV954" s="9"/>
      <c r="KW954" s="9"/>
      <c r="KX954" s="9"/>
      <c r="KY954" s="9"/>
      <c r="KZ954" s="9"/>
      <c r="LA954" s="9"/>
      <c r="LB954" s="9"/>
      <c r="LC954" s="9"/>
      <c r="LD954" s="9"/>
      <c r="LE954" s="9"/>
      <c r="LF954" s="9"/>
      <c r="LG954" s="9"/>
      <c r="LH954" s="9"/>
      <c r="LI954" s="9"/>
      <c r="LJ954" s="9"/>
      <c r="LK954" s="9"/>
      <c r="LL954" s="9"/>
      <c r="LM954" s="9"/>
      <c r="LN954" s="9"/>
      <c r="LO954" s="9"/>
      <c r="LP954" s="9"/>
      <c r="LQ954" s="9"/>
      <c r="LR954" s="9"/>
      <c r="LS954" s="9"/>
      <c r="LT954" s="9"/>
      <c r="LU954" s="9"/>
      <c r="LV954" s="9"/>
      <c r="LW954" s="9"/>
      <c r="LX954" s="9"/>
      <c r="LY954" s="9"/>
      <c r="LZ954" s="9"/>
      <c r="MA954" s="9"/>
      <c r="MB954" s="9"/>
      <c r="MC954" s="9"/>
      <c r="MD954" s="9"/>
      <c r="ME954" s="9"/>
      <c r="MF954" s="9"/>
      <c r="MG954" s="9"/>
      <c r="MH954" s="9"/>
      <c r="MI954" s="9"/>
      <c r="MJ954" s="9"/>
      <c r="MK954" s="9"/>
      <c r="ML954" s="9"/>
      <c r="MM954" s="9"/>
      <c r="MN954" s="9"/>
      <c r="MO954" s="9"/>
      <c r="MP954" s="9"/>
      <c r="MQ954" s="9"/>
      <c r="MR954" s="9"/>
      <c r="MS954" s="9"/>
      <c r="MT954" s="9"/>
      <c r="MU954" s="9"/>
      <c r="MV954" s="9"/>
      <c r="MW954" s="9"/>
      <c r="MX954" s="9"/>
      <c r="MY954" s="9"/>
      <c r="MZ954" s="9"/>
      <c r="NA954" s="9"/>
      <c r="NB954" s="9"/>
      <c r="NC954" s="9"/>
      <c r="ND954" s="9"/>
      <c r="NE954" s="9"/>
      <c r="NF954" s="9"/>
      <c r="NG954" s="9"/>
      <c r="NH954" s="9"/>
      <c r="NI954" s="9"/>
      <c r="NJ954" s="9"/>
      <c r="NK954" s="9"/>
      <c r="NL954" s="9"/>
      <c r="NM954" s="9"/>
      <c r="NN954" s="9"/>
      <c r="NO954" s="9"/>
      <c r="NP954" s="9"/>
      <c r="NQ954" s="9"/>
      <c r="NR954" s="9"/>
      <c r="NS954" s="9"/>
      <c r="NT954" s="9"/>
      <c r="NU954" s="9"/>
      <c r="NV954" s="9"/>
      <c r="NW954" s="9"/>
      <c r="NX954" s="9"/>
      <c r="NY954" s="9"/>
      <c r="NZ954" s="9"/>
      <c r="OA954" s="9"/>
      <c r="OB954" s="9"/>
      <c r="OC954" s="9"/>
      <c r="OD954" s="9"/>
      <c r="OE954" s="9"/>
      <c r="OF954" s="9"/>
      <c r="OG954" s="9"/>
      <c r="OH954" s="9"/>
      <c r="OI954" s="9"/>
      <c r="OJ954" s="9"/>
      <c r="OK954" s="9"/>
      <c r="OL954" s="9"/>
      <c r="OM954" s="9"/>
      <c r="ON954" s="9"/>
      <c r="OO954" s="9"/>
      <c r="OP954" s="9"/>
      <c r="OQ954" s="9"/>
      <c r="OR954" s="9"/>
      <c r="OS954" s="9"/>
      <c r="OT954" s="9"/>
      <c r="OU954" s="9"/>
      <c r="OV954" s="9"/>
      <c r="OW954" s="9"/>
      <c r="OX954" s="9"/>
      <c r="OY954" s="9"/>
      <c r="OZ954" s="9"/>
      <c r="PA954" s="9"/>
      <c r="PB954" s="9"/>
      <c r="PC954" s="9"/>
      <c r="PD954" s="9"/>
      <c r="PE954" s="9"/>
      <c r="PF954" s="9"/>
      <c r="PG954" s="9"/>
      <c r="PH954" s="9"/>
      <c r="PI954" s="9"/>
      <c r="PJ954" s="9"/>
      <c r="PK954" s="9"/>
      <c r="PL954" s="9"/>
      <c r="PM954" s="9"/>
      <c r="PN954" s="9"/>
      <c r="PO954" s="9"/>
      <c r="PP954" s="9"/>
      <c r="PQ954" s="9"/>
      <c r="PR954" s="9"/>
      <c r="PS954" s="9"/>
      <c r="PT954" s="9"/>
      <c r="PU954" s="9"/>
      <c r="PV954" s="9"/>
      <c r="PW954" s="9"/>
      <c r="PX954" s="9"/>
      <c r="PY954" s="9"/>
      <c r="PZ954" s="9"/>
      <c r="QA954" s="9"/>
      <c r="QB954" s="9"/>
      <c r="QC954" s="9"/>
      <c r="QD954" s="9"/>
      <c r="QE954" s="9"/>
      <c r="QF954" s="9"/>
      <c r="QG954" s="9"/>
      <c r="QH954" s="9"/>
      <c r="QI954" s="9"/>
      <c r="QJ954" s="9"/>
      <c r="QK954" s="9"/>
      <c r="QL954" s="9"/>
      <c r="QM954" s="9"/>
      <c r="QN954" s="9"/>
      <c r="QO954" s="9"/>
      <c r="QP954" s="9"/>
      <c r="QQ954" s="9"/>
      <c r="QR954" s="9"/>
      <c r="QS954" s="9"/>
      <c r="QT954" s="9"/>
      <c r="QU954" s="9"/>
      <c r="QV954" s="9"/>
      <c r="QW954" s="9"/>
      <c r="QX954" s="9"/>
      <c r="QY954" s="9"/>
      <c r="QZ954" s="9"/>
      <c r="RA954" s="9"/>
      <c r="RB954" s="9"/>
      <c r="RC954" s="9"/>
      <c r="RD954" s="9"/>
      <c r="RE954" s="9"/>
      <c r="RF954" s="9"/>
      <c r="RG954" s="9"/>
      <c r="RH954" s="9"/>
      <c r="RI954" s="9"/>
      <c r="RJ954" s="9"/>
      <c r="RK954" s="9"/>
      <c r="RL954" s="9"/>
      <c r="RM954" s="9"/>
      <c r="RN954" s="9"/>
      <c r="RO954" s="9"/>
      <c r="RP954" s="9"/>
      <c r="RQ954" s="9"/>
      <c r="RR954" s="9"/>
      <c r="RS954" s="9"/>
      <c r="RT954" s="9"/>
      <c r="RU954" s="9"/>
      <c r="RV954" s="9"/>
      <c r="RW954" s="9"/>
      <c r="RX954" s="9"/>
      <c r="RY954" s="9"/>
      <c r="RZ954" s="9"/>
      <c r="SA954" s="9"/>
      <c r="SB954" s="9"/>
      <c r="SC954" s="9"/>
      <c r="SD954" s="9"/>
      <c r="SE954" s="9"/>
      <c r="SF954" s="9"/>
      <c r="SG954" s="9"/>
      <c r="SH954" s="9"/>
      <c r="SI954" s="9"/>
      <c r="SJ954" s="9"/>
      <c r="SK954" s="9"/>
      <c r="SL954" s="9"/>
      <c r="SM954" s="9"/>
      <c r="SN954" s="9"/>
      <c r="SO954" s="9"/>
      <c r="SP954" s="9"/>
      <c r="SQ954" s="9"/>
      <c r="SR954" s="9"/>
      <c r="SS954" s="9"/>
      <c r="ST954" s="9"/>
      <c r="SU954" s="9"/>
      <c r="SV954" s="9"/>
      <c r="SW954" s="9"/>
      <c r="SX954" s="9"/>
      <c r="SY954" s="9"/>
      <c r="SZ954" s="9"/>
      <c r="TA954" s="9"/>
      <c r="TB954" s="9"/>
      <c r="TC954" s="9"/>
      <c r="TD954" s="9"/>
      <c r="TE954" s="9"/>
      <c r="TF954" s="9"/>
      <c r="TG954" s="9"/>
      <c r="TH954" s="9"/>
      <c r="TI954" s="9"/>
      <c r="TJ954" s="9"/>
      <c r="TK954" s="9"/>
      <c r="TL954" s="9"/>
      <c r="TM954" s="9"/>
      <c r="TN954" s="9"/>
      <c r="TO954" s="9"/>
      <c r="TP954" s="9"/>
      <c r="TQ954" s="9"/>
      <c r="TR954" s="9"/>
      <c r="TS954" s="9"/>
      <c r="TT954" s="9"/>
      <c r="TU954" s="9"/>
      <c r="TV954" s="9"/>
      <c r="TW954" s="9"/>
      <c r="TX954" s="9"/>
      <c r="TY954" s="9"/>
      <c r="TZ954" s="9"/>
      <c r="UA954" s="9"/>
      <c r="UB954" s="9"/>
      <c r="UC954" s="9"/>
      <c r="UD954" s="9"/>
      <c r="UE954" s="9"/>
      <c r="UF954" s="9"/>
      <c r="UG954" s="9"/>
      <c r="UH954" s="9"/>
      <c r="UI954" s="9"/>
      <c r="UJ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  <c r="EW955" s="9"/>
      <c r="EX955" s="9"/>
      <c r="EY955" s="9"/>
      <c r="EZ955" s="9"/>
      <c r="FA955" s="9"/>
      <c r="FB955" s="9"/>
      <c r="FC955" s="9"/>
      <c r="FD955" s="9"/>
      <c r="FE955" s="9"/>
      <c r="FF955" s="9"/>
      <c r="FG955" s="9"/>
      <c r="FH955" s="9"/>
      <c r="FI955" s="9"/>
      <c r="FJ955" s="9"/>
      <c r="FK955" s="9"/>
      <c r="FL955" s="9"/>
      <c r="FM955" s="9"/>
      <c r="FN955" s="9"/>
      <c r="FO955" s="9"/>
      <c r="FP955" s="9"/>
      <c r="FQ955" s="9"/>
      <c r="FR955" s="9"/>
      <c r="FS955" s="9"/>
      <c r="FT955" s="9"/>
      <c r="FU955" s="9"/>
      <c r="FV955" s="9"/>
      <c r="FW955" s="9"/>
      <c r="FX955" s="9"/>
      <c r="FY955" s="9"/>
      <c r="FZ955" s="9"/>
      <c r="GA955" s="9"/>
      <c r="GB955" s="9"/>
      <c r="GC955" s="9"/>
      <c r="GD955" s="9"/>
      <c r="GE955" s="9"/>
      <c r="GF955" s="9"/>
      <c r="GG955" s="9"/>
      <c r="GH955" s="9"/>
      <c r="GI955" s="9"/>
      <c r="GJ955" s="9"/>
      <c r="GK955" s="9"/>
      <c r="GL955" s="9"/>
      <c r="GM955" s="9"/>
      <c r="GN955" s="9"/>
      <c r="GO955" s="9"/>
      <c r="GP955" s="9"/>
      <c r="GQ955" s="9"/>
      <c r="GR955" s="9"/>
      <c r="GS955" s="9"/>
      <c r="GT955" s="9"/>
      <c r="GU955" s="9"/>
      <c r="GV955" s="9"/>
      <c r="GW955" s="9"/>
      <c r="GX955" s="9"/>
      <c r="GY955" s="9"/>
      <c r="GZ955" s="9"/>
      <c r="HA955" s="9"/>
      <c r="HB955" s="9"/>
      <c r="HC955" s="9"/>
      <c r="HD955" s="9"/>
      <c r="HE955" s="9"/>
      <c r="HF955" s="9"/>
      <c r="HG955" s="9"/>
      <c r="HH955" s="9"/>
      <c r="HI955" s="9"/>
      <c r="HJ955" s="9"/>
      <c r="HK955" s="9"/>
      <c r="HL955" s="9"/>
      <c r="HM955" s="9"/>
      <c r="HN955" s="9"/>
      <c r="HO955" s="9"/>
      <c r="HP955" s="9"/>
      <c r="HQ955" s="9"/>
      <c r="HR955" s="9"/>
      <c r="HS955" s="9"/>
      <c r="HT955" s="9"/>
      <c r="HU955" s="9"/>
      <c r="HV955" s="9"/>
      <c r="HW955" s="9"/>
      <c r="HX955" s="9"/>
      <c r="HY955" s="9"/>
      <c r="HZ955" s="9"/>
      <c r="IA955" s="9"/>
      <c r="IB955" s="9"/>
      <c r="IC955" s="9"/>
      <c r="ID955" s="9"/>
      <c r="IE955" s="9"/>
      <c r="IF955" s="9"/>
      <c r="IG955" s="9"/>
      <c r="IH955" s="9"/>
      <c r="II955" s="9"/>
      <c r="IJ955" s="9"/>
      <c r="IK955" s="9"/>
      <c r="IL955" s="9"/>
      <c r="IM955" s="9"/>
      <c r="IN955" s="9"/>
      <c r="IO955" s="9"/>
      <c r="IP955" s="9"/>
      <c r="IQ955" s="9"/>
      <c r="IR955" s="9"/>
      <c r="IS955" s="9"/>
      <c r="IT955" s="9"/>
      <c r="IU955" s="9"/>
      <c r="IV955" s="9"/>
      <c r="IW955" s="9"/>
      <c r="IX955" s="9"/>
      <c r="IY955" s="9"/>
      <c r="IZ955" s="9"/>
      <c r="JA955" s="9"/>
      <c r="JB955" s="9"/>
      <c r="JC955" s="9"/>
      <c r="JD955" s="9"/>
      <c r="JE955" s="9"/>
      <c r="JF955" s="9"/>
      <c r="JG955" s="9"/>
      <c r="JH955" s="9"/>
      <c r="JI955" s="9"/>
      <c r="JJ955" s="9"/>
      <c r="JK955" s="9"/>
      <c r="JL955" s="9"/>
      <c r="JM955" s="9"/>
      <c r="JN955" s="9"/>
      <c r="JO955" s="9"/>
      <c r="JP955" s="9"/>
      <c r="JQ955" s="9"/>
      <c r="JR955" s="9"/>
      <c r="JS955" s="9"/>
      <c r="JT955" s="9"/>
      <c r="JU955" s="9"/>
      <c r="JV955" s="9"/>
      <c r="JW955" s="9"/>
      <c r="JX955" s="9"/>
      <c r="JY955" s="9"/>
      <c r="JZ955" s="9"/>
      <c r="KA955" s="9"/>
      <c r="KB955" s="9"/>
      <c r="KC955" s="9"/>
      <c r="KD955" s="9"/>
      <c r="KE955" s="9"/>
      <c r="KF955" s="9"/>
      <c r="KG955" s="9"/>
      <c r="KH955" s="9"/>
      <c r="KI955" s="9"/>
      <c r="KJ955" s="9"/>
      <c r="KK955" s="9"/>
      <c r="KL955" s="9"/>
      <c r="KM955" s="9"/>
      <c r="KN955" s="9"/>
      <c r="KO955" s="9"/>
      <c r="KP955" s="9"/>
      <c r="KQ955" s="9"/>
      <c r="KR955" s="9"/>
      <c r="KS955" s="9"/>
      <c r="KT955" s="9"/>
      <c r="KU955" s="9"/>
      <c r="KV955" s="9"/>
      <c r="KW955" s="9"/>
      <c r="KX955" s="9"/>
      <c r="KY955" s="9"/>
      <c r="KZ955" s="9"/>
      <c r="LA955" s="9"/>
      <c r="LB955" s="9"/>
      <c r="LC955" s="9"/>
      <c r="LD955" s="9"/>
      <c r="LE955" s="9"/>
      <c r="LF955" s="9"/>
      <c r="LG955" s="9"/>
      <c r="LH955" s="9"/>
      <c r="LI955" s="9"/>
      <c r="LJ955" s="9"/>
      <c r="LK955" s="9"/>
      <c r="LL955" s="9"/>
      <c r="LM955" s="9"/>
      <c r="LN955" s="9"/>
      <c r="LO955" s="9"/>
      <c r="LP955" s="9"/>
      <c r="LQ955" s="9"/>
      <c r="LR955" s="9"/>
      <c r="LS955" s="9"/>
      <c r="LT955" s="9"/>
      <c r="LU955" s="9"/>
      <c r="LV955" s="9"/>
      <c r="LW955" s="9"/>
      <c r="LX955" s="9"/>
      <c r="LY955" s="9"/>
      <c r="LZ955" s="9"/>
      <c r="MA955" s="9"/>
      <c r="MB955" s="9"/>
      <c r="MC955" s="9"/>
      <c r="MD955" s="9"/>
      <c r="ME955" s="9"/>
      <c r="MF955" s="9"/>
      <c r="MG955" s="9"/>
      <c r="MH955" s="9"/>
      <c r="MI955" s="9"/>
      <c r="MJ955" s="9"/>
      <c r="MK955" s="9"/>
      <c r="ML955" s="9"/>
      <c r="MM955" s="9"/>
      <c r="MN955" s="9"/>
      <c r="MO955" s="9"/>
      <c r="MP955" s="9"/>
      <c r="MQ955" s="9"/>
      <c r="MR955" s="9"/>
      <c r="MS955" s="9"/>
      <c r="MT955" s="9"/>
      <c r="MU955" s="9"/>
      <c r="MV955" s="9"/>
      <c r="MW955" s="9"/>
      <c r="MX955" s="9"/>
      <c r="MY955" s="9"/>
      <c r="MZ955" s="9"/>
      <c r="NA955" s="9"/>
      <c r="NB955" s="9"/>
      <c r="NC955" s="9"/>
      <c r="ND955" s="9"/>
      <c r="NE955" s="9"/>
      <c r="NF955" s="9"/>
      <c r="NG955" s="9"/>
      <c r="NH955" s="9"/>
      <c r="NI955" s="9"/>
      <c r="NJ955" s="9"/>
      <c r="NK955" s="9"/>
      <c r="NL955" s="9"/>
      <c r="NM955" s="9"/>
      <c r="NN955" s="9"/>
      <c r="NO955" s="9"/>
      <c r="NP955" s="9"/>
      <c r="NQ955" s="9"/>
      <c r="NR955" s="9"/>
      <c r="NS955" s="9"/>
      <c r="NT955" s="9"/>
      <c r="NU955" s="9"/>
      <c r="NV955" s="9"/>
      <c r="NW955" s="9"/>
      <c r="NX955" s="9"/>
      <c r="NY955" s="9"/>
      <c r="NZ955" s="9"/>
      <c r="OA955" s="9"/>
      <c r="OB955" s="9"/>
      <c r="OC955" s="9"/>
      <c r="OD955" s="9"/>
      <c r="OE955" s="9"/>
      <c r="OF955" s="9"/>
      <c r="OG955" s="9"/>
      <c r="OH955" s="9"/>
      <c r="OI955" s="9"/>
      <c r="OJ955" s="9"/>
      <c r="OK955" s="9"/>
      <c r="OL955" s="9"/>
      <c r="OM955" s="9"/>
      <c r="ON955" s="9"/>
      <c r="OO955" s="9"/>
      <c r="OP955" s="9"/>
      <c r="OQ955" s="9"/>
      <c r="OR955" s="9"/>
      <c r="OS955" s="9"/>
      <c r="OT955" s="9"/>
      <c r="OU955" s="9"/>
      <c r="OV955" s="9"/>
      <c r="OW955" s="9"/>
      <c r="OX955" s="9"/>
      <c r="OY955" s="9"/>
      <c r="OZ955" s="9"/>
      <c r="PA955" s="9"/>
      <c r="PB955" s="9"/>
      <c r="PC955" s="9"/>
      <c r="PD955" s="9"/>
      <c r="PE955" s="9"/>
      <c r="PF955" s="9"/>
      <c r="PG955" s="9"/>
      <c r="PH955" s="9"/>
      <c r="PI955" s="9"/>
      <c r="PJ955" s="9"/>
      <c r="PK955" s="9"/>
      <c r="PL955" s="9"/>
      <c r="PM955" s="9"/>
      <c r="PN955" s="9"/>
      <c r="PO955" s="9"/>
      <c r="PP955" s="9"/>
      <c r="PQ955" s="9"/>
      <c r="PR955" s="9"/>
      <c r="PS955" s="9"/>
      <c r="PT955" s="9"/>
      <c r="PU955" s="9"/>
      <c r="PV955" s="9"/>
      <c r="PW955" s="9"/>
      <c r="PX955" s="9"/>
      <c r="PY955" s="9"/>
      <c r="PZ955" s="9"/>
      <c r="QA955" s="9"/>
      <c r="QB955" s="9"/>
      <c r="QC955" s="9"/>
      <c r="QD955" s="9"/>
      <c r="QE955" s="9"/>
      <c r="QF955" s="9"/>
      <c r="QG955" s="9"/>
      <c r="QH955" s="9"/>
      <c r="QI955" s="9"/>
      <c r="QJ955" s="9"/>
      <c r="QK955" s="9"/>
      <c r="QL955" s="9"/>
      <c r="QM955" s="9"/>
      <c r="QN955" s="9"/>
      <c r="QO955" s="9"/>
      <c r="QP955" s="9"/>
      <c r="QQ955" s="9"/>
      <c r="QR955" s="9"/>
      <c r="QS955" s="9"/>
      <c r="QT955" s="9"/>
      <c r="QU955" s="9"/>
      <c r="QV955" s="9"/>
      <c r="QW955" s="9"/>
      <c r="QX955" s="9"/>
      <c r="QY955" s="9"/>
      <c r="QZ955" s="9"/>
      <c r="RA955" s="9"/>
      <c r="RB955" s="9"/>
      <c r="RC955" s="9"/>
      <c r="RD955" s="9"/>
      <c r="RE955" s="9"/>
      <c r="RF955" s="9"/>
      <c r="RG955" s="9"/>
      <c r="RH955" s="9"/>
      <c r="RI955" s="9"/>
      <c r="RJ955" s="9"/>
      <c r="RK955" s="9"/>
      <c r="RL955" s="9"/>
      <c r="RM955" s="9"/>
      <c r="RN955" s="9"/>
      <c r="RO955" s="9"/>
      <c r="RP955" s="9"/>
      <c r="RQ955" s="9"/>
      <c r="RR955" s="9"/>
      <c r="RS955" s="9"/>
      <c r="RT955" s="9"/>
      <c r="RU955" s="9"/>
      <c r="RV955" s="9"/>
      <c r="RW955" s="9"/>
      <c r="RX955" s="9"/>
      <c r="RY955" s="9"/>
      <c r="RZ955" s="9"/>
      <c r="SA955" s="9"/>
      <c r="SB955" s="9"/>
      <c r="SC955" s="9"/>
      <c r="SD955" s="9"/>
      <c r="SE955" s="9"/>
      <c r="SF955" s="9"/>
      <c r="SG955" s="9"/>
      <c r="SH955" s="9"/>
      <c r="SI955" s="9"/>
      <c r="SJ955" s="9"/>
      <c r="SK955" s="9"/>
      <c r="SL955" s="9"/>
      <c r="SM955" s="9"/>
      <c r="SN955" s="9"/>
      <c r="SO955" s="9"/>
      <c r="SP955" s="9"/>
      <c r="SQ955" s="9"/>
      <c r="SR955" s="9"/>
      <c r="SS955" s="9"/>
      <c r="ST955" s="9"/>
      <c r="SU955" s="9"/>
      <c r="SV955" s="9"/>
      <c r="SW955" s="9"/>
      <c r="SX955" s="9"/>
      <c r="SY955" s="9"/>
      <c r="SZ955" s="9"/>
      <c r="TA955" s="9"/>
      <c r="TB955" s="9"/>
      <c r="TC955" s="9"/>
      <c r="TD955" s="9"/>
      <c r="TE955" s="9"/>
      <c r="TF955" s="9"/>
      <c r="TG955" s="9"/>
      <c r="TH955" s="9"/>
      <c r="TI955" s="9"/>
      <c r="TJ955" s="9"/>
      <c r="TK955" s="9"/>
      <c r="TL955" s="9"/>
      <c r="TM955" s="9"/>
      <c r="TN955" s="9"/>
      <c r="TO955" s="9"/>
      <c r="TP955" s="9"/>
      <c r="TQ955" s="9"/>
      <c r="TR955" s="9"/>
      <c r="TS955" s="9"/>
      <c r="TT955" s="9"/>
      <c r="TU955" s="9"/>
      <c r="TV955" s="9"/>
      <c r="TW955" s="9"/>
      <c r="TX955" s="9"/>
      <c r="TY955" s="9"/>
      <c r="TZ955" s="9"/>
      <c r="UA955" s="9"/>
      <c r="UB955" s="9"/>
      <c r="UC955" s="9"/>
      <c r="UD955" s="9"/>
      <c r="UE955" s="9"/>
      <c r="UF955" s="9"/>
      <c r="UG955" s="9"/>
      <c r="UH955" s="9"/>
      <c r="UI955" s="9"/>
      <c r="UJ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  <c r="FL956" s="9"/>
      <c r="FM956" s="9"/>
      <c r="FN956" s="9"/>
      <c r="FO956" s="9"/>
      <c r="FP956" s="9"/>
      <c r="FQ956" s="9"/>
      <c r="FR956" s="9"/>
      <c r="FS956" s="9"/>
      <c r="FT956" s="9"/>
      <c r="FU956" s="9"/>
      <c r="FV956" s="9"/>
      <c r="FW956" s="9"/>
      <c r="FX956" s="9"/>
      <c r="FY956" s="9"/>
      <c r="FZ956" s="9"/>
      <c r="GA956" s="9"/>
      <c r="GB956" s="9"/>
      <c r="GC956" s="9"/>
      <c r="GD956" s="9"/>
      <c r="GE956" s="9"/>
      <c r="GF956" s="9"/>
      <c r="GG956" s="9"/>
      <c r="GH956" s="9"/>
      <c r="GI956" s="9"/>
      <c r="GJ956" s="9"/>
      <c r="GK956" s="9"/>
      <c r="GL956" s="9"/>
      <c r="GM956" s="9"/>
      <c r="GN956" s="9"/>
      <c r="GO956" s="9"/>
      <c r="GP956" s="9"/>
      <c r="GQ956" s="9"/>
      <c r="GR956" s="9"/>
      <c r="GS956" s="9"/>
      <c r="GT956" s="9"/>
      <c r="GU956" s="9"/>
      <c r="GV956" s="9"/>
      <c r="GW956" s="9"/>
      <c r="GX956" s="9"/>
      <c r="GY956" s="9"/>
      <c r="GZ956" s="9"/>
      <c r="HA956" s="9"/>
      <c r="HB956" s="9"/>
      <c r="HC956" s="9"/>
      <c r="HD956" s="9"/>
      <c r="HE956" s="9"/>
      <c r="HF956" s="9"/>
      <c r="HG956" s="9"/>
      <c r="HH956" s="9"/>
      <c r="HI956" s="9"/>
      <c r="HJ956" s="9"/>
      <c r="HK956" s="9"/>
      <c r="HL956" s="9"/>
      <c r="HM956" s="9"/>
      <c r="HN956" s="9"/>
      <c r="HO956" s="9"/>
      <c r="HP956" s="9"/>
      <c r="HQ956" s="9"/>
      <c r="HR956" s="9"/>
      <c r="HS956" s="9"/>
      <c r="HT956" s="9"/>
      <c r="HU956" s="9"/>
      <c r="HV956" s="9"/>
      <c r="HW956" s="9"/>
      <c r="HX956" s="9"/>
      <c r="HY956" s="9"/>
      <c r="HZ956" s="9"/>
      <c r="IA956" s="9"/>
      <c r="IB956" s="9"/>
      <c r="IC956" s="9"/>
      <c r="ID956" s="9"/>
      <c r="IE956" s="9"/>
      <c r="IF956" s="9"/>
      <c r="IG956" s="9"/>
      <c r="IH956" s="9"/>
      <c r="II956" s="9"/>
      <c r="IJ956" s="9"/>
      <c r="IK956" s="9"/>
      <c r="IL956" s="9"/>
      <c r="IM956" s="9"/>
      <c r="IN956" s="9"/>
      <c r="IO956" s="9"/>
      <c r="IP956" s="9"/>
      <c r="IQ956" s="9"/>
      <c r="IR956" s="9"/>
      <c r="IS956" s="9"/>
      <c r="IT956" s="9"/>
      <c r="IU956" s="9"/>
      <c r="IV956" s="9"/>
      <c r="IW956" s="9"/>
      <c r="IX956" s="9"/>
      <c r="IY956" s="9"/>
      <c r="IZ956" s="9"/>
      <c r="JA956" s="9"/>
      <c r="JB956" s="9"/>
      <c r="JC956" s="9"/>
      <c r="JD956" s="9"/>
      <c r="JE956" s="9"/>
      <c r="JF956" s="9"/>
      <c r="JG956" s="9"/>
      <c r="JH956" s="9"/>
      <c r="JI956" s="9"/>
      <c r="JJ956" s="9"/>
      <c r="JK956" s="9"/>
      <c r="JL956" s="9"/>
      <c r="JM956" s="9"/>
      <c r="JN956" s="9"/>
      <c r="JO956" s="9"/>
      <c r="JP956" s="9"/>
      <c r="JQ956" s="9"/>
      <c r="JR956" s="9"/>
      <c r="JS956" s="9"/>
      <c r="JT956" s="9"/>
      <c r="JU956" s="9"/>
      <c r="JV956" s="9"/>
      <c r="JW956" s="9"/>
      <c r="JX956" s="9"/>
      <c r="JY956" s="9"/>
      <c r="JZ956" s="9"/>
      <c r="KA956" s="9"/>
      <c r="KB956" s="9"/>
      <c r="KC956" s="9"/>
      <c r="KD956" s="9"/>
      <c r="KE956" s="9"/>
      <c r="KF956" s="9"/>
      <c r="KG956" s="9"/>
      <c r="KH956" s="9"/>
      <c r="KI956" s="9"/>
      <c r="KJ956" s="9"/>
      <c r="KK956" s="9"/>
      <c r="KL956" s="9"/>
      <c r="KM956" s="9"/>
      <c r="KN956" s="9"/>
      <c r="KO956" s="9"/>
      <c r="KP956" s="9"/>
      <c r="KQ956" s="9"/>
      <c r="KR956" s="9"/>
      <c r="KS956" s="9"/>
      <c r="KT956" s="9"/>
      <c r="KU956" s="9"/>
      <c r="KV956" s="9"/>
      <c r="KW956" s="9"/>
      <c r="KX956" s="9"/>
      <c r="KY956" s="9"/>
      <c r="KZ956" s="9"/>
      <c r="LA956" s="9"/>
      <c r="LB956" s="9"/>
      <c r="LC956" s="9"/>
      <c r="LD956" s="9"/>
      <c r="LE956" s="9"/>
      <c r="LF956" s="9"/>
      <c r="LG956" s="9"/>
      <c r="LH956" s="9"/>
      <c r="LI956" s="9"/>
      <c r="LJ956" s="9"/>
      <c r="LK956" s="9"/>
      <c r="LL956" s="9"/>
      <c r="LM956" s="9"/>
      <c r="LN956" s="9"/>
      <c r="LO956" s="9"/>
      <c r="LP956" s="9"/>
      <c r="LQ956" s="9"/>
      <c r="LR956" s="9"/>
      <c r="LS956" s="9"/>
      <c r="LT956" s="9"/>
      <c r="LU956" s="9"/>
      <c r="LV956" s="9"/>
      <c r="LW956" s="9"/>
      <c r="LX956" s="9"/>
      <c r="LY956" s="9"/>
      <c r="LZ956" s="9"/>
      <c r="MA956" s="9"/>
      <c r="MB956" s="9"/>
      <c r="MC956" s="9"/>
      <c r="MD956" s="9"/>
      <c r="ME956" s="9"/>
      <c r="MF956" s="9"/>
      <c r="MG956" s="9"/>
      <c r="MH956" s="9"/>
      <c r="MI956" s="9"/>
      <c r="MJ956" s="9"/>
      <c r="MK956" s="9"/>
      <c r="ML956" s="9"/>
      <c r="MM956" s="9"/>
      <c r="MN956" s="9"/>
      <c r="MO956" s="9"/>
      <c r="MP956" s="9"/>
      <c r="MQ956" s="9"/>
      <c r="MR956" s="9"/>
      <c r="MS956" s="9"/>
      <c r="MT956" s="9"/>
      <c r="MU956" s="9"/>
      <c r="MV956" s="9"/>
      <c r="MW956" s="9"/>
      <c r="MX956" s="9"/>
      <c r="MY956" s="9"/>
      <c r="MZ956" s="9"/>
      <c r="NA956" s="9"/>
      <c r="NB956" s="9"/>
      <c r="NC956" s="9"/>
      <c r="ND956" s="9"/>
      <c r="NE956" s="9"/>
      <c r="NF956" s="9"/>
      <c r="NG956" s="9"/>
      <c r="NH956" s="9"/>
      <c r="NI956" s="9"/>
      <c r="NJ956" s="9"/>
      <c r="NK956" s="9"/>
      <c r="NL956" s="9"/>
      <c r="NM956" s="9"/>
      <c r="NN956" s="9"/>
      <c r="NO956" s="9"/>
      <c r="NP956" s="9"/>
      <c r="NQ956" s="9"/>
      <c r="NR956" s="9"/>
      <c r="NS956" s="9"/>
      <c r="NT956" s="9"/>
      <c r="NU956" s="9"/>
      <c r="NV956" s="9"/>
      <c r="NW956" s="9"/>
      <c r="NX956" s="9"/>
      <c r="NY956" s="9"/>
      <c r="NZ956" s="9"/>
      <c r="OA956" s="9"/>
      <c r="OB956" s="9"/>
      <c r="OC956" s="9"/>
      <c r="OD956" s="9"/>
      <c r="OE956" s="9"/>
      <c r="OF956" s="9"/>
      <c r="OG956" s="9"/>
      <c r="OH956" s="9"/>
      <c r="OI956" s="9"/>
      <c r="OJ956" s="9"/>
      <c r="OK956" s="9"/>
      <c r="OL956" s="9"/>
      <c r="OM956" s="9"/>
      <c r="ON956" s="9"/>
      <c r="OO956" s="9"/>
      <c r="OP956" s="9"/>
      <c r="OQ956" s="9"/>
      <c r="OR956" s="9"/>
      <c r="OS956" s="9"/>
      <c r="OT956" s="9"/>
      <c r="OU956" s="9"/>
      <c r="OV956" s="9"/>
      <c r="OW956" s="9"/>
      <c r="OX956" s="9"/>
      <c r="OY956" s="9"/>
      <c r="OZ956" s="9"/>
      <c r="PA956" s="9"/>
      <c r="PB956" s="9"/>
      <c r="PC956" s="9"/>
      <c r="PD956" s="9"/>
      <c r="PE956" s="9"/>
      <c r="PF956" s="9"/>
      <c r="PG956" s="9"/>
      <c r="PH956" s="9"/>
      <c r="PI956" s="9"/>
      <c r="PJ956" s="9"/>
      <c r="PK956" s="9"/>
      <c r="PL956" s="9"/>
      <c r="PM956" s="9"/>
      <c r="PN956" s="9"/>
      <c r="PO956" s="9"/>
      <c r="PP956" s="9"/>
      <c r="PQ956" s="9"/>
      <c r="PR956" s="9"/>
      <c r="PS956" s="9"/>
      <c r="PT956" s="9"/>
      <c r="PU956" s="9"/>
      <c r="PV956" s="9"/>
      <c r="PW956" s="9"/>
      <c r="PX956" s="9"/>
      <c r="PY956" s="9"/>
      <c r="PZ956" s="9"/>
      <c r="QA956" s="9"/>
      <c r="QB956" s="9"/>
      <c r="QC956" s="9"/>
      <c r="QD956" s="9"/>
      <c r="QE956" s="9"/>
      <c r="QF956" s="9"/>
      <c r="QG956" s="9"/>
      <c r="QH956" s="9"/>
      <c r="QI956" s="9"/>
      <c r="QJ956" s="9"/>
      <c r="QK956" s="9"/>
      <c r="QL956" s="9"/>
      <c r="QM956" s="9"/>
      <c r="QN956" s="9"/>
      <c r="QO956" s="9"/>
      <c r="QP956" s="9"/>
      <c r="QQ956" s="9"/>
      <c r="QR956" s="9"/>
      <c r="QS956" s="9"/>
      <c r="QT956" s="9"/>
      <c r="QU956" s="9"/>
      <c r="QV956" s="9"/>
      <c r="QW956" s="9"/>
      <c r="QX956" s="9"/>
      <c r="QY956" s="9"/>
      <c r="QZ956" s="9"/>
      <c r="RA956" s="9"/>
      <c r="RB956" s="9"/>
      <c r="RC956" s="9"/>
      <c r="RD956" s="9"/>
      <c r="RE956" s="9"/>
      <c r="RF956" s="9"/>
      <c r="RG956" s="9"/>
      <c r="RH956" s="9"/>
      <c r="RI956" s="9"/>
      <c r="RJ956" s="9"/>
      <c r="RK956" s="9"/>
      <c r="RL956" s="9"/>
      <c r="RM956" s="9"/>
      <c r="RN956" s="9"/>
      <c r="RO956" s="9"/>
      <c r="RP956" s="9"/>
      <c r="RQ956" s="9"/>
      <c r="RR956" s="9"/>
      <c r="RS956" s="9"/>
      <c r="RT956" s="9"/>
      <c r="RU956" s="9"/>
      <c r="RV956" s="9"/>
      <c r="RW956" s="9"/>
      <c r="RX956" s="9"/>
      <c r="RY956" s="9"/>
      <c r="RZ956" s="9"/>
      <c r="SA956" s="9"/>
      <c r="SB956" s="9"/>
      <c r="SC956" s="9"/>
      <c r="SD956" s="9"/>
      <c r="SE956" s="9"/>
      <c r="SF956" s="9"/>
      <c r="SG956" s="9"/>
      <c r="SH956" s="9"/>
      <c r="SI956" s="9"/>
      <c r="SJ956" s="9"/>
      <c r="SK956" s="9"/>
      <c r="SL956" s="9"/>
      <c r="SM956" s="9"/>
      <c r="SN956" s="9"/>
      <c r="SO956" s="9"/>
      <c r="SP956" s="9"/>
      <c r="SQ956" s="9"/>
      <c r="SR956" s="9"/>
      <c r="SS956" s="9"/>
      <c r="ST956" s="9"/>
      <c r="SU956" s="9"/>
      <c r="SV956" s="9"/>
      <c r="SW956" s="9"/>
      <c r="SX956" s="9"/>
      <c r="SY956" s="9"/>
      <c r="SZ956" s="9"/>
      <c r="TA956" s="9"/>
      <c r="TB956" s="9"/>
      <c r="TC956" s="9"/>
      <c r="TD956" s="9"/>
      <c r="TE956" s="9"/>
      <c r="TF956" s="9"/>
      <c r="TG956" s="9"/>
      <c r="TH956" s="9"/>
      <c r="TI956" s="9"/>
      <c r="TJ956" s="9"/>
      <c r="TK956" s="9"/>
      <c r="TL956" s="9"/>
      <c r="TM956" s="9"/>
      <c r="TN956" s="9"/>
      <c r="TO956" s="9"/>
      <c r="TP956" s="9"/>
      <c r="TQ956" s="9"/>
      <c r="TR956" s="9"/>
      <c r="TS956" s="9"/>
      <c r="TT956" s="9"/>
      <c r="TU956" s="9"/>
      <c r="TV956" s="9"/>
      <c r="TW956" s="9"/>
      <c r="TX956" s="9"/>
      <c r="TY956" s="9"/>
      <c r="TZ956" s="9"/>
      <c r="UA956" s="9"/>
      <c r="UB956" s="9"/>
      <c r="UC956" s="9"/>
      <c r="UD956" s="9"/>
      <c r="UE956" s="9"/>
      <c r="UF956" s="9"/>
      <c r="UG956" s="9"/>
      <c r="UH956" s="9"/>
      <c r="UI956" s="9"/>
      <c r="UJ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9"/>
      <c r="FS957" s="9"/>
      <c r="FT957" s="9"/>
      <c r="FU957" s="9"/>
      <c r="FV957" s="9"/>
      <c r="FW957" s="9"/>
      <c r="FX957" s="9"/>
      <c r="FY957" s="9"/>
      <c r="FZ957" s="9"/>
      <c r="GA957" s="9"/>
      <c r="GB957" s="9"/>
      <c r="GC957" s="9"/>
      <c r="GD957" s="9"/>
      <c r="GE957" s="9"/>
      <c r="GF957" s="9"/>
      <c r="GG957" s="9"/>
      <c r="GH957" s="9"/>
      <c r="GI957" s="9"/>
      <c r="GJ957" s="9"/>
      <c r="GK957" s="9"/>
      <c r="GL957" s="9"/>
      <c r="GM957" s="9"/>
      <c r="GN957" s="9"/>
      <c r="GO957" s="9"/>
      <c r="GP957" s="9"/>
      <c r="GQ957" s="9"/>
      <c r="GR957" s="9"/>
      <c r="GS957" s="9"/>
      <c r="GT957" s="9"/>
      <c r="GU957" s="9"/>
      <c r="GV957" s="9"/>
      <c r="GW957" s="9"/>
      <c r="GX957" s="9"/>
      <c r="GY957" s="9"/>
      <c r="GZ957" s="9"/>
      <c r="HA957" s="9"/>
      <c r="HB957" s="9"/>
      <c r="HC957" s="9"/>
      <c r="HD957" s="9"/>
      <c r="HE957" s="9"/>
      <c r="HF957" s="9"/>
      <c r="HG957" s="9"/>
      <c r="HH957" s="9"/>
      <c r="HI957" s="9"/>
      <c r="HJ957" s="9"/>
      <c r="HK957" s="9"/>
      <c r="HL957" s="9"/>
      <c r="HM957" s="9"/>
      <c r="HN957" s="9"/>
      <c r="HO957" s="9"/>
      <c r="HP957" s="9"/>
      <c r="HQ957" s="9"/>
      <c r="HR957" s="9"/>
      <c r="HS957" s="9"/>
      <c r="HT957" s="9"/>
      <c r="HU957" s="9"/>
      <c r="HV957" s="9"/>
      <c r="HW957" s="9"/>
      <c r="HX957" s="9"/>
      <c r="HY957" s="9"/>
      <c r="HZ957" s="9"/>
      <c r="IA957" s="9"/>
      <c r="IB957" s="9"/>
      <c r="IC957" s="9"/>
      <c r="ID957" s="9"/>
      <c r="IE957" s="9"/>
      <c r="IF957" s="9"/>
      <c r="IG957" s="9"/>
      <c r="IH957" s="9"/>
      <c r="II957" s="9"/>
      <c r="IJ957" s="9"/>
      <c r="IK957" s="9"/>
      <c r="IL957" s="9"/>
      <c r="IM957" s="9"/>
      <c r="IN957" s="9"/>
      <c r="IO957" s="9"/>
      <c r="IP957" s="9"/>
      <c r="IQ957" s="9"/>
      <c r="IR957" s="9"/>
      <c r="IS957" s="9"/>
      <c r="IT957" s="9"/>
      <c r="IU957" s="9"/>
      <c r="IV957" s="9"/>
      <c r="IW957" s="9"/>
      <c r="IX957" s="9"/>
      <c r="IY957" s="9"/>
      <c r="IZ957" s="9"/>
      <c r="JA957" s="9"/>
      <c r="JB957" s="9"/>
      <c r="JC957" s="9"/>
      <c r="JD957" s="9"/>
      <c r="JE957" s="9"/>
      <c r="JF957" s="9"/>
      <c r="JG957" s="9"/>
      <c r="JH957" s="9"/>
      <c r="JI957" s="9"/>
      <c r="JJ957" s="9"/>
      <c r="JK957" s="9"/>
      <c r="JL957" s="9"/>
      <c r="JM957" s="9"/>
      <c r="JN957" s="9"/>
      <c r="JO957" s="9"/>
      <c r="JP957" s="9"/>
      <c r="JQ957" s="9"/>
      <c r="JR957" s="9"/>
      <c r="JS957" s="9"/>
      <c r="JT957" s="9"/>
      <c r="JU957" s="9"/>
      <c r="JV957" s="9"/>
      <c r="JW957" s="9"/>
      <c r="JX957" s="9"/>
      <c r="JY957" s="9"/>
      <c r="JZ957" s="9"/>
      <c r="KA957" s="9"/>
      <c r="KB957" s="9"/>
      <c r="KC957" s="9"/>
      <c r="KD957" s="9"/>
      <c r="KE957" s="9"/>
      <c r="KF957" s="9"/>
      <c r="KG957" s="9"/>
      <c r="KH957" s="9"/>
      <c r="KI957" s="9"/>
      <c r="KJ957" s="9"/>
      <c r="KK957" s="9"/>
      <c r="KL957" s="9"/>
      <c r="KM957" s="9"/>
      <c r="KN957" s="9"/>
      <c r="KO957" s="9"/>
      <c r="KP957" s="9"/>
      <c r="KQ957" s="9"/>
      <c r="KR957" s="9"/>
      <c r="KS957" s="9"/>
      <c r="KT957" s="9"/>
      <c r="KU957" s="9"/>
      <c r="KV957" s="9"/>
      <c r="KW957" s="9"/>
      <c r="KX957" s="9"/>
      <c r="KY957" s="9"/>
      <c r="KZ957" s="9"/>
      <c r="LA957" s="9"/>
      <c r="LB957" s="9"/>
      <c r="LC957" s="9"/>
      <c r="LD957" s="9"/>
      <c r="LE957" s="9"/>
      <c r="LF957" s="9"/>
      <c r="LG957" s="9"/>
      <c r="LH957" s="9"/>
      <c r="LI957" s="9"/>
      <c r="LJ957" s="9"/>
      <c r="LK957" s="9"/>
      <c r="LL957" s="9"/>
      <c r="LM957" s="9"/>
      <c r="LN957" s="9"/>
      <c r="LO957" s="9"/>
      <c r="LP957" s="9"/>
      <c r="LQ957" s="9"/>
      <c r="LR957" s="9"/>
      <c r="LS957" s="9"/>
      <c r="LT957" s="9"/>
      <c r="LU957" s="9"/>
      <c r="LV957" s="9"/>
      <c r="LW957" s="9"/>
      <c r="LX957" s="9"/>
      <c r="LY957" s="9"/>
      <c r="LZ957" s="9"/>
      <c r="MA957" s="9"/>
      <c r="MB957" s="9"/>
      <c r="MC957" s="9"/>
      <c r="MD957" s="9"/>
      <c r="ME957" s="9"/>
      <c r="MF957" s="9"/>
      <c r="MG957" s="9"/>
      <c r="MH957" s="9"/>
      <c r="MI957" s="9"/>
      <c r="MJ957" s="9"/>
      <c r="MK957" s="9"/>
      <c r="ML957" s="9"/>
      <c r="MM957" s="9"/>
      <c r="MN957" s="9"/>
      <c r="MO957" s="9"/>
      <c r="MP957" s="9"/>
      <c r="MQ957" s="9"/>
      <c r="MR957" s="9"/>
      <c r="MS957" s="9"/>
      <c r="MT957" s="9"/>
      <c r="MU957" s="9"/>
      <c r="MV957" s="9"/>
      <c r="MW957" s="9"/>
      <c r="MX957" s="9"/>
      <c r="MY957" s="9"/>
      <c r="MZ957" s="9"/>
      <c r="NA957" s="9"/>
      <c r="NB957" s="9"/>
      <c r="NC957" s="9"/>
      <c r="ND957" s="9"/>
      <c r="NE957" s="9"/>
      <c r="NF957" s="9"/>
      <c r="NG957" s="9"/>
      <c r="NH957" s="9"/>
      <c r="NI957" s="9"/>
      <c r="NJ957" s="9"/>
      <c r="NK957" s="9"/>
      <c r="NL957" s="9"/>
      <c r="NM957" s="9"/>
      <c r="NN957" s="9"/>
      <c r="NO957" s="9"/>
      <c r="NP957" s="9"/>
      <c r="NQ957" s="9"/>
      <c r="NR957" s="9"/>
      <c r="NS957" s="9"/>
      <c r="NT957" s="9"/>
      <c r="NU957" s="9"/>
      <c r="NV957" s="9"/>
      <c r="NW957" s="9"/>
      <c r="NX957" s="9"/>
      <c r="NY957" s="9"/>
      <c r="NZ957" s="9"/>
      <c r="OA957" s="9"/>
      <c r="OB957" s="9"/>
      <c r="OC957" s="9"/>
      <c r="OD957" s="9"/>
      <c r="OE957" s="9"/>
      <c r="OF957" s="9"/>
      <c r="OG957" s="9"/>
      <c r="OH957" s="9"/>
      <c r="OI957" s="9"/>
      <c r="OJ957" s="9"/>
      <c r="OK957" s="9"/>
      <c r="OL957" s="9"/>
      <c r="OM957" s="9"/>
      <c r="ON957" s="9"/>
      <c r="OO957" s="9"/>
      <c r="OP957" s="9"/>
      <c r="OQ957" s="9"/>
      <c r="OR957" s="9"/>
      <c r="OS957" s="9"/>
      <c r="OT957" s="9"/>
      <c r="OU957" s="9"/>
      <c r="OV957" s="9"/>
      <c r="OW957" s="9"/>
      <c r="OX957" s="9"/>
      <c r="OY957" s="9"/>
      <c r="OZ957" s="9"/>
      <c r="PA957" s="9"/>
      <c r="PB957" s="9"/>
      <c r="PC957" s="9"/>
      <c r="PD957" s="9"/>
      <c r="PE957" s="9"/>
      <c r="PF957" s="9"/>
      <c r="PG957" s="9"/>
      <c r="PH957" s="9"/>
      <c r="PI957" s="9"/>
      <c r="PJ957" s="9"/>
      <c r="PK957" s="9"/>
      <c r="PL957" s="9"/>
      <c r="PM957" s="9"/>
      <c r="PN957" s="9"/>
      <c r="PO957" s="9"/>
      <c r="PP957" s="9"/>
      <c r="PQ957" s="9"/>
      <c r="PR957" s="9"/>
      <c r="PS957" s="9"/>
      <c r="PT957" s="9"/>
      <c r="PU957" s="9"/>
      <c r="PV957" s="9"/>
      <c r="PW957" s="9"/>
      <c r="PX957" s="9"/>
      <c r="PY957" s="9"/>
      <c r="PZ957" s="9"/>
      <c r="QA957" s="9"/>
      <c r="QB957" s="9"/>
      <c r="QC957" s="9"/>
      <c r="QD957" s="9"/>
      <c r="QE957" s="9"/>
      <c r="QF957" s="9"/>
      <c r="QG957" s="9"/>
      <c r="QH957" s="9"/>
      <c r="QI957" s="9"/>
      <c r="QJ957" s="9"/>
      <c r="QK957" s="9"/>
      <c r="QL957" s="9"/>
      <c r="QM957" s="9"/>
      <c r="QN957" s="9"/>
      <c r="QO957" s="9"/>
      <c r="QP957" s="9"/>
      <c r="QQ957" s="9"/>
      <c r="QR957" s="9"/>
      <c r="QS957" s="9"/>
      <c r="QT957" s="9"/>
      <c r="QU957" s="9"/>
      <c r="QV957" s="9"/>
      <c r="QW957" s="9"/>
      <c r="QX957" s="9"/>
      <c r="QY957" s="9"/>
      <c r="QZ957" s="9"/>
      <c r="RA957" s="9"/>
      <c r="RB957" s="9"/>
      <c r="RC957" s="9"/>
      <c r="RD957" s="9"/>
      <c r="RE957" s="9"/>
      <c r="RF957" s="9"/>
      <c r="RG957" s="9"/>
      <c r="RH957" s="9"/>
      <c r="RI957" s="9"/>
      <c r="RJ957" s="9"/>
      <c r="RK957" s="9"/>
      <c r="RL957" s="9"/>
      <c r="RM957" s="9"/>
      <c r="RN957" s="9"/>
      <c r="RO957" s="9"/>
      <c r="RP957" s="9"/>
      <c r="RQ957" s="9"/>
      <c r="RR957" s="9"/>
      <c r="RS957" s="9"/>
      <c r="RT957" s="9"/>
      <c r="RU957" s="9"/>
      <c r="RV957" s="9"/>
      <c r="RW957" s="9"/>
      <c r="RX957" s="9"/>
      <c r="RY957" s="9"/>
      <c r="RZ957" s="9"/>
      <c r="SA957" s="9"/>
      <c r="SB957" s="9"/>
      <c r="SC957" s="9"/>
      <c r="SD957" s="9"/>
      <c r="SE957" s="9"/>
      <c r="SF957" s="9"/>
      <c r="SG957" s="9"/>
      <c r="SH957" s="9"/>
      <c r="SI957" s="9"/>
      <c r="SJ957" s="9"/>
      <c r="SK957" s="9"/>
      <c r="SL957" s="9"/>
      <c r="SM957" s="9"/>
      <c r="SN957" s="9"/>
      <c r="SO957" s="9"/>
      <c r="SP957" s="9"/>
      <c r="SQ957" s="9"/>
      <c r="SR957" s="9"/>
      <c r="SS957" s="9"/>
      <c r="ST957" s="9"/>
      <c r="SU957" s="9"/>
      <c r="SV957" s="9"/>
      <c r="SW957" s="9"/>
      <c r="SX957" s="9"/>
      <c r="SY957" s="9"/>
      <c r="SZ957" s="9"/>
      <c r="TA957" s="9"/>
      <c r="TB957" s="9"/>
      <c r="TC957" s="9"/>
      <c r="TD957" s="9"/>
      <c r="TE957" s="9"/>
      <c r="TF957" s="9"/>
      <c r="TG957" s="9"/>
      <c r="TH957" s="9"/>
      <c r="TI957" s="9"/>
      <c r="TJ957" s="9"/>
      <c r="TK957" s="9"/>
      <c r="TL957" s="9"/>
      <c r="TM957" s="9"/>
      <c r="TN957" s="9"/>
      <c r="TO957" s="9"/>
      <c r="TP957" s="9"/>
      <c r="TQ957" s="9"/>
      <c r="TR957" s="9"/>
      <c r="TS957" s="9"/>
      <c r="TT957" s="9"/>
      <c r="TU957" s="9"/>
      <c r="TV957" s="9"/>
      <c r="TW957" s="9"/>
      <c r="TX957" s="9"/>
      <c r="TY957" s="9"/>
      <c r="TZ957" s="9"/>
      <c r="UA957" s="9"/>
      <c r="UB957" s="9"/>
      <c r="UC957" s="9"/>
      <c r="UD957" s="9"/>
      <c r="UE957" s="9"/>
      <c r="UF957" s="9"/>
      <c r="UG957" s="9"/>
      <c r="UH957" s="9"/>
      <c r="UI957" s="9"/>
      <c r="UJ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9"/>
      <c r="FP958" s="9"/>
      <c r="FQ958" s="9"/>
      <c r="FR958" s="9"/>
      <c r="FS958" s="9"/>
      <c r="FT958" s="9"/>
      <c r="FU958" s="9"/>
      <c r="FV958" s="9"/>
      <c r="FW958" s="9"/>
      <c r="FX958" s="9"/>
      <c r="FY958" s="9"/>
      <c r="FZ958" s="9"/>
      <c r="GA958" s="9"/>
      <c r="GB958" s="9"/>
      <c r="GC958" s="9"/>
      <c r="GD958" s="9"/>
      <c r="GE958" s="9"/>
      <c r="GF958" s="9"/>
      <c r="GG958" s="9"/>
      <c r="GH958" s="9"/>
      <c r="GI958" s="9"/>
      <c r="GJ958" s="9"/>
      <c r="GK958" s="9"/>
      <c r="GL958" s="9"/>
      <c r="GM958" s="9"/>
      <c r="GN958" s="9"/>
      <c r="GO958" s="9"/>
      <c r="GP958" s="9"/>
      <c r="GQ958" s="9"/>
      <c r="GR958" s="9"/>
      <c r="GS958" s="9"/>
      <c r="GT958" s="9"/>
      <c r="GU958" s="9"/>
      <c r="GV958" s="9"/>
      <c r="GW958" s="9"/>
      <c r="GX958" s="9"/>
      <c r="GY958" s="9"/>
      <c r="GZ958" s="9"/>
      <c r="HA958" s="9"/>
      <c r="HB958" s="9"/>
      <c r="HC958" s="9"/>
      <c r="HD958" s="9"/>
      <c r="HE958" s="9"/>
      <c r="HF958" s="9"/>
      <c r="HG958" s="9"/>
      <c r="HH958" s="9"/>
      <c r="HI958" s="9"/>
      <c r="HJ958" s="9"/>
      <c r="HK958" s="9"/>
      <c r="HL958" s="9"/>
      <c r="HM958" s="9"/>
      <c r="HN958" s="9"/>
      <c r="HO958" s="9"/>
      <c r="HP958" s="9"/>
      <c r="HQ958" s="9"/>
      <c r="HR958" s="9"/>
      <c r="HS958" s="9"/>
      <c r="HT958" s="9"/>
      <c r="HU958" s="9"/>
      <c r="HV958" s="9"/>
      <c r="HW958" s="9"/>
      <c r="HX958" s="9"/>
      <c r="HY958" s="9"/>
      <c r="HZ958" s="9"/>
      <c r="IA958" s="9"/>
      <c r="IB958" s="9"/>
      <c r="IC958" s="9"/>
      <c r="ID958" s="9"/>
      <c r="IE958" s="9"/>
      <c r="IF958" s="9"/>
      <c r="IG958" s="9"/>
      <c r="IH958" s="9"/>
      <c r="II958" s="9"/>
      <c r="IJ958" s="9"/>
      <c r="IK958" s="9"/>
      <c r="IL958" s="9"/>
      <c r="IM958" s="9"/>
      <c r="IN958" s="9"/>
      <c r="IO958" s="9"/>
      <c r="IP958" s="9"/>
      <c r="IQ958" s="9"/>
      <c r="IR958" s="9"/>
      <c r="IS958" s="9"/>
      <c r="IT958" s="9"/>
      <c r="IU958" s="9"/>
      <c r="IV958" s="9"/>
      <c r="IW958" s="9"/>
      <c r="IX958" s="9"/>
      <c r="IY958" s="9"/>
      <c r="IZ958" s="9"/>
      <c r="JA958" s="9"/>
      <c r="JB958" s="9"/>
      <c r="JC958" s="9"/>
      <c r="JD958" s="9"/>
      <c r="JE958" s="9"/>
      <c r="JF958" s="9"/>
      <c r="JG958" s="9"/>
      <c r="JH958" s="9"/>
      <c r="JI958" s="9"/>
      <c r="JJ958" s="9"/>
      <c r="JK958" s="9"/>
      <c r="JL958" s="9"/>
      <c r="JM958" s="9"/>
      <c r="JN958" s="9"/>
      <c r="JO958" s="9"/>
      <c r="JP958" s="9"/>
      <c r="JQ958" s="9"/>
      <c r="JR958" s="9"/>
      <c r="JS958" s="9"/>
      <c r="JT958" s="9"/>
      <c r="JU958" s="9"/>
      <c r="JV958" s="9"/>
      <c r="JW958" s="9"/>
      <c r="JX958" s="9"/>
      <c r="JY958" s="9"/>
      <c r="JZ958" s="9"/>
      <c r="KA958" s="9"/>
      <c r="KB958" s="9"/>
      <c r="KC958" s="9"/>
      <c r="KD958" s="9"/>
      <c r="KE958" s="9"/>
      <c r="KF958" s="9"/>
      <c r="KG958" s="9"/>
      <c r="KH958" s="9"/>
      <c r="KI958" s="9"/>
      <c r="KJ958" s="9"/>
      <c r="KK958" s="9"/>
      <c r="KL958" s="9"/>
      <c r="KM958" s="9"/>
      <c r="KN958" s="9"/>
      <c r="KO958" s="9"/>
      <c r="KP958" s="9"/>
      <c r="KQ958" s="9"/>
      <c r="KR958" s="9"/>
      <c r="KS958" s="9"/>
      <c r="KT958" s="9"/>
      <c r="KU958" s="9"/>
      <c r="KV958" s="9"/>
      <c r="KW958" s="9"/>
      <c r="KX958" s="9"/>
      <c r="KY958" s="9"/>
      <c r="KZ958" s="9"/>
      <c r="LA958" s="9"/>
      <c r="LB958" s="9"/>
      <c r="LC958" s="9"/>
      <c r="LD958" s="9"/>
      <c r="LE958" s="9"/>
      <c r="LF958" s="9"/>
      <c r="LG958" s="9"/>
      <c r="LH958" s="9"/>
      <c r="LI958" s="9"/>
      <c r="LJ958" s="9"/>
      <c r="LK958" s="9"/>
      <c r="LL958" s="9"/>
      <c r="LM958" s="9"/>
      <c r="LN958" s="9"/>
      <c r="LO958" s="9"/>
      <c r="LP958" s="9"/>
      <c r="LQ958" s="9"/>
      <c r="LR958" s="9"/>
      <c r="LS958" s="9"/>
      <c r="LT958" s="9"/>
      <c r="LU958" s="9"/>
      <c r="LV958" s="9"/>
      <c r="LW958" s="9"/>
      <c r="LX958" s="9"/>
      <c r="LY958" s="9"/>
      <c r="LZ958" s="9"/>
      <c r="MA958" s="9"/>
      <c r="MB958" s="9"/>
      <c r="MC958" s="9"/>
      <c r="MD958" s="9"/>
      <c r="ME958" s="9"/>
      <c r="MF958" s="9"/>
      <c r="MG958" s="9"/>
      <c r="MH958" s="9"/>
      <c r="MI958" s="9"/>
      <c r="MJ958" s="9"/>
      <c r="MK958" s="9"/>
      <c r="ML958" s="9"/>
      <c r="MM958" s="9"/>
      <c r="MN958" s="9"/>
      <c r="MO958" s="9"/>
      <c r="MP958" s="9"/>
      <c r="MQ958" s="9"/>
      <c r="MR958" s="9"/>
      <c r="MS958" s="9"/>
      <c r="MT958" s="9"/>
      <c r="MU958" s="9"/>
      <c r="MV958" s="9"/>
      <c r="MW958" s="9"/>
      <c r="MX958" s="9"/>
      <c r="MY958" s="9"/>
      <c r="MZ958" s="9"/>
      <c r="NA958" s="9"/>
      <c r="NB958" s="9"/>
      <c r="NC958" s="9"/>
      <c r="ND958" s="9"/>
      <c r="NE958" s="9"/>
      <c r="NF958" s="9"/>
      <c r="NG958" s="9"/>
      <c r="NH958" s="9"/>
      <c r="NI958" s="9"/>
      <c r="NJ958" s="9"/>
      <c r="NK958" s="9"/>
      <c r="NL958" s="9"/>
      <c r="NM958" s="9"/>
      <c r="NN958" s="9"/>
      <c r="NO958" s="9"/>
      <c r="NP958" s="9"/>
      <c r="NQ958" s="9"/>
      <c r="NR958" s="9"/>
      <c r="NS958" s="9"/>
      <c r="NT958" s="9"/>
      <c r="NU958" s="9"/>
      <c r="NV958" s="9"/>
      <c r="NW958" s="9"/>
      <c r="NX958" s="9"/>
      <c r="NY958" s="9"/>
      <c r="NZ958" s="9"/>
      <c r="OA958" s="9"/>
      <c r="OB958" s="9"/>
      <c r="OC958" s="9"/>
      <c r="OD958" s="9"/>
      <c r="OE958" s="9"/>
      <c r="OF958" s="9"/>
      <c r="OG958" s="9"/>
      <c r="OH958" s="9"/>
      <c r="OI958" s="9"/>
      <c r="OJ958" s="9"/>
      <c r="OK958" s="9"/>
      <c r="OL958" s="9"/>
      <c r="OM958" s="9"/>
      <c r="ON958" s="9"/>
      <c r="OO958" s="9"/>
      <c r="OP958" s="9"/>
      <c r="OQ958" s="9"/>
      <c r="OR958" s="9"/>
      <c r="OS958" s="9"/>
      <c r="OT958" s="9"/>
      <c r="OU958" s="9"/>
      <c r="OV958" s="9"/>
      <c r="OW958" s="9"/>
      <c r="OX958" s="9"/>
      <c r="OY958" s="9"/>
      <c r="OZ958" s="9"/>
      <c r="PA958" s="9"/>
      <c r="PB958" s="9"/>
      <c r="PC958" s="9"/>
      <c r="PD958" s="9"/>
      <c r="PE958" s="9"/>
      <c r="PF958" s="9"/>
      <c r="PG958" s="9"/>
      <c r="PH958" s="9"/>
      <c r="PI958" s="9"/>
      <c r="PJ958" s="9"/>
      <c r="PK958" s="9"/>
      <c r="PL958" s="9"/>
      <c r="PM958" s="9"/>
      <c r="PN958" s="9"/>
      <c r="PO958" s="9"/>
      <c r="PP958" s="9"/>
      <c r="PQ958" s="9"/>
      <c r="PR958" s="9"/>
      <c r="PS958" s="9"/>
      <c r="PT958" s="9"/>
      <c r="PU958" s="9"/>
      <c r="PV958" s="9"/>
      <c r="PW958" s="9"/>
      <c r="PX958" s="9"/>
      <c r="PY958" s="9"/>
      <c r="PZ958" s="9"/>
      <c r="QA958" s="9"/>
      <c r="QB958" s="9"/>
      <c r="QC958" s="9"/>
      <c r="QD958" s="9"/>
      <c r="QE958" s="9"/>
      <c r="QF958" s="9"/>
      <c r="QG958" s="9"/>
      <c r="QH958" s="9"/>
      <c r="QI958" s="9"/>
      <c r="QJ958" s="9"/>
      <c r="QK958" s="9"/>
      <c r="QL958" s="9"/>
      <c r="QM958" s="9"/>
      <c r="QN958" s="9"/>
      <c r="QO958" s="9"/>
      <c r="QP958" s="9"/>
      <c r="QQ958" s="9"/>
      <c r="QR958" s="9"/>
      <c r="QS958" s="9"/>
      <c r="QT958" s="9"/>
      <c r="QU958" s="9"/>
      <c r="QV958" s="9"/>
      <c r="QW958" s="9"/>
      <c r="QX958" s="9"/>
      <c r="QY958" s="9"/>
      <c r="QZ958" s="9"/>
      <c r="RA958" s="9"/>
      <c r="RB958" s="9"/>
      <c r="RC958" s="9"/>
      <c r="RD958" s="9"/>
      <c r="RE958" s="9"/>
      <c r="RF958" s="9"/>
      <c r="RG958" s="9"/>
      <c r="RH958" s="9"/>
      <c r="RI958" s="9"/>
      <c r="RJ958" s="9"/>
      <c r="RK958" s="9"/>
      <c r="RL958" s="9"/>
      <c r="RM958" s="9"/>
      <c r="RN958" s="9"/>
      <c r="RO958" s="9"/>
      <c r="RP958" s="9"/>
      <c r="RQ958" s="9"/>
      <c r="RR958" s="9"/>
      <c r="RS958" s="9"/>
      <c r="RT958" s="9"/>
      <c r="RU958" s="9"/>
      <c r="RV958" s="9"/>
      <c r="RW958" s="9"/>
      <c r="RX958" s="9"/>
      <c r="RY958" s="9"/>
      <c r="RZ958" s="9"/>
      <c r="SA958" s="9"/>
      <c r="SB958" s="9"/>
      <c r="SC958" s="9"/>
      <c r="SD958" s="9"/>
      <c r="SE958" s="9"/>
      <c r="SF958" s="9"/>
      <c r="SG958" s="9"/>
      <c r="SH958" s="9"/>
      <c r="SI958" s="9"/>
      <c r="SJ958" s="9"/>
      <c r="SK958" s="9"/>
      <c r="SL958" s="9"/>
      <c r="SM958" s="9"/>
      <c r="SN958" s="9"/>
      <c r="SO958" s="9"/>
      <c r="SP958" s="9"/>
      <c r="SQ958" s="9"/>
      <c r="SR958" s="9"/>
      <c r="SS958" s="9"/>
      <c r="ST958" s="9"/>
      <c r="SU958" s="9"/>
      <c r="SV958" s="9"/>
      <c r="SW958" s="9"/>
      <c r="SX958" s="9"/>
      <c r="SY958" s="9"/>
      <c r="SZ958" s="9"/>
      <c r="TA958" s="9"/>
      <c r="TB958" s="9"/>
      <c r="TC958" s="9"/>
      <c r="TD958" s="9"/>
      <c r="TE958" s="9"/>
      <c r="TF958" s="9"/>
      <c r="TG958" s="9"/>
      <c r="TH958" s="9"/>
      <c r="TI958" s="9"/>
      <c r="TJ958" s="9"/>
      <c r="TK958" s="9"/>
      <c r="TL958" s="9"/>
      <c r="TM958" s="9"/>
      <c r="TN958" s="9"/>
      <c r="TO958" s="9"/>
      <c r="TP958" s="9"/>
      <c r="TQ958" s="9"/>
      <c r="TR958" s="9"/>
      <c r="TS958" s="9"/>
      <c r="TT958" s="9"/>
      <c r="TU958" s="9"/>
      <c r="TV958" s="9"/>
      <c r="TW958" s="9"/>
      <c r="TX958" s="9"/>
      <c r="TY958" s="9"/>
      <c r="TZ958" s="9"/>
      <c r="UA958" s="9"/>
      <c r="UB958" s="9"/>
      <c r="UC958" s="9"/>
      <c r="UD958" s="9"/>
      <c r="UE958" s="9"/>
      <c r="UF958" s="9"/>
      <c r="UG958" s="9"/>
      <c r="UH958" s="9"/>
      <c r="UI958" s="9"/>
      <c r="UJ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/>
      <c r="FJ959" s="9"/>
      <c r="FK959" s="9"/>
      <c r="FL959" s="9"/>
      <c r="FM959" s="9"/>
      <c r="FN959" s="9"/>
      <c r="FO959" s="9"/>
      <c r="FP959" s="9"/>
      <c r="FQ959" s="9"/>
      <c r="FR959" s="9"/>
      <c r="FS959" s="9"/>
      <c r="FT959" s="9"/>
      <c r="FU959" s="9"/>
      <c r="FV959" s="9"/>
      <c r="FW959" s="9"/>
      <c r="FX959" s="9"/>
      <c r="FY959" s="9"/>
      <c r="FZ959" s="9"/>
      <c r="GA959" s="9"/>
      <c r="GB959" s="9"/>
      <c r="GC959" s="9"/>
      <c r="GD959" s="9"/>
      <c r="GE959" s="9"/>
      <c r="GF959" s="9"/>
      <c r="GG959" s="9"/>
      <c r="GH959" s="9"/>
      <c r="GI959" s="9"/>
      <c r="GJ959" s="9"/>
      <c r="GK959" s="9"/>
      <c r="GL959" s="9"/>
      <c r="GM959" s="9"/>
      <c r="GN959" s="9"/>
      <c r="GO959" s="9"/>
      <c r="GP959" s="9"/>
      <c r="GQ959" s="9"/>
      <c r="GR959" s="9"/>
      <c r="GS959" s="9"/>
      <c r="GT959" s="9"/>
      <c r="GU959" s="9"/>
      <c r="GV959" s="9"/>
      <c r="GW959" s="9"/>
      <c r="GX959" s="9"/>
      <c r="GY959" s="9"/>
      <c r="GZ959" s="9"/>
      <c r="HA959" s="9"/>
      <c r="HB959" s="9"/>
      <c r="HC959" s="9"/>
      <c r="HD959" s="9"/>
      <c r="HE959" s="9"/>
      <c r="HF959" s="9"/>
      <c r="HG959" s="9"/>
      <c r="HH959" s="9"/>
      <c r="HI959" s="9"/>
      <c r="HJ959" s="9"/>
      <c r="HK959" s="9"/>
      <c r="HL959" s="9"/>
      <c r="HM959" s="9"/>
      <c r="HN959" s="9"/>
      <c r="HO959" s="9"/>
      <c r="HP959" s="9"/>
      <c r="HQ959" s="9"/>
      <c r="HR959" s="9"/>
      <c r="HS959" s="9"/>
      <c r="HT959" s="9"/>
      <c r="HU959" s="9"/>
      <c r="HV959" s="9"/>
      <c r="HW959" s="9"/>
      <c r="HX959" s="9"/>
      <c r="HY959" s="9"/>
      <c r="HZ959" s="9"/>
      <c r="IA959" s="9"/>
      <c r="IB959" s="9"/>
      <c r="IC959" s="9"/>
      <c r="ID959" s="9"/>
      <c r="IE959" s="9"/>
      <c r="IF959" s="9"/>
      <c r="IG959" s="9"/>
      <c r="IH959" s="9"/>
      <c r="II959" s="9"/>
      <c r="IJ959" s="9"/>
      <c r="IK959" s="9"/>
      <c r="IL959" s="9"/>
      <c r="IM959" s="9"/>
      <c r="IN959" s="9"/>
      <c r="IO959" s="9"/>
      <c r="IP959" s="9"/>
      <c r="IQ959" s="9"/>
      <c r="IR959" s="9"/>
      <c r="IS959" s="9"/>
      <c r="IT959" s="9"/>
      <c r="IU959" s="9"/>
      <c r="IV959" s="9"/>
      <c r="IW959" s="9"/>
      <c r="IX959" s="9"/>
      <c r="IY959" s="9"/>
      <c r="IZ959" s="9"/>
      <c r="JA959" s="9"/>
      <c r="JB959" s="9"/>
      <c r="JC959" s="9"/>
      <c r="JD959" s="9"/>
      <c r="JE959" s="9"/>
      <c r="JF959" s="9"/>
      <c r="JG959" s="9"/>
      <c r="JH959" s="9"/>
      <c r="JI959" s="9"/>
      <c r="JJ959" s="9"/>
      <c r="JK959" s="9"/>
      <c r="JL959" s="9"/>
      <c r="JM959" s="9"/>
      <c r="JN959" s="9"/>
      <c r="JO959" s="9"/>
      <c r="JP959" s="9"/>
      <c r="JQ959" s="9"/>
      <c r="JR959" s="9"/>
      <c r="JS959" s="9"/>
      <c r="JT959" s="9"/>
      <c r="JU959" s="9"/>
      <c r="JV959" s="9"/>
      <c r="JW959" s="9"/>
      <c r="JX959" s="9"/>
      <c r="JY959" s="9"/>
      <c r="JZ959" s="9"/>
      <c r="KA959" s="9"/>
      <c r="KB959" s="9"/>
      <c r="KC959" s="9"/>
      <c r="KD959" s="9"/>
      <c r="KE959" s="9"/>
      <c r="KF959" s="9"/>
      <c r="KG959" s="9"/>
      <c r="KH959" s="9"/>
      <c r="KI959" s="9"/>
      <c r="KJ959" s="9"/>
      <c r="KK959" s="9"/>
      <c r="KL959" s="9"/>
      <c r="KM959" s="9"/>
      <c r="KN959" s="9"/>
      <c r="KO959" s="9"/>
      <c r="KP959" s="9"/>
      <c r="KQ959" s="9"/>
      <c r="KR959" s="9"/>
      <c r="KS959" s="9"/>
      <c r="KT959" s="9"/>
      <c r="KU959" s="9"/>
      <c r="KV959" s="9"/>
      <c r="KW959" s="9"/>
      <c r="KX959" s="9"/>
      <c r="KY959" s="9"/>
      <c r="KZ959" s="9"/>
      <c r="LA959" s="9"/>
      <c r="LB959" s="9"/>
      <c r="LC959" s="9"/>
      <c r="LD959" s="9"/>
      <c r="LE959" s="9"/>
      <c r="LF959" s="9"/>
      <c r="LG959" s="9"/>
      <c r="LH959" s="9"/>
      <c r="LI959" s="9"/>
      <c r="LJ959" s="9"/>
      <c r="LK959" s="9"/>
      <c r="LL959" s="9"/>
      <c r="LM959" s="9"/>
      <c r="LN959" s="9"/>
      <c r="LO959" s="9"/>
      <c r="LP959" s="9"/>
      <c r="LQ959" s="9"/>
      <c r="LR959" s="9"/>
      <c r="LS959" s="9"/>
      <c r="LT959" s="9"/>
      <c r="LU959" s="9"/>
      <c r="LV959" s="9"/>
      <c r="LW959" s="9"/>
      <c r="LX959" s="9"/>
      <c r="LY959" s="9"/>
      <c r="LZ959" s="9"/>
      <c r="MA959" s="9"/>
      <c r="MB959" s="9"/>
      <c r="MC959" s="9"/>
      <c r="MD959" s="9"/>
      <c r="ME959" s="9"/>
      <c r="MF959" s="9"/>
      <c r="MG959" s="9"/>
      <c r="MH959" s="9"/>
      <c r="MI959" s="9"/>
      <c r="MJ959" s="9"/>
      <c r="MK959" s="9"/>
      <c r="ML959" s="9"/>
      <c r="MM959" s="9"/>
      <c r="MN959" s="9"/>
      <c r="MO959" s="9"/>
      <c r="MP959" s="9"/>
      <c r="MQ959" s="9"/>
      <c r="MR959" s="9"/>
      <c r="MS959" s="9"/>
      <c r="MT959" s="9"/>
      <c r="MU959" s="9"/>
      <c r="MV959" s="9"/>
      <c r="MW959" s="9"/>
      <c r="MX959" s="9"/>
      <c r="MY959" s="9"/>
      <c r="MZ959" s="9"/>
      <c r="NA959" s="9"/>
      <c r="NB959" s="9"/>
      <c r="NC959" s="9"/>
      <c r="ND959" s="9"/>
      <c r="NE959" s="9"/>
      <c r="NF959" s="9"/>
      <c r="NG959" s="9"/>
      <c r="NH959" s="9"/>
      <c r="NI959" s="9"/>
      <c r="NJ959" s="9"/>
      <c r="NK959" s="9"/>
      <c r="NL959" s="9"/>
      <c r="NM959" s="9"/>
      <c r="NN959" s="9"/>
      <c r="NO959" s="9"/>
      <c r="NP959" s="9"/>
      <c r="NQ959" s="9"/>
      <c r="NR959" s="9"/>
      <c r="NS959" s="9"/>
      <c r="NT959" s="9"/>
      <c r="NU959" s="9"/>
      <c r="NV959" s="9"/>
      <c r="NW959" s="9"/>
      <c r="NX959" s="9"/>
      <c r="NY959" s="9"/>
      <c r="NZ959" s="9"/>
      <c r="OA959" s="9"/>
      <c r="OB959" s="9"/>
      <c r="OC959" s="9"/>
      <c r="OD959" s="9"/>
      <c r="OE959" s="9"/>
      <c r="OF959" s="9"/>
      <c r="OG959" s="9"/>
      <c r="OH959" s="9"/>
      <c r="OI959" s="9"/>
      <c r="OJ959" s="9"/>
      <c r="OK959" s="9"/>
      <c r="OL959" s="9"/>
      <c r="OM959" s="9"/>
      <c r="ON959" s="9"/>
      <c r="OO959" s="9"/>
      <c r="OP959" s="9"/>
      <c r="OQ959" s="9"/>
      <c r="OR959" s="9"/>
      <c r="OS959" s="9"/>
      <c r="OT959" s="9"/>
      <c r="OU959" s="9"/>
      <c r="OV959" s="9"/>
      <c r="OW959" s="9"/>
      <c r="OX959" s="9"/>
      <c r="OY959" s="9"/>
      <c r="OZ959" s="9"/>
      <c r="PA959" s="9"/>
      <c r="PB959" s="9"/>
      <c r="PC959" s="9"/>
      <c r="PD959" s="9"/>
      <c r="PE959" s="9"/>
      <c r="PF959" s="9"/>
      <c r="PG959" s="9"/>
      <c r="PH959" s="9"/>
      <c r="PI959" s="9"/>
      <c r="PJ959" s="9"/>
      <c r="PK959" s="9"/>
      <c r="PL959" s="9"/>
      <c r="PM959" s="9"/>
      <c r="PN959" s="9"/>
      <c r="PO959" s="9"/>
      <c r="PP959" s="9"/>
      <c r="PQ959" s="9"/>
      <c r="PR959" s="9"/>
      <c r="PS959" s="9"/>
      <c r="PT959" s="9"/>
      <c r="PU959" s="9"/>
      <c r="PV959" s="9"/>
      <c r="PW959" s="9"/>
      <c r="PX959" s="9"/>
      <c r="PY959" s="9"/>
      <c r="PZ959" s="9"/>
      <c r="QA959" s="9"/>
      <c r="QB959" s="9"/>
      <c r="QC959" s="9"/>
      <c r="QD959" s="9"/>
      <c r="QE959" s="9"/>
      <c r="QF959" s="9"/>
      <c r="QG959" s="9"/>
      <c r="QH959" s="9"/>
      <c r="QI959" s="9"/>
      <c r="QJ959" s="9"/>
      <c r="QK959" s="9"/>
      <c r="QL959" s="9"/>
      <c r="QM959" s="9"/>
      <c r="QN959" s="9"/>
      <c r="QO959" s="9"/>
      <c r="QP959" s="9"/>
      <c r="QQ959" s="9"/>
      <c r="QR959" s="9"/>
      <c r="QS959" s="9"/>
      <c r="QT959" s="9"/>
      <c r="QU959" s="9"/>
      <c r="QV959" s="9"/>
      <c r="QW959" s="9"/>
      <c r="QX959" s="9"/>
      <c r="QY959" s="9"/>
      <c r="QZ959" s="9"/>
      <c r="RA959" s="9"/>
      <c r="RB959" s="9"/>
      <c r="RC959" s="9"/>
      <c r="RD959" s="9"/>
      <c r="RE959" s="9"/>
      <c r="RF959" s="9"/>
      <c r="RG959" s="9"/>
      <c r="RH959" s="9"/>
      <c r="RI959" s="9"/>
      <c r="RJ959" s="9"/>
      <c r="RK959" s="9"/>
      <c r="RL959" s="9"/>
      <c r="RM959" s="9"/>
      <c r="RN959" s="9"/>
      <c r="RO959" s="9"/>
      <c r="RP959" s="9"/>
      <c r="RQ959" s="9"/>
      <c r="RR959" s="9"/>
      <c r="RS959" s="9"/>
      <c r="RT959" s="9"/>
      <c r="RU959" s="9"/>
      <c r="RV959" s="9"/>
      <c r="RW959" s="9"/>
      <c r="RX959" s="9"/>
      <c r="RY959" s="9"/>
      <c r="RZ959" s="9"/>
      <c r="SA959" s="9"/>
      <c r="SB959" s="9"/>
      <c r="SC959" s="9"/>
      <c r="SD959" s="9"/>
      <c r="SE959" s="9"/>
      <c r="SF959" s="9"/>
      <c r="SG959" s="9"/>
      <c r="SH959" s="9"/>
      <c r="SI959" s="9"/>
      <c r="SJ959" s="9"/>
      <c r="SK959" s="9"/>
      <c r="SL959" s="9"/>
      <c r="SM959" s="9"/>
      <c r="SN959" s="9"/>
      <c r="SO959" s="9"/>
      <c r="SP959" s="9"/>
      <c r="SQ959" s="9"/>
      <c r="SR959" s="9"/>
      <c r="SS959" s="9"/>
      <c r="ST959" s="9"/>
      <c r="SU959" s="9"/>
      <c r="SV959" s="9"/>
      <c r="SW959" s="9"/>
      <c r="SX959" s="9"/>
      <c r="SY959" s="9"/>
      <c r="SZ959" s="9"/>
      <c r="TA959" s="9"/>
      <c r="TB959" s="9"/>
      <c r="TC959" s="9"/>
      <c r="TD959" s="9"/>
      <c r="TE959" s="9"/>
      <c r="TF959" s="9"/>
      <c r="TG959" s="9"/>
      <c r="TH959" s="9"/>
      <c r="TI959" s="9"/>
      <c r="TJ959" s="9"/>
      <c r="TK959" s="9"/>
      <c r="TL959" s="9"/>
      <c r="TM959" s="9"/>
      <c r="TN959" s="9"/>
      <c r="TO959" s="9"/>
      <c r="TP959" s="9"/>
      <c r="TQ959" s="9"/>
      <c r="TR959" s="9"/>
      <c r="TS959" s="9"/>
      <c r="TT959" s="9"/>
      <c r="TU959" s="9"/>
      <c r="TV959" s="9"/>
      <c r="TW959" s="9"/>
      <c r="TX959" s="9"/>
      <c r="TY959" s="9"/>
      <c r="TZ959" s="9"/>
      <c r="UA959" s="9"/>
      <c r="UB959" s="9"/>
      <c r="UC959" s="9"/>
      <c r="UD959" s="9"/>
      <c r="UE959" s="9"/>
      <c r="UF959" s="9"/>
      <c r="UG959" s="9"/>
      <c r="UH959" s="9"/>
      <c r="UI959" s="9"/>
      <c r="UJ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/>
      <c r="FL960" s="9"/>
      <c r="FM960" s="9"/>
      <c r="FN960" s="9"/>
      <c r="FO960" s="9"/>
      <c r="FP960" s="9"/>
      <c r="FQ960" s="9"/>
      <c r="FR960" s="9"/>
      <c r="FS960" s="9"/>
      <c r="FT960" s="9"/>
      <c r="FU960" s="9"/>
      <c r="FV960" s="9"/>
      <c r="FW960" s="9"/>
      <c r="FX960" s="9"/>
      <c r="FY960" s="9"/>
      <c r="FZ960" s="9"/>
      <c r="GA960" s="9"/>
      <c r="GB960" s="9"/>
      <c r="GC960" s="9"/>
      <c r="GD960" s="9"/>
      <c r="GE960" s="9"/>
      <c r="GF960" s="9"/>
      <c r="GG960" s="9"/>
      <c r="GH960" s="9"/>
      <c r="GI960" s="9"/>
      <c r="GJ960" s="9"/>
      <c r="GK960" s="9"/>
      <c r="GL960" s="9"/>
      <c r="GM960" s="9"/>
      <c r="GN960" s="9"/>
      <c r="GO960" s="9"/>
      <c r="GP960" s="9"/>
      <c r="GQ960" s="9"/>
      <c r="GR960" s="9"/>
      <c r="GS960" s="9"/>
      <c r="GT960" s="9"/>
      <c r="GU960" s="9"/>
      <c r="GV960" s="9"/>
      <c r="GW960" s="9"/>
      <c r="GX960" s="9"/>
      <c r="GY960" s="9"/>
      <c r="GZ960" s="9"/>
      <c r="HA960" s="9"/>
      <c r="HB960" s="9"/>
      <c r="HC960" s="9"/>
      <c r="HD960" s="9"/>
      <c r="HE960" s="9"/>
      <c r="HF960" s="9"/>
      <c r="HG960" s="9"/>
      <c r="HH960" s="9"/>
      <c r="HI960" s="9"/>
      <c r="HJ960" s="9"/>
      <c r="HK960" s="9"/>
      <c r="HL960" s="9"/>
      <c r="HM960" s="9"/>
      <c r="HN960" s="9"/>
      <c r="HO960" s="9"/>
      <c r="HP960" s="9"/>
      <c r="HQ960" s="9"/>
      <c r="HR960" s="9"/>
      <c r="HS960" s="9"/>
      <c r="HT960" s="9"/>
      <c r="HU960" s="9"/>
      <c r="HV960" s="9"/>
      <c r="HW960" s="9"/>
      <c r="HX960" s="9"/>
      <c r="HY960" s="9"/>
      <c r="HZ960" s="9"/>
      <c r="IA960" s="9"/>
      <c r="IB960" s="9"/>
      <c r="IC960" s="9"/>
      <c r="ID960" s="9"/>
      <c r="IE960" s="9"/>
      <c r="IF960" s="9"/>
      <c r="IG960" s="9"/>
      <c r="IH960" s="9"/>
      <c r="II960" s="9"/>
      <c r="IJ960" s="9"/>
      <c r="IK960" s="9"/>
      <c r="IL960" s="9"/>
      <c r="IM960" s="9"/>
      <c r="IN960" s="9"/>
      <c r="IO960" s="9"/>
      <c r="IP960" s="9"/>
      <c r="IQ960" s="9"/>
      <c r="IR960" s="9"/>
      <c r="IS960" s="9"/>
      <c r="IT960" s="9"/>
      <c r="IU960" s="9"/>
      <c r="IV960" s="9"/>
      <c r="IW960" s="9"/>
      <c r="IX960" s="9"/>
      <c r="IY960" s="9"/>
      <c r="IZ960" s="9"/>
      <c r="JA960" s="9"/>
      <c r="JB960" s="9"/>
      <c r="JC960" s="9"/>
      <c r="JD960" s="9"/>
      <c r="JE960" s="9"/>
      <c r="JF960" s="9"/>
      <c r="JG960" s="9"/>
      <c r="JH960" s="9"/>
      <c r="JI960" s="9"/>
      <c r="JJ960" s="9"/>
      <c r="JK960" s="9"/>
      <c r="JL960" s="9"/>
      <c r="JM960" s="9"/>
      <c r="JN960" s="9"/>
      <c r="JO960" s="9"/>
      <c r="JP960" s="9"/>
      <c r="JQ960" s="9"/>
      <c r="JR960" s="9"/>
      <c r="JS960" s="9"/>
      <c r="JT960" s="9"/>
      <c r="JU960" s="9"/>
      <c r="JV960" s="9"/>
      <c r="JW960" s="9"/>
      <c r="JX960" s="9"/>
      <c r="JY960" s="9"/>
      <c r="JZ960" s="9"/>
      <c r="KA960" s="9"/>
      <c r="KB960" s="9"/>
      <c r="KC960" s="9"/>
      <c r="KD960" s="9"/>
      <c r="KE960" s="9"/>
      <c r="KF960" s="9"/>
      <c r="KG960" s="9"/>
      <c r="KH960" s="9"/>
      <c r="KI960" s="9"/>
      <c r="KJ960" s="9"/>
      <c r="KK960" s="9"/>
      <c r="KL960" s="9"/>
      <c r="KM960" s="9"/>
      <c r="KN960" s="9"/>
      <c r="KO960" s="9"/>
      <c r="KP960" s="9"/>
      <c r="KQ960" s="9"/>
      <c r="KR960" s="9"/>
      <c r="KS960" s="9"/>
      <c r="KT960" s="9"/>
      <c r="KU960" s="9"/>
      <c r="KV960" s="9"/>
      <c r="KW960" s="9"/>
      <c r="KX960" s="9"/>
      <c r="KY960" s="9"/>
      <c r="KZ960" s="9"/>
      <c r="LA960" s="9"/>
      <c r="LB960" s="9"/>
      <c r="LC960" s="9"/>
      <c r="LD960" s="9"/>
      <c r="LE960" s="9"/>
      <c r="LF960" s="9"/>
      <c r="LG960" s="9"/>
      <c r="LH960" s="9"/>
      <c r="LI960" s="9"/>
      <c r="LJ960" s="9"/>
      <c r="LK960" s="9"/>
      <c r="LL960" s="9"/>
      <c r="LM960" s="9"/>
      <c r="LN960" s="9"/>
      <c r="LO960" s="9"/>
      <c r="LP960" s="9"/>
      <c r="LQ960" s="9"/>
      <c r="LR960" s="9"/>
      <c r="LS960" s="9"/>
      <c r="LT960" s="9"/>
      <c r="LU960" s="9"/>
      <c r="LV960" s="9"/>
      <c r="LW960" s="9"/>
      <c r="LX960" s="9"/>
      <c r="LY960" s="9"/>
      <c r="LZ960" s="9"/>
      <c r="MA960" s="9"/>
      <c r="MB960" s="9"/>
      <c r="MC960" s="9"/>
      <c r="MD960" s="9"/>
      <c r="ME960" s="9"/>
      <c r="MF960" s="9"/>
      <c r="MG960" s="9"/>
      <c r="MH960" s="9"/>
      <c r="MI960" s="9"/>
      <c r="MJ960" s="9"/>
      <c r="MK960" s="9"/>
      <c r="ML960" s="9"/>
      <c r="MM960" s="9"/>
      <c r="MN960" s="9"/>
      <c r="MO960" s="9"/>
      <c r="MP960" s="9"/>
      <c r="MQ960" s="9"/>
      <c r="MR960" s="9"/>
      <c r="MS960" s="9"/>
      <c r="MT960" s="9"/>
      <c r="MU960" s="9"/>
      <c r="MV960" s="9"/>
      <c r="MW960" s="9"/>
      <c r="MX960" s="9"/>
      <c r="MY960" s="9"/>
      <c r="MZ960" s="9"/>
      <c r="NA960" s="9"/>
      <c r="NB960" s="9"/>
      <c r="NC960" s="9"/>
      <c r="ND960" s="9"/>
      <c r="NE960" s="9"/>
      <c r="NF960" s="9"/>
      <c r="NG960" s="9"/>
      <c r="NH960" s="9"/>
      <c r="NI960" s="9"/>
      <c r="NJ960" s="9"/>
      <c r="NK960" s="9"/>
      <c r="NL960" s="9"/>
      <c r="NM960" s="9"/>
      <c r="NN960" s="9"/>
      <c r="NO960" s="9"/>
      <c r="NP960" s="9"/>
      <c r="NQ960" s="9"/>
      <c r="NR960" s="9"/>
      <c r="NS960" s="9"/>
      <c r="NT960" s="9"/>
      <c r="NU960" s="9"/>
      <c r="NV960" s="9"/>
      <c r="NW960" s="9"/>
      <c r="NX960" s="9"/>
      <c r="NY960" s="9"/>
      <c r="NZ960" s="9"/>
      <c r="OA960" s="9"/>
      <c r="OB960" s="9"/>
      <c r="OC960" s="9"/>
      <c r="OD960" s="9"/>
      <c r="OE960" s="9"/>
      <c r="OF960" s="9"/>
      <c r="OG960" s="9"/>
      <c r="OH960" s="9"/>
      <c r="OI960" s="9"/>
      <c r="OJ960" s="9"/>
      <c r="OK960" s="9"/>
      <c r="OL960" s="9"/>
      <c r="OM960" s="9"/>
      <c r="ON960" s="9"/>
      <c r="OO960" s="9"/>
      <c r="OP960" s="9"/>
      <c r="OQ960" s="9"/>
      <c r="OR960" s="9"/>
      <c r="OS960" s="9"/>
      <c r="OT960" s="9"/>
      <c r="OU960" s="9"/>
      <c r="OV960" s="9"/>
      <c r="OW960" s="9"/>
      <c r="OX960" s="9"/>
      <c r="OY960" s="9"/>
      <c r="OZ960" s="9"/>
      <c r="PA960" s="9"/>
      <c r="PB960" s="9"/>
      <c r="PC960" s="9"/>
      <c r="PD960" s="9"/>
      <c r="PE960" s="9"/>
      <c r="PF960" s="9"/>
      <c r="PG960" s="9"/>
      <c r="PH960" s="9"/>
      <c r="PI960" s="9"/>
      <c r="PJ960" s="9"/>
      <c r="PK960" s="9"/>
      <c r="PL960" s="9"/>
      <c r="PM960" s="9"/>
      <c r="PN960" s="9"/>
      <c r="PO960" s="9"/>
      <c r="PP960" s="9"/>
      <c r="PQ960" s="9"/>
      <c r="PR960" s="9"/>
      <c r="PS960" s="9"/>
      <c r="PT960" s="9"/>
      <c r="PU960" s="9"/>
      <c r="PV960" s="9"/>
      <c r="PW960" s="9"/>
      <c r="PX960" s="9"/>
      <c r="PY960" s="9"/>
      <c r="PZ960" s="9"/>
      <c r="QA960" s="9"/>
      <c r="QB960" s="9"/>
      <c r="QC960" s="9"/>
      <c r="QD960" s="9"/>
      <c r="QE960" s="9"/>
      <c r="QF960" s="9"/>
      <c r="QG960" s="9"/>
      <c r="QH960" s="9"/>
      <c r="QI960" s="9"/>
      <c r="QJ960" s="9"/>
      <c r="QK960" s="9"/>
      <c r="QL960" s="9"/>
      <c r="QM960" s="9"/>
      <c r="QN960" s="9"/>
      <c r="QO960" s="9"/>
      <c r="QP960" s="9"/>
      <c r="QQ960" s="9"/>
      <c r="QR960" s="9"/>
      <c r="QS960" s="9"/>
      <c r="QT960" s="9"/>
      <c r="QU960" s="9"/>
      <c r="QV960" s="9"/>
      <c r="QW960" s="9"/>
      <c r="QX960" s="9"/>
      <c r="QY960" s="9"/>
      <c r="QZ960" s="9"/>
      <c r="RA960" s="9"/>
      <c r="RB960" s="9"/>
      <c r="RC960" s="9"/>
      <c r="RD960" s="9"/>
      <c r="RE960" s="9"/>
      <c r="RF960" s="9"/>
      <c r="RG960" s="9"/>
      <c r="RH960" s="9"/>
      <c r="RI960" s="9"/>
      <c r="RJ960" s="9"/>
      <c r="RK960" s="9"/>
      <c r="RL960" s="9"/>
      <c r="RM960" s="9"/>
      <c r="RN960" s="9"/>
      <c r="RO960" s="9"/>
      <c r="RP960" s="9"/>
      <c r="RQ960" s="9"/>
      <c r="RR960" s="9"/>
      <c r="RS960" s="9"/>
      <c r="RT960" s="9"/>
      <c r="RU960" s="9"/>
      <c r="RV960" s="9"/>
      <c r="RW960" s="9"/>
      <c r="RX960" s="9"/>
      <c r="RY960" s="9"/>
      <c r="RZ960" s="9"/>
      <c r="SA960" s="9"/>
      <c r="SB960" s="9"/>
      <c r="SC960" s="9"/>
      <c r="SD960" s="9"/>
      <c r="SE960" s="9"/>
      <c r="SF960" s="9"/>
      <c r="SG960" s="9"/>
      <c r="SH960" s="9"/>
      <c r="SI960" s="9"/>
      <c r="SJ960" s="9"/>
      <c r="SK960" s="9"/>
      <c r="SL960" s="9"/>
      <c r="SM960" s="9"/>
      <c r="SN960" s="9"/>
      <c r="SO960" s="9"/>
      <c r="SP960" s="9"/>
      <c r="SQ960" s="9"/>
      <c r="SR960" s="9"/>
      <c r="SS960" s="9"/>
      <c r="ST960" s="9"/>
      <c r="SU960" s="9"/>
      <c r="SV960" s="9"/>
      <c r="SW960" s="9"/>
      <c r="SX960" s="9"/>
      <c r="SY960" s="9"/>
      <c r="SZ960" s="9"/>
      <c r="TA960" s="9"/>
      <c r="TB960" s="9"/>
      <c r="TC960" s="9"/>
      <c r="TD960" s="9"/>
      <c r="TE960" s="9"/>
      <c r="TF960" s="9"/>
      <c r="TG960" s="9"/>
      <c r="TH960" s="9"/>
      <c r="TI960" s="9"/>
      <c r="TJ960" s="9"/>
      <c r="TK960" s="9"/>
      <c r="TL960" s="9"/>
      <c r="TM960" s="9"/>
      <c r="TN960" s="9"/>
      <c r="TO960" s="9"/>
      <c r="TP960" s="9"/>
      <c r="TQ960" s="9"/>
      <c r="TR960" s="9"/>
      <c r="TS960" s="9"/>
      <c r="TT960" s="9"/>
      <c r="TU960" s="9"/>
      <c r="TV960" s="9"/>
      <c r="TW960" s="9"/>
      <c r="TX960" s="9"/>
      <c r="TY960" s="9"/>
      <c r="TZ960" s="9"/>
      <c r="UA960" s="9"/>
      <c r="UB960" s="9"/>
      <c r="UC960" s="9"/>
      <c r="UD960" s="9"/>
      <c r="UE960" s="9"/>
      <c r="UF960" s="9"/>
      <c r="UG960" s="9"/>
      <c r="UH960" s="9"/>
      <c r="UI960" s="9"/>
      <c r="UJ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  <c r="EL961" s="9"/>
      <c r="EM961" s="9"/>
      <c r="EN961" s="9"/>
      <c r="EO961" s="9"/>
      <c r="EP961" s="9"/>
      <c r="EQ961" s="9"/>
      <c r="ER961" s="9"/>
      <c r="ES961" s="9"/>
      <c r="ET961" s="9"/>
      <c r="EU961" s="9"/>
      <c r="EV961" s="9"/>
      <c r="EW961" s="9"/>
      <c r="EX961" s="9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9"/>
      <c r="FJ961" s="9"/>
      <c r="FK961" s="9"/>
      <c r="FL961" s="9"/>
      <c r="FM961" s="9"/>
      <c r="FN961" s="9"/>
      <c r="FO961" s="9"/>
      <c r="FP961" s="9"/>
      <c r="FQ961" s="9"/>
      <c r="FR961" s="9"/>
      <c r="FS961" s="9"/>
      <c r="FT961" s="9"/>
      <c r="FU961" s="9"/>
      <c r="FV961" s="9"/>
      <c r="FW961" s="9"/>
      <c r="FX961" s="9"/>
      <c r="FY961" s="9"/>
      <c r="FZ961" s="9"/>
      <c r="GA961" s="9"/>
      <c r="GB961" s="9"/>
      <c r="GC961" s="9"/>
      <c r="GD961" s="9"/>
      <c r="GE961" s="9"/>
      <c r="GF961" s="9"/>
      <c r="GG961" s="9"/>
      <c r="GH961" s="9"/>
      <c r="GI961" s="9"/>
      <c r="GJ961" s="9"/>
      <c r="GK961" s="9"/>
      <c r="GL961" s="9"/>
      <c r="GM961" s="9"/>
      <c r="GN961" s="9"/>
      <c r="GO961" s="9"/>
      <c r="GP961" s="9"/>
      <c r="GQ961" s="9"/>
      <c r="GR961" s="9"/>
      <c r="GS961" s="9"/>
      <c r="GT961" s="9"/>
      <c r="GU961" s="9"/>
      <c r="GV961" s="9"/>
      <c r="GW961" s="9"/>
      <c r="GX961" s="9"/>
      <c r="GY961" s="9"/>
      <c r="GZ961" s="9"/>
      <c r="HA961" s="9"/>
      <c r="HB961" s="9"/>
      <c r="HC961" s="9"/>
      <c r="HD961" s="9"/>
      <c r="HE961" s="9"/>
      <c r="HF961" s="9"/>
      <c r="HG961" s="9"/>
      <c r="HH961" s="9"/>
      <c r="HI961" s="9"/>
      <c r="HJ961" s="9"/>
      <c r="HK961" s="9"/>
      <c r="HL961" s="9"/>
      <c r="HM961" s="9"/>
      <c r="HN961" s="9"/>
      <c r="HO961" s="9"/>
      <c r="HP961" s="9"/>
      <c r="HQ961" s="9"/>
      <c r="HR961" s="9"/>
      <c r="HS961" s="9"/>
      <c r="HT961" s="9"/>
      <c r="HU961" s="9"/>
      <c r="HV961" s="9"/>
      <c r="HW961" s="9"/>
      <c r="HX961" s="9"/>
      <c r="HY961" s="9"/>
      <c r="HZ961" s="9"/>
      <c r="IA961" s="9"/>
      <c r="IB961" s="9"/>
      <c r="IC961" s="9"/>
      <c r="ID961" s="9"/>
      <c r="IE961" s="9"/>
      <c r="IF961" s="9"/>
      <c r="IG961" s="9"/>
      <c r="IH961" s="9"/>
      <c r="II961" s="9"/>
      <c r="IJ961" s="9"/>
      <c r="IK961" s="9"/>
      <c r="IL961" s="9"/>
      <c r="IM961" s="9"/>
      <c r="IN961" s="9"/>
      <c r="IO961" s="9"/>
      <c r="IP961" s="9"/>
      <c r="IQ961" s="9"/>
      <c r="IR961" s="9"/>
      <c r="IS961" s="9"/>
      <c r="IT961" s="9"/>
      <c r="IU961" s="9"/>
      <c r="IV961" s="9"/>
      <c r="IW961" s="9"/>
      <c r="IX961" s="9"/>
      <c r="IY961" s="9"/>
      <c r="IZ961" s="9"/>
      <c r="JA961" s="9"/>
      <c r="JB961" s="9"/>
      <c r="JC961" s="9"/>
      <c r="JD961" s="9"/>
      <c r="JE961" s="9"/>
      <c r="JF961" s="9"/>
      <c r="JG961" s="9"/>
      <c r="JH961" s="9"/>
      <c r="JI961" s="9"/>
      <c r="JJ961" s="9"/>
      <c r="JK961" s="9"/>
      <c r="JL961" s="9"/>
      <c r="JM961" s="9"/>
      <c r="JN961" s="9"/>
      <c r="JO961" s="9"/>
      <c r="JP961" s="9"/>
      <c r="JQ961" s="9"/>
      <c r="JR961" s="9"/>
      <c r="JS961" s="9"/>
      <c r="JT961" s="9"/>
      <c r="JU961" s="9"/>
      <c r="JV961" s="9"/>
      <c r="JW961" s="9"/>
      <c r="JX961" s="9"/>
      <c r="JY961" s="9"/>
      <c r="JZ961" s="9"/>
      <c r="KA961" s="9"/>
      <c r="KB961" s="9"/>
      <c r="KC961" s="9"/>
      <c r="KD961" s="9"/>
      <c r="KE961" s="9"/>
      <c r="KF961" s="9"/>
      <c r="KG961" s="9"/>
      <c r="KH961" s="9"/>
      <c r="KI961" s="9"/>
      <c r="KJ961" s="9"/>
      <c r="KK961" s="9"/>
      <c r="KL961" s="9"/>
      <c r="KM961" s="9"/>
      <c r="KN961" s="9"/>
      <c r="KO961" s="9"/>
      <c r="KP961" s="9"/>
      <c r="KQ961" s="9"/>
      <c r="KR961" s="9"/>
      <c r="KS961" s="9"/>
      <c r="KT961" s="9"/>
      <c r="KU961" s="9"/>
      <c r="KV961" s="9"/>
      <c r="KW961" s="9"/>
      <c r="KX961" s="9"/>
      <c r="KY961" s="9"/>
      <c r="KZ961" s="9"/>
      <c r="LA961" s="9"/>
      <c r="LB961" s="9"/>
      <c r="LC961" s="9"/>
      <c r="LD961" s="9"/>
      <c r="LE961" s="9"/>
      <c r="LF961" s="9"/>
      <c r="LG961" s="9"/>
      <c r="LH961" s="9"/>
      <c r="LI961" s="9"/>
      <c r="LJ961" s="9"/>
      <c r="LK961" s="9"/>
      <c r="LL961" s="9"/>
      <c r="LM961" s="9"/>
      <c r="LN961" s="9"/>
      <c r="LO961" s="9"/>
      <c r="LP961" s="9"/>
      <c r="LQ961" s="9"/>
      <c r="LR961" s="9"/>
      <c r="LS961" s="9"/>
      <c r="LT961" s="9"/>
      <c r="LU961" s="9"/>
      <c r="LV961" s="9"/>
      <c r="LW961" s="9"/>
      <c r="LX961" s="9"/>
      <c r="LY961" s="9"/>
      <c r="LZ961" s="9"/>
      <c r="MA961" s="9"/>
      <c r="MB961" s="9"/>
      <c r="MC961" s="9"/>
      <c r="MD961" s="9"/>
      <c r="ME961" s="9"/>
      <c r="MF961" s="9"/>
      <c r="MG961" s="9"/>
      <c r="MH961" s="9"/>
      <c r="MI961" s="9"/>
      <c r="MJ961" s="9"/>
      <c r="MK961" s="9"/>
      <c r="ML961" s="9"/>
      <c r="MM961" s="9"/>
      <c r="MN961" s="9"/>
      <c r="MO961" s="9"/>
      <c r="MP961" s="9"/>
      <c r="MQ961" s="9"/>
      <c r="MR961" s="9"/>
      <c r="MS961" s="9"/>
      <c r="MT961" s="9"/>
      <c r="MU961" s="9"/>
      <c r="MV961" s="9"/>
      <c r="MW961" s="9"/>
      <c r="MX961" s="9"/>
      <c r="MY961" s="9"/>
      <c r="MZ961" s="9"/>
      <c r="NA961" s="9"/>
      <c r="NB961" s="9"/>
      <c r="NC961" s="9"/>
      <c r="ND961" s="9"/>
      <c r="NE961" s="9"/>
      <c r="NF961" s="9"/>
      <c r="NG961" s="9"/>
      <c r="NH961" s="9"/>
      <c r="NI961" s="9"/>
      <c r="NJ961" s="9"/>
      <c r="NK961" s="9"/>
      <c r="NL961" s="9"/>
      <c r="NM961" s="9"/>
      <c r="NN961" s="9"/>
      <c r="NO961" s="9"/>
      <c r="NP961" s="9"/>
      <c r="NQ961" s="9"/>
      <c r="NR961" s="9"/>
      <c r="NS961" s="9"/>
      <c r="NT961" s="9"/>
      <c r="NU961" s="9"/>
      <c r="NV961" s="9"/>
      <c r="NW961" s="9"/>
      <c r="NX961" s="9"/>
      <c r="NY961" s="9"/>
      <c r="NZ961" s="9"/>
      <c r="OA961" s="9"/>
      <c r="OB961" s="9"/>
      <c r="OC961" s="9"/>
      <c r="OD961" s="9"/>
      <c r="OE961" s="9"/>
      <c r="OF961" s="9"/>
      <c r="OG961" s="9"/>
      <c r="OH961" s="9"/>
      <c r="OI961" s="9"/>
      <c r="OJ961" s="9"/>
      <c r="OK961" s="9"/>
      <c r="OL961" s="9"/>
      <c r="OM961" s="9"/>
      <c r="ON961" s="9"/>
      <c r="OO961" s="9"/>
      <c r="OP961" s="9"/>
      <c r="OQ961" s="9"/>
      <c r="OR961" s="9"/>
      <c r="OS961" s="9"/>
      <c r="OT961" s="9"/>
      <c r="OU961" s="9"/>
      <c r="OV961" s="9"/>
      <c r="OW961" s="9"/>
      <c r="OX961" s="9"/>
      <c r="OY961" s="9"/>
      <c r="OZ961" s="9"/>
      <c r="PA961" s="9"/>
      <c r="PB961" s="9"/>
      <c r="PC961" s="9"/>
      <c r="PD961" s="9"/>
      <c r="PE961" s="9"/>
      <c r="PF961" s="9"/>
      <c r="PG961" s="9"/>
      <c r="PH961" s="9"/>
      <c r="PI961" s="9"/>
      <c r="PJ961" s="9"/>
      <c r="PK961" s="9"/>
      <c r="PL961" s="9"/>
      <c r="PM961" s="9"/>
      <c r="PN961" s="9"/>
      <c r="PO961" s="9"/>
      <c r="PP961" s="9"/>
      <c r="PQ961" s="9"/>
      <c r="PR961" s="9"/>
      <c r="PS961" s="9"/>
      <c r="PT961" s="9"/>
      <c r="PU961" s="9"/>
      <c r="PV961" s="9"/>
      <c r="PW961" s="9"/>
      <c r="PX961" s="9"/>
      <c r="PY961" s="9"/>
      <c r="PZ961" s="9"/>
      <c r="QA961" s="9"/>
      <c r="QB961" s="9"/>
      <c r="QC961" s="9"/>
      <c r="QD961" s="9"/>
      <c r="QE961" s="9"/>
      <c r="QF961" s="9"/>
      <c r="QG961" s="9"/>
      <c r="QH961" s="9"/>
      <c r="QI961" s="9"/>
      <c r="QJ961" s="9"/>
      <c r="QK961" s="9"/>
      <c r="QL961" s="9"/>
      <c r="QM961" s="9"/>
      <c r="QN961" s="9"/>
      <c r="QO961" s="9"/>
      <c r="QP961" s="9"/>
      <c r="QQ961" s="9"/>
      <c r="QR961" s="9"/>
      <c r="QS961" s="9"/>
      <c r="QT961" s="9"/>
      <c r="QU961" s="9"/>
      <c r="QV961" s="9"/>
      <c r="QW961" s="9"/>
      <c r="QX961" s="9"/>
      <c r="QY961" s="9"/>
      <c r="QZ961" s="9"/>
      <c r="RA961" s="9"/>
      <c r="RB961" s="9"/>
      <c r="RC961" s="9"/>
      <c r="RD961" s="9"/>
      <c r="RE961" s="9"/>
      <c r="RF961" s="9"/>
      <c r="RG961" s="9"/>
      <c r="RH961" s="9"/>
      <c r="RI961" s="9"/>
      <c r="RJ961" s="9"/>
      <c r="RK961" s="9"/>
      <c r="RL961" s="9"/>
      <c r="RM961" s="9"/>
      <c r="RN961" s="9"/>
      <c r="RO961" s="9"/>
      <c r="RP961" s="9"/>
      <c r="RQ961" s="9"/>
      <c r="RR961" s="9"/>
      <c r="RS961" s="9"/>
      <c r="RT961" s="9"/>
      <c r="RU961" s="9"/>
      <c r="RV961" s="9"/>
      <c r="RW961" s="9"/>
      <c r="RX961" s="9"/>
      <c r="RY961" s="9"/>
      <c r="RZ961" s="9"/>
      <c r="SA961" s="9"/>
      <c r="SB961" s="9"/>
      <c r="SC961" s="9"/>
      <c r="SD961" s="9"/>
      <c r="SE961" s="9"/>
      <c r="SF961" s="9"/>
      <c r="SG961" s="9"/>
      <c r="SH961" s="9"/>
      <c r="SI961" s="9"/>
      <c r="SJ961" s="9"/>
      <c r="SK961" s="9"/>
      <c r="SL961" s="9"/>
      <c r="SM961" s="9"/>
      <c r="SN961" s="9"/>
      <c r="SO961" s="9"/>
      <c r="SP961" s="9"/>
      <c r="SQ961" s="9"/>
      <c r="SR961" s="9"/>
      <c r="SS961" s="9"/>
      <c r="ST961" s="9"/>
      <c r="SU961" s="9"/>
      <c r="SV961" s="9"/>
      <c r="SW961" s="9"/>
      <c r="SX961" s="9"/>
      <c r="SY961" s="9"/>
      <c r="SZ961" s="9"/>
      <c r="TA961" s="9"/>
      <c r="TB961" s="9"/>
      <c r="TC961" s="9"/>
      <c r="TD961" s="9"/>
      <c r="TE961" s="9"/>
      <c r="TF961" s="9"/>
      <c r="TG961" s="9"/>
      <c r="TH961" s="9"/>
      <c r="TI961" s="9"/>
      <c r="TJ961" s="9"/>
      <c r="TK961" s="9"/>
      <c r="TL961" s="9"/>
      <c r="TM961" s="9"/>
      <c r="TN961" s="9"/>
      <c r="TO961" s="9"/>
      <c r="TP961" s="9"/>
      <c r="TQ961" s="9"/>
      <c r="TR961" s="9"/>
      <c r="TS961" s="9"/>
      <c r="TT961" s="9"/>
      <c r="TU961" s="9"/>
      <c r="TV961" s="9"/>
      <c r="TW961" s="9"/>
      <c r="TX961" s="9"/>
      <c r="TY961" s="9"/>
      <c r="TZ961" s="9"/>
      <c r="UA961" s="9"/>
      <c r="UB961" s="9"/>
      <c r="UC961" s="9"/>
      <c r="UD961" s="9"/>
      <c r="UE961" s="9"/>
      <c r="UF961" s="9"/>
      <c r="UG961" s="9"/>
      <c r="UH961" s="9"/>
      <c r="UI961" s="9"/>
      <c r="UJ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  <c r="FL962" s="9"/>
      <c r="FM962" s="9"/>
      <c r="FN962" s="9"/>
      <c r="FO962" s="9"/>
      <c r="FP962" s="9"/>
      <c r="FQ962" s="9"/>
      <c r="FR962" s="9"/>
      <c r="FS962" s="9"/>
      <c r="FT962" s="9"/>
      <c r="FU962" s="9"/>
      <c r="FV962" s="9"/>
      <c r="FW962" s="9"/>
      <c r="FX962" s="9"/>
      <c r="FY962" s="9"/>
      <c r="FZ962" s="9"/>
      <c r="GA962" s="9"/>
      <c r="GB962" s="9"/>
      <c r="GC962" s="9"/>
      <c r="GD962" s="9"/>
      <c r="GE962" s="9"/>
      <c r="GF962" s="9"/>
      <c r="GG962" s="9"/>
      <c r="GH962" s="9"/>
      <c r="GI962" s="9"/>
      <c r="GJ962" s="9"/>
      <c r="GK962" s="9"/>
      <c r="GL962" s="9"/>
      <c r="GM962" s="9"/>
      <c r="GN962" s="9"/>
      <c r="GO962" s="9"/>
      <c r="GP962" s="9"/>
      <c r="GQ962" s="9"/>
      <c r="GR962" s="9"/>
      <c r="GS962" s="9"/>
      <c r="GT962" s="9"/>
      <c r="GU962" s="9"/>
      <c r="GV962" s="9"/>
      <c r="GW962" s="9"/>
      <c r="GX962" s="9"/>
      <c r="GY962" s="9"/>
      <c r="GZ962" s="9"/>
      <c r="HA962" s="9"/>
      <c r="HB962" s="9"/>
      <c r="HC962" s="9"/>
      <c r="HD962" s="9"/>
      <c r="HE962" s="9"/>
      <c r="HF962" s="9"/>
      <c r="HG962" s="9"/>
      <c r="HH962" s="9"/>
      <c r="HI962" s="9"/>
      <c r="HJ962" s="9"/>
      <c r="HK962" s="9"/>
      <c r="HL962" s="9"/>
      <c r="HM962" s="9"/>
      <c r="HN962" s="9"/>
      <c r="HO962" s="9"/>
      <c r="HP962" s="9"/>
      <c r="HQ962" s="9"/>
      <c r="HR962" s="9"/>
      <c r="HS962" s="9"/>
      <c r="HT962" s="9"/>
      <c r="HU962" s="9"/>
      <c r="HV962" s="9"/>
      <c r="HW962" s="9"/>
      <c r="HX962" s="9"/>
      <c r="HY962" s="9"/>
      <c r="HZ962" s="9"/>
      <c r="IA962" s="9"/>
      <c r="IB962" s="9"/>
      <c r="IC962" s="9"/>
      <c r="ID962" s="9"/>
      <c r="IE962" s="9"/>
      <c r="IF962" s="9"/>
      <c r="IG962" s="9"/>
      <c r="IH962" s="9"/>
      <c r="II962" s="9"/>
      <c r="IJ962" s="9"/>
      <c r="IK962" s="9"/>
      <c r="IL962" s="9"/>
      <c r="IM962" s="9"/>
      <c r="IN962" s="9"/>
      <c r="IO962" s="9"/>
      <c r="IP962" s="9"/>
      <c r="IQ962" s="9"/>
      <c r="IR962" s="9"/>
      <c r="IS962" s="9"/>
      <c r="IT962" s="9"/>
      <c r="IU962" s="9"/>
      <c r="IV962" s="9"/>
      <c r="IW962" s="9"/>
      <c r="IX962" s="9"/>
      <c r="IY962" s="9"/>
      <c r="IZ962" s="9"/>
      <c r="JA962" s="9"/>
      <c r="JB962" s="9"/>
      <c r="JC962" s="9"/>
      <c r="JD962" s="9"/>
      <c r="JE962" s="9"/>
      <c r="JF962" s="9"/>
      <c r="JG962" s="9"/>
      <c r="JH962" s="9"/>
      <c r="JI962" s="9"/>
      <c r="JJ962" s="9"/>
      <c r="JK962" s="9"/>
      <c r="JL962" s="9"/>
      <c r="JM962" s="9"/>
      <c r="JN962" s="9"/>
      <c r="JO962" s="9"/>
      <c r="JP962" s="9"/>
      <c r="JQ962" s="9"/>
      <c r="JR962" s="9"/>
      <c r="JS962" s="9"/>
      <c r="JT962" s="9"/>
      <c r="JU962" s="9"/>
      <c r="JV962" s="9"/>
      <c r="JW962" s="9"/>
      <c r="JX962" s="9"/>
      <c r="JY962" s="9"/>
      <c r="JZ962" s="9"/>
      <c r="KA962" s="9"/>
      <c r="KB962" s="9"/>
      <c r="KC962" s="9"/>
      <c r="KD962" s="9"/>
      <c r="KE962" s="9"/>
      <c r="KF962" s="9"/>
      <c r="KG962" s="9"/>
      <c r="KH962" s="9"/>
      <c r="KI962" s="9"/>
      <c r="KJ962" s="9"/>
      <c r="KK962" s="9"/>
      <c r="KL962" s="9"/>
      <c r="KM962" s="9"/>
      <c r="KN962" s="9"/>
      <c r="KO962" s="9"/>
      <c r="KP962" s="9"/>
      <c r="KQ962" s="9"/>
      <c r="KR962" s="9"/>
      <c r="KS962" s="9"/>
      <c r="KT962" s="9"/>
      <c r="KU962" s="9"/>
      <c r="KV962" s="9"/>
      <c r="KW962" s="9"/>
      <c r="KX962" s="9"/>
      <c r="KY962" s="9"/>
      <c r="KZ962" s="9"/>
      <c r="LA962" s="9"/>
      <c r="LB962" s="9"/>
      <c r="LC962" s="9"/>
      <c r="LD962" s="9"/>
      <c r="LE962" s="9"/>
      <c r="LF962" s="9"/>
      <c r="LG962" s="9"/>
      <c r="LH962" s="9"/>
      <c r="LI962" s="9"/>
      <c r="LJ962" s="9"/>
      <c r="LK962" s="9"/>
      <c r="LL962" s="9"/>
      <c r="LM962" s="9"/>
      <c r="LN962" s="9"/>
      <c r="LO962" s="9"/>
      <c r="LP962" s="9"/>
      <c r="LQ962" s="9"/>
      <c r="LR962" s="9"/>
      <c r="LS962" s="9"/>
      <c r="LT962" s="9"/>
      <c r="LU962" s="9"/>
      <c r="LV962" s="9"/>
      <c r="LW962" s="9"/>
      <c r="LX962" s="9"/>
      <c r="LY962" s="9"/>
      <c r="LZ962" s="9"/>
      <c r="MA962" s="9"/>
      <c r="MB962" s="9"/>
      <c r="MC962" s="9"/>
      <c r="MD962" s="9"/>
      <c r="ME962" s="9"/>
      <c r="MF962" s="9"/>
      <c r="MG962" s="9"/>
      <c r="MH962" s="9"/>
      <c r="MI962" s="9"/>
      <c r="MJ962" s="9"/>
      <c r="MK962" s="9"/>
      <c r="ML962" s="9"/>
      <c r="MM962" s="9"/>
      <c r="MN962" s="9"/>
      <c r="MO962" s="9"/>
      <c r="MP962" s="9"/>
      <c r="MQ962" s="9"/>
      <c r="MR962" s="9"/>
      <c r="MS962" s="9"/>
      <c r="MT962" s="9"/>
      <c r="MU962" s="9"/>
      <c r="MV962" s="9"/>
      <c r="MW962" s="9"/>
      <c r="MX962" s="9"/>
      <c r="MY962" s="9"/>
      <c r="MZ962" s="9"/>
      <c r="NA962" s="9"/>
      <c r="NB962" s="9"/>
      <c r="NC962" s="9"/>
      <c r="ND962" s="9"/>
      <c r="NE962" s="9"/>
      <c r="NF962" s="9"/>
      <c r="NG962" s="9"/>
      <c r="NH962" s="9"/>
      <c r="NI962" s="9"/>
      <c r="NJ962" s="9"/>
      <c r="NK962" s="9"/>
      <c r="NL962" s="9"/>
      <c r="NM962" s="9"/>
      <c r="NN962" s="9"/>
      <c r="NO962" s="9"/>
      <c r="NP962" s="9"/>
      <c r="NQ962" s="9"/>
      <c r="NR962" s="9"/>
      <c r="NS962" s="9"/>
      <c r="NT962" s="9"/>
      <c r="NU962" s="9"/>
      <c r="NV962" s="9"/>
      <c r="NW962" s="9"/>
      <c r="NX962" s="9"/>
      <c r="NY962" s="9"/>
      <c r="NZ962" s="9"/>
      <c r="OA962" s="9"/>
      <c r="OB962" s="9"/>
      <c r="OC962" s="9"/>
      <c r="OD962" s="9"/>
      <c r="OE962" s="9"/>
      <c r="OF962" s="9"/>
      <c r="OG962" s="9"/>
      <c r="OH962" s="9"/>
      <c r="OI962" s="9"/>
      <c r="OJ962" s="9"/>
      <c r="OK962" s="9"/>
      <c r="OL962" s="9"/>
      <c r="OM962" s="9"/>
      <c r="ON962" s="9"/>
      <c r="OO962" s="9"/>
      <c r="OP962" s="9"/>
      <c r="OQ962" s="9"/>
      <c r="OR962" s="9"/>
      <c r="OS962" s="9"/>
      <c r="OT962" s="9"/>
      <c r="OU962" s="9"/>
      <c r="OV962" s="9"/>
      <c r="OW962" s="9"/>
      <c r="OX962" s="9"/>
      <c r="OY962" s="9"/>
      <c r="OZ962" s="9"/>
      <c r="PA962" s="9"/>
      <c r="PB962" s="9"/>
      <c r="PC962" s="9"/>
      <c r="PD962" s="9"/>
      <c r="PE962" s="9"/>
      <c r="PF962" s="9"/>
      <c r="PG962" s="9"/>
      <c r="PH962" s="9"/>
      <c r="PI962" s="9"/>
      <c r="PJ962" s="9"/>
      <c r="PK962" s="9"/>
      <c r="PL962" s="9"/>
      <c r="PM962" s="9"/>
      <c r="PN962" s="9"/>
      <c r="PO962" s="9"/>
      <c r="PP962" s="9"/>
      <c r="PQ962" s="9"/>
      <c r="PR962" s="9"/>
      <c r="PS962" s="9"/>
      <c r="PT962" s="9"/>
      <c r="PU962" s="9"/>
      <c r="PV962" s="9"/>
      <c r="PW962" s="9"/>
      <c r="PX962" s="9"/>
      <c r="PY962" s="9"/>
      <c r="PZ962" s="9"/>
      <c r="QA962" s="9"/>
      <c r="QB962" s="9"/>
      <c r="QC962" s="9"/>
      <c r="QD962" s="9"/>
      <c r="QE962" s="9"/>
      <c r="QF962" s="9"/>
      <c r="QG962" s="9"/>
      <c r="QH962" s="9"/>
      <c r="QI962" s="9"/>
      <c r="QJ962" s="9"/>
      <c r="QK962" s="9"/>
      <c r="QL962" s="9"/>
      <c r="QM962" s="9"/>
      <c r="QN962" s="9"/>
      <c r="QO962" s="9"/>
      <c r="QP962" s="9"/>
      <c r="QQ962" s="9"/>
      <c r="QR962" s="9"/>
      <c r="QS962" s="9"/>
      <c r="QT962" s="9"/>
      <c r="QU962" s="9"/>
      <c r="QV962" s="9"/>
      <c r="QW962" s="9"/>
      <c r="QX962" s="9"/>
      <c r="QY962" s="9"/>
      <c r="QZ962" s="9"/>
      <c r="RA962" s="9"/>
      <c r="RB962" s="9"/>
      <c r="RC962" s="9"/>
      <c r="RD962" s="9"/>
      <c r="RE962" s="9"/>
      <c r="RF962" s="9"/>
      <c r="RG962" s="9"/>
      <c r="RH962" s="9"/>
      <c r="RI962" s="9"/>
      <c r="RJ962" s="9"/>
      <c r="RK962" s="9"/>
      <c r="RL962" s="9"/>
      <c r="RM962" s="9"/>
      <c r="RN962" s="9"/>
      <c r="RO962" s="9"/>
      <c r="RP962" s="9"/>
      <c r="RQ962" s="9"/>
      <c r="RR962" s="9"/>
      <c r="RS962" s="9"/>
      <c r="RT962" s="9"/>
      <c r="RU962" s="9"/>
      <c r="RV962" s="9"/>
      <c r="RW962" s="9"/>
      <c r="RX962" s="9"/>
      <c r="RY962" s="9"/>
      <c r="RZ962" s="9"/>
      <c r="SA962" s="9"/>
      <c r="SB962" s="9"/>
      <c r="SC962" s="9"/>
      <c r="SD962" s="9"/>
      <c r="SE962" s="9"/>
      <c r="SF962" s="9"/>
      <c r="SG962" s="9"/>
      <c r="SH962" s="9"/>
      <c r="SI962" s="9"/>
      <c r="SJ962" s="9"/>
      <c r="SK962" s="9"/>
      <c r="SL962" s="9"/>
      <c r="SM962" s="9"/>
      <c r="SN962" s="9"/>
      <c r="SO962" s="9"/>
      <c r="SP962" s="9"/>
      <c r="SQ962" s="9"/>
      <c r="SR962" s="9"/>
      <c r="SS962" s="9"/>
      <c r="ST962" s="9"/>
      <c r="SU962" s="9"/>
      <c r="SV962" s="9"/>
      <c r="SW962" s="9"/>
      <c r="SX962" s="9"/>
      <c r="SY962" s="9"/>
      <c r="SZ962" s="9"/>
      <c r="TA962" s="9"/>
      <c r="TB962" s="9"/>
      <c r="TC962" s="9"/>
      <c r="TD962" s="9"/>
      <c r="TE962" s="9"/>
      <c r="TF962" s="9"/>
      <c r="TG962" s="9"/>
      <c r="TH962" s="9"/>
      <c r="TI962" s="9"/>
      <c r="TJ962" s="9"/>
      <c r="TK962" s="9"/>
      <c r="TL962" s="9"/>
      <c r="TM962" s="9"/>
      <c r="TN962" s="9"/>
      <c r="TO962" s="9"/>
      <c r="TP962" s="9"/>
      <c r="TQ962" s="9"/>
      <c r="TR962" s="9"/>
      <c r="TS962" s="9"/>
      <c r="TT962" s="9"/>
      <c r="TU962" s="9"/>
      <c r="TV962" s="9"/>
      <c r="TW962" s="9"/>
      <c r="TX962" s="9"/>
      <c r="TY962" s="9"/>
      <c r="TZ962" s="9"/>
      <c r="UA962" s="9"/>
      <c r="UB962" s="9"/>
      <c r="UC962" s="9"/>
      <c r="UD962" s="9"/>
      <c r="UE962" s="9"/>
      <c r="UF962" s="9"/>
      <c r="UG962" s="9"/>
      <c r="UH962" s="9"/>
      <c r="UI962" s="9"/>
      <c r="UJ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/>
      <c r="FJ963" s="9"/>
      <c r="FK963" s="9"/>
      <c r="FL963" s="9"/>
      <c r="FM963" s="9"/>
      <c r="FN963" s="9"/>
      <c r="FO963" s="9"/>
      <c r="FP963" s="9"/>
      <c r="FQ963" s="9"/>
      <c r="FR963" s="9"/>
      <c r="FS963" s="9"/>
      <c r="FT963" s="9"/>
      <c r="FU963" s="9"/>
      <c r="FV963" s="9"/>
      <c r="FW963" s="9"/>
      <c r="FX963" s="9"/>
      <c r="FY963" s="9"/>
      <c r="FZ963" s="9"/>
      <c r="GA963" s="9"/>
      <c r="GB963" s="9"/>
      <c r="GC963" s="9"/>
      <c r="GD963" s="9"/>
      <c r="GE963" s="9"/>
      <c r="GF963" s="9"/>
      <c r="GG963" s="9"/>
      <c r="GH963" s="9"/>
      <c r="GI963" s="9"/>
      <c r="GJ963" s="9"/>
      <c r="GK963" s="9"/>
      <c r="GL963" s="9"/>
      <c r="GM963" s="9"/>
      <c r="GN963" s="9"/>
      <c r="GO963" s="9"/>
      <c r="GP963" s="9"/>
      <c r="GQ963" s="9"/>
      <c r="GR963" s="9"/>
      <c r="GS963" s="9"/>
      <c r="GT963" s="9"/>
      <c r="GU963" s="9"/>
      <c r="GV963" s="9"/>
      <c r="GW963" s="9"/>
      <c r="GX963" s="9"/>
      <c r="GY963" s="9"/>
      <c r="GZ963" s="9"/>
      <c r="HA963" s="9"/>
      <c r="HB963" s="9"/>
      <c r="HC963" s="9"/>
      <c r="HD963" s="9"/>
      <c r="HE963" s="9"/>
      <c r="HF963" s="9"/>
      <c r="HG963" s="9"/>
      <c r="HH963" s="9"/>
      <c r="HI963" s="9"/>
      <c r="HJ963" s="9"/>
      <c r="HK963" s="9"/>
      <c r="HL963" s="9"/>
      <c r="HM963" s="9"/>
      <c r="HN963" s="9"/>
      <c r="HO963" s="9"/>
      <c r="HP963" s="9"/>
      <c r="HQ963" s="9"/>
      <c r="HR963" s="9"/>
      <c r="HS963" s="9"/>
      <c r="HT963" s="9"/>
      <c r="HU963" s="9"/>
      <c r="HV963" s="9"/>
      <c r="HW963" s="9"/>
      <c r="HX963" s="9"/>
      <c r="HY963" s="9"/>
      <c r="HZ963" s="9"/>
      <c r="IA963" s="9"/>
      <c r="IB963" s="9"/>
      <c r="IC963" s="9"/>
      <c r="ID963" s="9"/>
      <c r="IE963" s="9"/>
      <c r="IF963" s="9"/>
      <c r="IG963" s="9"/>
      <c r="IH963" s="9"/>
      <c r="II963" s="9"/>
      <c r="IJ963" s="9"/>
      <c r="IK963" s="9"/>
      <c r="IL963" s="9"/>
      <c r="IM963" s="9"/>
      <c r="IN963" s="9"/>
      <c r="IO963" s="9"/>
      <c r="IP963" s="9"/>
      <c r="IQ963" s="9"/>
      <c r="IR963" s="9"/>
      <c r="IS963" s="9"/>
      <c r="IT963" s="9"/>
      <c r="IU963" s="9"/>
      <c r="IV963" s="9"/>
      <c r="IW963" s="9"/>
      <c r="IX963" s="9"/>
      <c r="IY963" s="9"/>
      <c r="IZ963" s="9"/>
      <c r="JA963" s="9"/>
      <c r="JB963" s="9"/>
      <c r="JC963" s="9"/>
      <c r="JD963" s="9"/>
      <c r="JE963" s="9"/>
      <c r="JF963" s="9"/>
      <c r="JG963" s="9"/>
      <c r="JH963" s="9"/>
      <c r="JI963" s="9"/>
      <c r="JJ963" s="9"/>
      <c r="JK963" s="9"/>
      <c r="JL963" s="9"/>
      <c r="JM963" s="9"/>
      <c r="JN963" s="9"/>
      <c r="JO963" s="9"/>
      <c r="JP963" s="9"/>
      <c r="JQ963" s="9"/>
      <c r="JR963" s="9"/>
      <c r="JS963" s="9"/>
      <c r="JT963" s="9"/>
      <c r="JU963" s="9"/>
      <c r="JV963" s="9"/>
      <c r="JW963" s="9"/>
      <c r="JX963" s="9"/>
      <c r="JY963" s="9"/>
      <c r="JZ963" s="9"/>
      <c r="KA963" s="9"/>
      <c r="KB963" s="9"/>
      <c r="KC963" s="9"/>
      <c r="KD963" s="9"/>
      <c r="KE963" s="9"/>
      <c r="KF963" s="9"/>
      <c r="KG963" s="9"/>
      <c r="KH963" s="9"/>
      <c r="KI963" s="9"/>
      <c r="KJ963" s="9"/>
      <c r="KK963" s="9"/>
      <c r="KL963" s="9"/>
      <c r="KM963" s="9"/>
      <c r="KN963" s="9"/>
      <c r="KO963" s="9"/>
      <c r="KP963" s="9"/>
      <c r="KQ963" s="9"/>
      <c r="KR963" s="9"/>
      <c r="KS963" s="9"/>
      <c r="KT963" s="9"/>
      <c r="KU963" s="9"/>
      <c r="KV963" s="9"/>
      <c r="KW963" s="9"/>
      <c r="KX963" s="9"/>
      <c r="KY963" s="9"/>
      <c r="KZ963" s="9"/>
      <c r="LA963" s="9"/>
      <c r="LB963" s="9"/>
      <c r="LC963" s="9"/>
      <c r="LD963" s="9"/>
      <c r="LE963" s="9"/>
      <c r="LF963" s="9"/>
      <c r="LG963" s="9"/>
      <c r="LH963" s="9"/>
      <c r="LI963" s="9"/>
      <c r="LJ963" s="9"/>
      <c r="LK963" s="9"/>
      <c r="LL963" s="9"/>
      <c r="LM963" s="9"/>
      <c r="LN963" s="9"/>
      <c r="LO963" s="9"/>
      <c r="LP963" s="9"/>
      <c r="LQ963" s="9"/>
      <c r="LR963" s="9"/>
      <c r="LS963" s="9"/>
      <c r="LT963" s="9"/>
      <c r="LU963" s="9"/>
      <c r="LV963" s="9"/>
      <c r="LW963" s="9"/>
      <c r="LX963" s="9"/>
      <c r="LY963" s="9"/>
      <c r="LZ963" s="9"/>
      <c r="MA963" s="9"/>
      <c r="MB963" s="9"/>
      <c r="MC963" s="9"/>
      <c r="MD963" s="9"/>
      <c r="ME963" s="9"/>
      <c r="MF963" s="9"/>
      <c r="MG963" s="9"/>
      <c r="MH963" s="9"/>
      <c r="MI963" s="9"/>
      <c r="MJ963" s="9"/>
      <c r="MK963" s="9"/>
      <c r="ML963" s="9"/>
      <c r="MM963" s="9"/>
      <c r="MN963" s="9"/>
      <c r="MO963" s="9"/>
      <c r="MP963" s="9"/>
      <c r="MQ963" s="9"/>
      <c r="MR963" s="9"/>
      <c r="MS963" s="9"/>
      <c r="MT963" s="9"/>
      <c r="MU963" s="9"/>
      <c r="MV963" s="9"/>
      <c r="MW963" s="9"/>
      <c r="MX963" s="9"/>
      <c r="MY963" s="9"/>
      <c r="MZ963" s="9"/>
      <c r="NA963" s="9"/>
      <c r="NB963" s="9"/>
      <c r="NC963" s="9"/>
      <c r="ND963" s="9"/>
      <c r="NE963" s="9"/>
      <c r="NF963" s="9"/>
      <c r="NG963" s="9"/>
      <c r="NH963" s="9"/>
      <c r="NI963" s="9"/>
      <c r="NJ963" s="9"/>
      <c r="NK963" s="9"/>
      <c r="NL963" s="9"/>
      <c r="NM963" s="9"/>
      <c r="NN963" s="9"/>
      <c r="NO963" s="9"/>
      <c r="NP963" s="9"/>
      <c r="NQ963" s="9"/>
      <c r="NR963" s="9"/>
      <c r="NS963" s="9"/>
      <c r="NT963" s="9"/>
      <c r="NU963" s="9"/>
      <c r="NV963" s="9"/>
      <c r="NW963" s="9"/>
      <c r="NX963" s="9"/>
      <c r="NY963" s="9"/>
      <c r="NZ963" s="9"/>
      <c r="OA963" s="9"/>
      <c r="OB963" s="9"/>
      <c r="OC963" s="9"/>
      <c r="OD963" s="9"/>
      <c r="OE963" s="9"/>
      <c r="OF963" s="9"/>
      <c r="OG963" s="9"/>
      <c r="OH963" s="9"/>
      <c r="OI963" s="9"/>
      <c r="OJ963" s="9"/>
      <c r="OK963" s="9"/>
      <c r="OL963" s="9"/>
      <c r="OM963" s="9"/>
      <c r="ON963" s="9"/>
      <c r="OO963" s="9"/>
      <c r="OP963" s="9"/>
      <c r="OQ963" s="9"/>
      <c r="OR963" s="9"/>
      <c r="OS963" s="9"/>
      <c r="OT963" s="9"/>
      <c r="OU963" s="9"/>
      <c r="OV963" s="9"/>
      <c r="OW963" s="9"/>
      <c r="OX963" s="9"/>
      <c r="OY963" s="9"/>
      <c r="OZ963" s="9"/>
      <c r="PA963" s="9"/>
      <c r="PB963" s="9"/>
      <c r="PC963" s="9"/>
      <c r="PD963" s="9"/>
      <c r="PE963" s="9"/>
      <c r="PF963" s="9"/>
      <c r="PG963" s="9"/>
      <c r="PH963" s="9"/>
      <c r="PI963" s="9"/>
      <c r="PJ963" s="9"/>
      <c r="PK963" s="9"/>
      <c r="PL963" s="9"/>
      <c r="PM963" s="9"/>
      <c r="PN963" s="9"/>
      <c r="PO963" s="9"/>
      <c r="PP963" s="9"/>
      <c r="PQ963" s="9"/>
      <c r="PR963" s="9"/>
      <c r="PS963" s="9"/>
      <c r="PT963" s="9"/>
      <c r="PU963" s="9"/>
      <c r="PV963" s="9"/>
      <c r="PW963" s="9"/>
      <c r="PX963" s="9"/>
      <c r="PY963" s="9"/>
      <c r="PZ963" s="9"/>
      <c r="QA963" s="9"/>
      <c r="QB963" s="9"/>
      <c r="QC963" s="9"/>
      <c r="QD963" s="9"/>
      <c r="QE963" s="9"/>
      <c r="QF963" s="9"/>
      <c r="QG963" s="9"/>
      <c r="QH963" s="9"/>
      <c r="QI963" s="9"/>
      <c r="QJ963" s="9"/>
      <c r="QK963" s="9"/>
      <c r="QL963" s="9"/>
      <c r="QM963" s="9"/>
      <c r="QN963" s="9"/>
      <c r="QO963" s="9"/>
      <c r="QP963" s="9"/>
      <c r="QQ963" s="9"/>
      <c r="QR963" s="9"/>
      <c r="QS963" s="9"/>
      <c r="QT963" s="9"/>
      <c r="QU963" s="9"/>
      <c r="QV963" s="9"/>
      <c r="QW963" s="9"/>
      <c r="QX963" s="9"/>
      <c r="QY963" s="9"/>
      <c r="QZ963" s="9"/>
      <c r="RA963" s="9"/>
      <c r="RB963" s="9"/>
      <c r="RC963" s="9"/>
      <c r="RD963" s="9"/>
      <c r="RE963" s="9"/>
      <c r="RF963" s="9"/>
      <c r="RG963" s="9"/>
      <c r="RH963" s="9"/>
      <c r="RI963" s="9"/>
      <c r="RJ963" s="9"/>
      <c r="RK963" s="9"/>
      <c r="RL963" s="9"/>
      <c r="RM963" s="9"/>
      <c r="RN963" s="9"/>
      <c r="RO963" s="9"/>
      <c r="RP963" s="9"/>
      <c r="RQ963" s="9"/>
      <c r="RR963" s="9"/>
      <c r="RS963" s="9"/>
      <c r="RT963" s="9"/>
      <c r="RU963" s="9"/>
      <c r="RV963" s="9"/>
      <c r="RW963" s="9"/>
      <c r="RX963" s="9"/>
      <c r="RY963" s="9"/>
      <c r="RZ963" s="9"/>
      <c r="SA963" s="9"/>
      <c r="SB963" s="9"/>
      <c r="SC963" s="9"/>
      <c r="SD963" s="9"/>
      <c r="SE963" s="9"/>
      <c r="SF963" s="9"/>
      <c r="SG963" s="9"/>
      <c r="SH963" s="9"/>
      <c r="SI963" s="9"/>
      <c r="SJ963" s="9"/>
      <c r="SK963" s="9"/>
      <c r="SL963" s="9"/>
      <c r="SM963" s="9"/>
      <c r="SN963" s="9"/>
      <c r="SO963" s="9"/>
      <c r="SP963" s="9"/>
      <c r="SQ963" s="9"/>
      <c r="SR963" s="9"/>
      <c r="SS963" s="9"/>
      <c r="ST963" s="9"/>
      <c r="SU963" s="9"/>
      <c r="SV963" s="9"/>
      <c r="SW963" s="9"/>
      <c r="SX963" s="9"/>
      <c r="SY963" s="9"/>
      <c r="SZ963" s="9"/>
      <c r="TA963" s="9"/>
      <c r="TB963" s="9"/>
      <c r="TC963" s="9"/>
      <c r="TD963" s="9"/>
      <c r="TE963" s="9"/>
      <c r="TF963" s="9"/>
      <c r="TG963" s="9"/>
      <c r="TH963" s="9"/>
      <c r="TI963" s="9"/>
      <c r="TJ963" s="9"/>
      <c r="TK963" s="9"/>
      <c r="TL963" s="9"/>
      <c r="TM963" s="9"/>
      <c r="TN963" s="9"/>
      <c r="TO963" s="9"/>
      <c r="TP963" s="9"/>
      <c r="TQ963" s="9"/>
      <c r="TR963" s="9"/>
      <c r="TS963" s="9"/>
      <c r="TT963" s="9"/>
      <c r="TU963" s="9"/>
      <c r="TV963" s="9"/>
      <c r="TW963" s="9"/>
      <c r="TX963" s="9"/>
      <c r="TY963" s="9"/>
      <c r="TZ963" s="9"/>
      <c r="UA963" s="9"/>
      <c r="UB963" s="9"/>
      <c r="UC963" s="9"/>
      <c r="UD963" s="9"/>
      <c r="UE963" s="9"/>
      <c r="UF963" s="9"/>
      <c r="UG963" s="9"/>
      <c r="UH963" s="9"/>
      <c r="UI963" s="9"/>
      <c r="UJ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9"/>
      <c r="FS964" s="9"/>
      <c r="FT964" s="9"/>
      <c r="FU964" s="9"/>
      <c r="FV964" s="9"/>
      <c r="FW964" s="9"/>
      <c r="FX964" s="9"/>
      <c r="FY964" s="9"/>
      <c r="FZ964" s="9"/>
      <c r="GA964" s="9"/>
      <c r="GB964" s="9"/>
      <c r="GC964" s="9"/>
      <c r="GD964" s="9"/>
      <c r="GE964" s="9"/>
      <c r="GF964" s="9"/>
      <c r="GG964" s="9"/>
      <c r="GH964" s="9"/>
      <c r="GI964" s="9"/>
      <c r="GJ964" s="9"/>
      <c r="GK964" s="9"/>
      <c r="GL964" s="9"/>
      <c r="GM964" s="9"/>
      <c r="GN964" s="9"/>
      <c r="GO964" s="9"/>
      <c r="GP964" s="9"/>
      <c r="GQ964" s="9"/>
      <c r="GR964" s="9"/>
      <c r="GS964" s="9"/>
      <c r="GT964" s="9"/>
      <c r="GU964" s="9"/>
      <c r="GV964" s="9"/>
      <c r="GW964" s="9"/>
      <c r="GX964" s="9"/>
      <c r="GY964" s="9"/>
      <c r="GZ964" s="9"/>
      <c r="HA964" s="9"/>
      <c r="HB964" s="9"/>
      <c r="HC964" s="9"/>
      <c r="HD964" s="9"/>
      <c r="HE964" s="9"/>
      <c r="HF964" s="9"/>
      <c r="HG964" s="9"/>
      <c r="HH964" s="9"/>
      <c r="HI964" s="9"/>
      <c r="HJ964" s="9"/>
      <c r="HK964" s="9"/>
      <c r="HL964" s="9"/>
      <c r="HM964" s="9"/>
      <c r="HN964" s="9"/>
      <c r="HO964" s="9"/>
      <c r="HP964" s="9"/>
      <c r="HQ964" s="9"/>
      <c r="HR964" s="9"/>
      <c r="HS964" s="9"/>
      <c r="HT964" s="9"/>
      <c r="HU964" s="9"/>
      <c r="HV964" s="9"/>
      <c r="HW964" s="9"/>
      <c r="HX964" s="9"/>
      <c r="HY964" s="9"/>
      <c r="HZ964" s="9"/>
      <c r="IA964" s="9"/>
      <c r="IB964" s="9"/>
      <c r="IC964" s="9"/>
      <c r="ID964" s="9"/>
      <c r="IE964" s="9"/>
      <c r="IF964" s="9"/>
      <c r="IG964" s="9"/>
      <c r="IH964" s="9"/>
      <c r="II964" s="9"/>
      <c r="IJ964" s="9"/>
      <c r="IK964" s="9"/>
      <c r="IL964" s="9"/>
      <c r="IM964" s="9"/>
      <c r="IN964" s="9"/>
      <c r="IO964" s="9"/>
      <c r="IP964" s="9"/>
      <c r="IQ964" s="9"/>
      <c r="IR964" s="9"/>
      <c r="IS964" s="9"/>
      <c r="IT964" s="9"/>
      <c r="IU964" s="9"/>
      <c r="IV964" s="9"/>
      <c r="IW964" s="9"/>
      <c r="IX964" s="9"/>
      <c r="IY964" s="9"/>
      <c r="IZ964" s="9"/>
      <c r="JA964" s="9"/>
      <c r="JB964" s="9"/>
      <c r="JC964" s="9"/>
      <c r="JD964" s="9"/>
      <c r="JE964" s="9"/>
      <c r="JF964" s="9"/>
      <c r="JG964" s="9"/>
      <c r="JH964" s="9"/>
      <c r="JI964" s="9"/>
      <c r="JJ964" s="9"/>
      <c r="JK964" s="9"/>
      <c r="JL964" s="9"/>
      <c r="JM964" s="9"/>
      <c r="JN964" s="9"/>
      <c r="JO964" s="9"/>
      <c r="JP964" s="9"/>
      <c r="JQ964" s="9"/>
      <c r="JR964" s="9"/>
      <c r="JS964" s="9"/>
      <c r="JT964" s="9"/>
      <c r="JU964" s="9"/>
      <c r="JV964" s="9"/>
      <c r="JW964" s="9"/>
      <c r="JX964" s="9"/>
      <c r="JY964" s="9"/>
      <c r="JZ964" s="9"/>
      <c r="KA964" s="9"/>
      <c r="KB964" s="9"/>
      <c r="KC964" s="9"/>
      <c r="KD964" s="9"/>
      <c r="KE964" s="9"/>
      <c r="KF964" s="9"/>
      <c r="KG964" s="9"/>
      <c r="KH964" s="9"/>
      <c r="KI964" s="9"/>
      <c r="KJ964" s="9"/>
      <c r="KK964" s="9"/>
      <c r="KL964" s="9"/>
      <c r="KM964" s="9"/>
      <c r="KN964" s="9"/>
      <c r="KO964" s="9"/>
      <c r="KP964" s="9"/>
      <c r="KQ964" s="9"/>
      <c r="KR964" s="9"/>
      <c r="KS964" s="9"/>
      <c r="KT964" s="9"/>
      <c r="KU964" s="9"/>
      <c r="KV964" s="9"/>
      <c r="KW964" s="9"/>
      <c r="KX964" s="9"/>
      <c r="KY964" s="9"/>
      <c r="KZ964" s="9"/>
      <c r="LA964" s="9"/>
      <c r="LB964" s="9"/>
      <c r="LC964" s="9"/>
      <c r="LD964" s="9"/>
      <c r="LE964" s="9"/>
      <c r="LF964" s="9"/>
      <c r="LG964" s="9"/>
      <c r="LH964" s="9"/>
      <c r="LI964" s="9"/>
      <c r="LJ964" s="9"/>
      <c r="LK964" s="9"/>
      <c r="LL964" s="9"/>
      <c r="LM964" s="9"/>
      <c r="LN964" s="9"/>
      <c r="LO964" s="9"/>
      <c r="LP964" s="9"/>
      <c r="LQ964" s="9"/>
      <c r="LR964" s="9"/>
      <c r="LS964" s="9"/>
      <c r="LT964" s="9"/>
      <c r="LU964" s="9"/>
      <c r="LV964" s="9"/>
      <c r="LW964" s="9"/>
      <c r="LX964" s="9"/>
      <c r="LY964" s="9"/>
      <c r="LZ964" s="9"/>
      <c r="MA964" s="9"/>
      <c r="MB964" s="9"/>
      <c r="MC964" s="9"/>
      <c r="MD964" s="9"/>
      <c r="ME964" s="9"/>
      <c r="MF964" s="9"/>
      <c r="MG964" s="9"/>
      <c r="MH964" s="9"/>
      <c r="MI964" s="9"/>
      <c r="MJ964" s="9"/>
      <c r="MK964" s="9"/>
      <c r="ML964" s="9"/>
      <c r="MM964" s="9"/>
      <c r="MN964" s="9"/>
      <c r="MO964" s="9"/>
      <c r="MP964" s="9"/>
      <c r="MQ964" s="9"/>
      <c r="MR964" s="9"/>
      <c r="MS964" s="9"/>
      <c r="MT964" s="9"/>
      <c r="MU964" s="9"/>
      <c r="MV964" s="9"/>
      <c r="MW964" s="9"/>
      <c r="MX964" s="9"/>
      <c r="MY964" s="9"/>
      <c r="MZ964" s="9"/>
      <c r="NA964" s="9"/>
      <c r="NB964" s="9"/>
      <c r="NC964" s="9"/>
      <c r="ND964" s="9"/>
      <c r="NE964" s="9"/>
      <c r="NF964" s="9"/>
      <c r="NG964" s="9"/>
      <c r="NH964" s="9"/>
      <c r="NI964" s="9"/>
      <c r="NJ964" s="9"/>
      <c r="NK964" s="9"/>
      <c r="NL964" s="9"/>
      <c r="NM964" s="9"/>
      <c r="NN964" s="9"/>
      <c r="NO964" s="9"/>
      <c r="NP964" s="9"/>
      <c r="NQ964" s="9"/>
      <c r="NR964" s="9"/>
      <c r="NS964" s="9"/>
      <c r="NT964" s="9"/>
      <c r="NU964" s="9"/>
      <c r="NV964" s="9"/>
      <c r="NW964" s="9"/>
      <c r="NX964" s="9"/>
      <c r="NY964" s="9"/>
      <c r="NZ964" s="9"/>
      <c r="OA964" s="9"/>
      <c r="OB964" s="9"/>
      <c r="OC964" s="9"/>
      <c r="OD964" s="9"/>
      <c r="OE964" s="9"/>
      <c r="OF964" s="9"/>
      <c r="OG964" s="9"/>
      <c r="OH964" s="9"/>
      <c r="OI964" s="9"/>
      <c r="OJ964" s="9"/>
      <c r="OK964" s="9"/>
      <c r="OL964" s="9"/>
      <c r="OM964" s="9"/>
      <c r="ON964" s="9"/>
      <c r="OO964" s="9"/>
      <c r="OP964" s="9"/>
      <c r="OQ964" s="9"/>
      <c r="OR964" s="9"/>
      <c r="OS964" s="9"/>
      <c r="OT964" s="9"/>
      <c r="OU964" s="9"/>
      <c r="OV964" s="9"/>
      <c r="OW964" s="9"/>
      <c r="OX964" s="9"/>
      <c r="OY964" s="9"/>
      <c r="OZ964" s="9"/>
      <c r="PA964" s="9"/>
      <c r="PB964" s="9"/>
      <c r="PC964" s="9"/>
      <c r="PD964" s="9"/>
      <c r="PE964" s="9"/>
      <c r="PF964" s="9"/>
      <c r="PG964" s="9"/>
      <c r="PH964" s="9"/>
      <c r="PI964" s="9"/>
      <c r="PJ964" s="9"/>
      <c r="PK964" s="9"/>
      <c r="PL964" s="9"/>
      <c r="PM964" s="9"/>
      <c r="PN964" s="9"/>
      <c r="PO964" s="9"/>
      <c r="PP964" s="9"/>
      <c r="PQ964" s="9"/>
      <c r="PR964" s="9"/>
      <c r="PS964" s="9"/>
      <c r="PT964" s="9"/>
      <c r="PU964" s="9"/>
      <c r="PV964" s="9"/>
      <c r="PW964" s="9"/>
      <c r="PX964" s="9"/>
      <c r="PY964" s="9"/>
      <c r="PZ964" s="9"/>
      <c r="QA964" s="9"/>
      <c r="QB964" s="9"/>
      <c r="QC964" s="9"/>
      <c r="QD964" s="9"/>
      <c r="QE964" s="9"/>
      <c r="QF964" s="9"/>
      <c r="QG964" s="9"/>
      <c r="QH964" s="9"/>
      <c r="QI964" s="9"/>
      <c r="QJ964" s="9"/>
      <c r="QK964" s="9"/>
      <c r="QL964" s="9"/>
      <c r="QM964" s="9"/>
      <c r="QN964" s="9"/>
      <c r="QO964" s="9"/>
      <c r="QP964" s="9"/>
      <c r="QQ964" s="9"/>
      <c r="QR964" s="9"/>
      <c r="QS964" s="9"/>
      <c r="QT964" s="9"/>
      <c r="QU964" s="9"/>
      <c r="QV964" s="9"/>
      <c r="QW964" s="9"/>
      <c r="QX964" s="9"/>
      <c r="QY964" s="9"/>
      <c r="QZ964" s="9"/>
      <c r="RA964" s="9"/>
      <c r="RB964" s="9"/>
      <c r="RC964" s="9"/>
      <c r="RD964" s="9"/>
      <c r="RE964" s="9"/>
      <c r="RF964" s="9"/>
      <c r="RG964" s="9"/>
      <c r="RH964" s="9"/>
      <c r="RI964" s="9"/>
      <c r="RJ964" s="9"/>
      <c r="RK964" s="9"/>
      <c r="RL964" s="9"/>
      <c r="RM964" s="9"/>
      <c r="RN964" s="9"/>
      <c r="RO964" s="9"/>
      <c r="RP964" s="9"/>
      <c r="RQ964" s="9"/>
      <c r="RR964" s="9"/>
      <c r="RS964" s="9"/>
      <c r="RT964" s="9"/>
      <c r="RU964" s="9"/>
      <c r="RV964" s="9"/>
      <c r="RW964" s="9"/>
      <c r="RX964" s="9"/>
      <c r="RY964" s="9"/>
      <c r="RZ964" s="9"/>
      <c r="SA964" s="9"/>
      <c r="SB964" s="9"/>
      <c r="SC964" s="9"/>
      <c r="SD964" s="9"/>
      <c r="SE964" s="9"/>
      <c r="SF964" s="9"/>
      <c r="SG964" s="9"/>
      <c r="SH964" s="9"/>
      <c r="SI964" s="9"/>
      <c r="SJ964" s="9"/>
      <c r="SK964" s="9"/>
      <c r="SL964" s="9"/>
      <c r="SM964" s="9"/>
      <c r="SN964" s="9"/>
      <c r="SO964" s="9"/>
      <c r="SP964" s="9"/>
      <c r="SQ964" s="9"/>
      <c r="SR964" s="9"/>
      <c r="SS964" s="9"/>
      <c r="ST964" s="9"/>
      <c r="SU964" s="9"/>
      <c r="SV964" s="9"/>
      <c r="SW964" s="9"/>
      <c r="SX964" s="9"/>
      <c r="SY964" s="9"/>
      <c r="SZ964" s="9"/>
      <c r="TA964" s="9"/>
      <c r="TB964" s="9"/>
      <c r="TC964" s="9"/>
      <c r="TD964" s="9"/>
      <c r="TE964" s="9"/>
      <c r="TF964" s="9"/>
      <c r="TG964" s="9"/>
      <c r="TH964" s="9"/>
      <c r="TI964" s="9"/>
      <c r="TJ964" s="9"/>
      <c r="TK964" s="9"/>
      <c r="TL964" s="9"/>
      <c r="TM964" s="9"/>
      <c r="TN964" s="9"/>
      <c r="TO964" s="9"/>
      <c r="TP964" s="9"/>
      <c r="TQ964" s="9"/>
      <c r="TR964" s="9"/>
      <c r="TS964" s="9"/>
      <c r="TT964" s="9"/>
      <c r="TU964" s="9"/>
      <c r="TV964" s="9"/>
      <c r="TW964" s="9"/>
      <c r="TX964" s="9"/>
      <c r="TY964" s="9"/>
      <c r="TZ964" s="9"/>
      <c r="UA964" s="9"/>
      <c r="UB964" s="9"/>
      <c r="UC964" s="9"/>
      <c r="UD964" s="9"/>
      <c r="UE964" s="9"/>
      <c r="UF964" s="9"/>
      <c r="UG964" s="9"/>
      <c r="UH964" s="9"/>
      <c r="UI964" s="9"/>
      <c r="UJ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/>
      <c r="FJ965" s="9"/>
      <c r="FK965" s="9"/>
      <c r="FL965" s="9"/>
      <c r="FM965" s="9"/>
      <c r="FN965" s="9"/>
      <c r="FO965" s="9"/>
      <c r="FP965" s="9"/>
      <c r="FQ965" s="9"/>
      <c r="FR965" s="9"/>
      <c r="FS965" s="9"/>
      <c r="FT965" s="9"/>
      <c r="FU965" s="9"/>
      <c r="FV965" s="9"/>
      <c r="FW965" s="9"/>
      <c r="FX965" s="9"/>
      <c r="FY965" s="9"/>
      <c r="FZ965" s="9"/>
      <c r="GA965" s="9"/>
      <c r="GB965" s="9"/>
      <c r="GC965" s="9"/>
      <c r="GD965" s="9"/>
      <c r="GE965" s="9"/>
      <c r="GF965" s="9"/>
      <c r="GG965" s="9"/>
      <c r="GH965" s="9"/>
      <c r="GI965" s="9"/>
      <c r="GJ965" s="9"/>
      <c r="GK965" s="9"/>
      <c r="GL965" s="9"/>
      <c r="GM965" s="9"/>
      <c r="GN965" s="9"/>
      <c r="GO965" s="9"/>
      <c r="GP965" s="9"/>
      <c r="GQ965" s="9"/>
      <c r="GR965" s="9"/>
      <c r="GS965" s="9"/>
      <c r="GT965" s="9"/>
      <c r="GU965" s="9"/>
      <c r="GV965" s="9"/>
      <c r="GW965" s="9"/>
      <c r="GX965" s="9"/>
      <c r="GY965" s="9"/>
      <c r="GZ965" s="9"/>
      <c r="HA965" s="9"/>
      <c r="HB965" s="9"/>
      <c r="HC965" s="9"/>
      <c r="HD965" s="9"/>
      <c r="HE965" s="9"/>
      <c r="HF965" s="9"/>
      <c r="HG965" s="9"/>
      <c r="HH965" s="9"/>
      <c r="HI965" s="9"/>
      <c r="HJ965" s="9"/>
      <c r="HK965" s="9"/>
      <c r="HL965" s="9"/>
      <c r="HM965" s="9"/>
      <c r="HN965" s="9"/>
      <c r="HO965" s="9"/>
      <c r="HP965" s="9"/>
      <c r="HQ965" s="9"/>
      <c r="HR965" s="9"/>
      <c r="HS965" s="9"/>
      <c r="HT965" s="9"/>
      <c r="HU965" s="9"/>
      <c r="HV965" s="9"/>
      <c r="HW965" s="9"/>
      <c r="HX965" s="9"/>
      <c r="HY965" s="9"/>
      <c r="HZ965" s="9"/>
      <c r="IA965" s="9"/>
      <c r="IB965" s="9"/>
      <c r="IC965" s="9"/>
      <c r="ID965" s="9"/>
      <c r="IE965" s="9"/>
      <c r="IF965" s="9"/>
      <c r="IG965" s="9"/>
      <c r="IH965" s="9"/>
      <c r="II965" s="9"/>
      <c r="IJ965" s="9"/>
      <c r="IK965" s="9"/>
      <c r="IL965" s="9"/>
      <c r="IM965" s="9"/>
      <c r="IN965" s="9"/>
      <c r="IO965" s="9"/>
      <c r="IP965" s="9"/>
      <c r="IQ965" s="9"/>
      <c r="IR965" s="9"/>
      <c r="IS965" s="9"/>
      <c r="IT965" s="9"/>
      <c r="IU965" s="9"/>
      <c r="IV965" s="9"/>
      <c r="IW965" s="9"/>
      <c r="IX965" s="9"/>
      <c r="IY965" s="9"/>
      <c r="IZ965" s="9"/>
      <c r="JA965" s="9"/>
      <c r="JB965" s="9"/>
      <c r="JC965" s="9"/>
      <c r="JD965" s="9"/>
      <c r="JE965" s="9"/>
      <c r="JF965" s="9"/>
      <c r="JG965" s="9"/>
      <c r="JH965" s="9"/>
      <c r="JI965" s="9"/>
      <c r="JJ965" s="9"/>
      <c r="JK965" s="9"/>
      <c r="JL965" s="9"/>
      <c r="JM965" s="9"/>
      <c r="JN965" s="9"/>
      <c r="JO965" s="9"/>
      <c r="JP965" s="9"/>
      <c r="JQ965" s="9"/>
      <c r="JR965" s="9"/>
      <c r="JS965" s="9"/>
      <c r="JT965" s="9"/>
      <c r="JU965" s="9"/>
      <c r="JV965" s="9"/>
      <c r="JW965" s="9"/>
      <c r="JX965" s="9"/>
      <c r="JY965" s="9"/>
      <c r="JZ965" s="9"/>
      <c r="KA965" s="9"/>
      <c r="KB965" s="9"/>
      <c r="KC965" s="9"/>
      <c r="KD965" s="9"/>
      <c r="KE965" s="9"/>
      <c r="KF965" s="9"/>
      <c r="KG965" s="9"/>
      <c r="KH965" s="9"/>
      <c r="KI965" s="9"/>
      <c r="KJ965" s="9"/>
      <c r="KK965" s="9"/>
      <c r="KL965" s="9"/>
      <c r="KM965" s="9"/>
      <c r="KN965" s="9"/>
      <c r="KO965" s="9"/>
      <c r="KP965" s="9"/>
      <c r="KQ965" s="9"/>
      <c r="KR965" s="9"/>
      <c r="KS965" s="9"/>
      <c r="KT965" s="9"/>
      <c r="KU965" s="9"/>
      <c r="KV965" s="9"/>
      <c r="KW965" s="9"/>
      <c r="KX965" s="9"/>
      <c r="KY965" s="9"/>
      <c r="KZ965" s="9"/>
      <c r="LA965" s="9"/>
      <c r="LB965" s="9"/>
      <c r="LC965" s="9"/>
      <c r="LD965" s="9"/>
      <c r="LE965" s="9"/>
      <c r="LF965" s="9"/>
      <c r="LG965" s="9"/>
      <c r="LH965" s="9"/>
      <c r="LI965" s="9"/>
      <c r="LJ965" s="9"/>
      <c r="LK965" s="9"/>
      <c r="LL965" s="9"/>
      <c r="LM965" s="9"/>
      <c r="LN965" s="9"/>
      <c r="LO965" s="9"/>
      <c r="LP965" s="9"/>
      <c r="LQ965" s="9"/>
      <c r="LR965" s="9"/>
      <c r="LS965" s="9"/>
      <c r="LT965" s="9"/>
      <c r="LU965" s="9"/>
      <c r="LV965" s="9"/>
      <c r="LW965" s="9"/>
      <c r="LX965" s="9"/>
      <c r="LY965" s="9"/>
      <c r="LZ965" s="9"/>
      <c r="MA965" s="9"/>
      <c r="MB965" s="9"/>
      <c r="MC965" s="9"/>
      <c r="MD965" s="9"/>
      <c r="ME965" s="9"/>
      <c r="MF965" s="9"/>
      <c r="MG965" s="9"/>
      <c r="MH965" s="9"/>
      <c r="MI965" s="9"/>
      <c r="MJ965" s="9"/>
      <c r="MK965" s="9"/>
      <c r="ML965" s="9"/>
      <c r="MM965" s="9"/>
      <c r="MN965" s="9"/>
      <c r="MO965" s="9"/>
      <c r="MP965" s="9"/>
      <c r="MQ965" s="9"/>
      <c r="MR965" s="9"/>
      <c r="MS965" s="9"/>
      <c r="MT965" s="9"/>
      <c r="MU965" s="9"/>
      <c r="MV965" s="9"/>
      <c r="MW965" s="9"/>
      <c r="MX965" s="9"/>
      <c r="MY965" s="9"/>
      <c r="MZ965" s="9"/>
      <c r="NA965" s="9"/>
      <c r="NB965" s="9"/>
      <c r="NC965" s="9"/>
      <c r="ND965" s="9"/>
      <c r="NE965" s="9"/>
      <c r="NF965" s="9"/>
      <c r="NG965" s="9"/>
      <c r="NH965" s="9"/>
      <c r="NI965" s="9"/>
      <c r="NJ965" s="9"/>
      <c r="NK965" s="9"/>
      <c r="NL965" s="9"/>
      <c r="NM965" s="9"/>
      <c r="NN965" s="9"/>
      <c r="NO965" s="9"/>
      <c r="NP965" s="9"/>
      <c r="NQ965" s="9"/>
      <c r="NR965" s="9"/>
      <c r="NS965" s="9"/>
      <c r="NT965" s="9"/>
      <c r="NU965" s="9"/>
      <c r="NV965" s="9"/>
      <c r="NW965" s="9"/>
      <c r="NX965" s="9"/>
      <c r="NY965" s="9"/>
      <c r="NZ965" s="9"/>
      <c r="OA965" s="9"/>
      <c r="OB965" s="9"/>
      <c r="OC965" s="9"/>
      <c r="OD965" s="9"/>
      <c r="OE965" s="9"/>
      <c r="OF965" s="9"/>
      <c r="OG965" s="9"/>
      <c r="OH965" s="9"/>
      <c r="OI965" s="9"/>
      <c r="OJ965" s="9"/>
      <c r="OK965" s="9"/>
      <c r="OL965" s="9"/>
      <c r="OM965" s="9"/>
      <c r="ON965" s="9"/>
      <c r="OO965" s="9"/>
      <c r="OP965" s="9"/>
      <c r="OQ965" s="9"/>
      <c r="OR965" s="9"/>
      <c r="OS965" s="9"/>
      <c r="OT965" s="9"/>
      <c r="OU965" s="9"/>
      <c r="OV965" s="9"/>
      <c r="OW965" s="9"/>
      <c r="OX965" s="9"/>
      <c r="OY965" s="9"/>
      <c r="OZ965" s="9"/>
      <c r="PA965" s="9"/>
      <c r="PB965" s="9"/>
      <c r="PC965" s="9"/>
      <c r="PD965" s="9"/>
      <c r="PE965" s="9"/>
      <c r="PF965" s="9"/>
      <c r="PG965" s="9"/>
      <c r="PH965" s="9"/>
      <c r="PI965" s="9"/>
      <c r="PJ965" s="9"/>
      <c r="PK965" s="9"/>
      <c r="PL965" s="9"/>
      <c r="PM965" s="9"/>
      <c r="PN965" s="9"/>
      <c r="PO965" s="9"/>
      <c r="PP965" s="9"/>
      <c r="PQ965" s="9"/>
      <c r="PR965" s="9"/>
      <c r="PS965" s="9"/>
      <c r="PT965" s="9"/>
      <c r="PU965" s="9"/>
      <c r="PV965" s="9"/>
      <c r="PW965" s="9"/>
      <c r="PX965" s="9"/>
      <c r="PY965" s="9"/>
      <c r="PZ965" s="9"/>
      <c r="QA965" s="9"/>
      <c r="QB965" s="9"/>
      <c r="QC965" s="9"/>
      <c r="QD965" s="9"/>
      <c r="QE965" s="9"/>
      <c r="QF965" s="9"/>
      <c r="QG965" s="9"/>
      <c r="QH965" s="9"/>
      <c r="QI965" s="9"/>
      <c r="QJ965" s="9"/>
      <c r="QK965" s="9"/>
      <c r="QL965" s="9"/>
      <c r="QM965" s="9"/>
      <c r="QN965" s="9"/>
      <c r="QO965" s="9"/>
      <c r="QP965" s="9"/>
      <c r="QQ965" s="9"/>
      <c r="QR965" s="9"/>
      <c r="QS965" s="9"/>
      <c r="QT965" s="9"/>
      <c r="QU965" s="9"/>
      <c r="QV965" s="9"/>
      <c r="QW965" s="9"/>
      <c r="QX965" s="9"/>
      <c r="QY965" s="9"/>
      <c r="QZ965" s="9"/>
      <c r="RA965" s="9"/>
      <c r="RB965" s="9"/>
      <c r="RC965" s="9"/>
      <c r="RD965" s="9"/>
      <c r="RE965" s="9"/>
      <c r="RF965" s="9"/>
      <c r="RG965" s="9"/>
      <c r="RH965" s="9"/>
      <c r="RI965" s="9"/>
      <c r="RJ965" s="9"/>
      <c r="RK965" s="9"/>
      <c r="RL965" s="9"/>
      <c r="RM965" s="9"/>
      <c r="RN965" s="9"/>
      <c r="RO965" s="9"/>
      <c r="RP965" s="9"/>
      <c r="RQ965" s="9"/>
      <c r="RR965" s="9"/>
      <c r="RS965" s="9"/>
      <c r="RT965" s="9"/>
      <c r="RU965" s="9"/>
      <c r="RV965" s="9"/>
      <c r="RW965" s="9"/>
      <c r="RX965" s="9"/>
      <c r="RY965" s="9"/>
      <c r="RZ965" s="9"/>
      <c r="SA965" s="9"/>
      <c r="SB965" s="9"/>
      <c r="SC965" s="9"/>
      <c r="SD965" s="9"/>
      <c r="SE965" s="9"/>
      <c r="SF965" s="9"/>
      <c r="SG965" s="9"/>
      <c r="SH965" s="9"/>
      <c r="SI965" s="9"/>
      <c r="SJ965" s="9"/>
      <c r="SK965" s="9"/>
      <c r="SL965" s="9"/>
      <c r="SM965" s="9"/>
      <c r="SN965" s="9"/>
      <c r="SO965" s="9"/>
      <c r="SP965" s="9"/>
      <c r="SQ965" s="9"/>
      <c r="SR965" s="9"/>
      <c r="SS965" s="9"/>
      <c r="ST965" s="9"/>
      <c r="SU965" s="9"/>
      <c r="SV965" s="9"/>
      <c r="SW965" s="9"/>
      <c r="SX965" s="9"/>
      <c r="SY965" s="9"/>
      <c r="SZ965" s="9"/>
      <c r="TA965" s="9"/>
      <c r="TB965" s="9"/>
      <c r="TC965" s="9"/>
      <c r="TD965" s="9"/>
      <c r="TE965" s="9"/>
      <c r="TF965" s="9"/>
      <c r="TG965" s="9"/>
      <c r="TH965" s="9"/>
      <c r="TI965" s="9"/>
      <c r="TJ965" s="9"/>
      <c r="TK965" s="9"/>
      <c r="TL965" s="9"/>
      <c r="TM965" s="9"/>
      <c r="TN965" s="9"/>
      <c r="TO965" s="9"/>
      <c r="TP965" s="9"/>
      <c r="TQ965" s="9"/>
      <c r="TR965" s="9"/>
      <c r="TS965" s="9"/>
      <c r="TT965" s="9"/>
      <c r="TU965" s="9"/>
      <c r="TV965" s="9"/>
      <c r="TW965" s="9"/>
      <c r="TX965" s="9"/>
      <c r="TY965" s="9"/>
      <c r="TZ965" s="9"/>
      <c r="UA965" s="9"/>
      <c r="UB965" s="9"/>
      <c r="UC965" s="9"/>
      <c r="UD965" s="9"/>
      <c r="UE965" s="9"/>
      <c r="UF965" s="9"/>
      <c r="UG965" s="9"/>
      <c r="UH965" s="9"/>
      <c r="UI965" s="9"/>
      <c r="UJ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/>
      <c r="FJ966" s="9"/>
      <c r="FK966" s="9"/>
      <c r="FL966" s="9"/>
      <c r="FM966" s="9"/>
      <c r="FN966" s="9"/>
      <c r="FO966" s="9"/>
      <c r="FP966" s="9"/>
      <c r="FQ966" s="9"/>
      <c r="FR966" s="9"/>
      <c r="FS966" s="9"/>
      <c r="FT966" s="9"/>
      <c r="FU966" s="9"/>
      <c r="FV966" s="9"/>
      <c r="FW966" s="9"/>
      <c r="FX966" s="9"/>
      <c r="FY966" s="9"/>
      <c r="FZ966" s="9"/>
      <c r="GA966" s="9"/>
      <c r="GB966" s="9"/>
      <c r="GC966" s="9"/>
      <c r="GD966" s="9"/>
      <c r="GE966" s="9"/>
      <c r="GF966" s="9"/>
      <c r="GG966" s="9"/>
      <c r="GH966" s="9"/>
      <c r="GI966" s="9"/>
      <c r="GJ966" s="9"/>
      <c r="GK966" s="9"/>
      <c r="GL966" s="9"/>
      <c r="GM966" s="9"/>
      <c r="GN966" s="9"/>
      <c r="GO966" s="9"/>
      <c r="GP966" s="9"/>
      <c r="GQ966" s="9"/>
      <c r="GR966" s="9"/>
      <c r="GS966" s="9"/>
      <c r="GT966" s="9"/>
      <c r="GU966" s="9"/>
      <c r="GV966" s="9"/>
      <c r="GW966" s="9"/>
      <c r="GX966" s="9"/>
      <c r="GY966" s="9"/>
      <c r="GZ966" s="9"/>
      <c r="HA966" s="9"/>
      <c r="HB966" s="9"/>
      <c r="HC966" s="9"/>
      <c r="HD966" s="9"/>
      <c r="HE966" s="9"/>
      <c r="HF966" s="9"/>
      <c r="HG966" s="9"/>
      <c r="HH966" s="9"/>
      <c r="HI966" s="9"/>
      <c r="HJ966" s="9"/>
      <c r="HK966" s="9"/>
      <c r="HL966" s="9"/>
      <c r="HM966" s="9"/>
      <c r="HN966" s="9"/>
      <c r="HO966" s="9"/>
      <c r="HP966" s="9"/>
      <c r="HQ966" s="9"/>
      <c r="HR966" s="9"/>
      <c r="HS966" s="9"/>
      <c r="HT966" s="9"/>
      <c r="HU966" s="9"/>
      <c r="HV966" s="9"/>
      <c r="HW966" s="9"/>
      <c r="HX966" s="9"/>
      <c r="HY966" s="9"/>
      <c r="HZ966" s="9"/>
      <c r="IA966" s="9"/>
      <c r="IB966" s="9"/>
      <c r="IC966" s="9"/>
      <c r="ID966" s="9"/>
      <c r="IE966" s="9"/>
      <c r="IF966" s="9"/>
      <c r="IG966" s="9"/>
      <c r="IH966" s="9"/>
      <c r="II966" s="9"/>
      <c r="IJ966" s="9"/>
      <c r="IK966" s="9"/>
      <c r="IL966" s="9"/>
      <c r="IM966" s="9"/>
      <c r="IN966" s="9"/>
      <c r="IO966" s="9"/>
      <c r="IP966" s="9"/>
      <c r="IQ966" s="9"/>
      <c r="IR966" s="9"/>
      <c r="IS966" s="9"/>
      <c r="IT966" s="9"/>
      <c r="IU966" s="9"/>
      <c r="IV966" s="9"/>
      <c r="IW966" s="9"/>
      <c r="IX966" s="9"/>
      <c r="IY966" s="9"/>
      <c r="IZ966" s="9"/>
      <c r="JA966" s="9"/>
      <c r="JB966" s="9"/>
      <c r="JC966" s="9"/>
      <c r="JD966" s="9"/>
      <c r="JE966" s="9"/>
      <c r="JF966" s="9"/>
      <c r="JG966" s="9"/>
      <c r="JH966" s="9"/>
      <c r="JI966" s="9"/>
      <c r="JJ966" s="9"/>
      <c r="JK966" s="9"/>
      <c r="JL966" s="9"/>
      <c r="JM966" s="9"/>
      <c r="JN966" s="9"/>
      <c r="JO966" s="9"/>
      <c r="JP966" s="9"/>
      <c r="JQ966" s="9"/>
      <c r="JR966" s="9"/>
      <c r="JS966" s="9"/>
      <c r="JT966" s="9"/>
      <c r="JU966" s="9"/>
      <c r="JV966" s="9"/>
      <c r="JW966" s="9"/>
      <c r="JX966" s="9"/>
      <c r="JY966" s="9"/>
      <c r="JZ966" s="9"/>
      <c r="KA966" s="9"/>
      <c r="KB966" s="9"/>
      <c r="KC966" s="9"/>
      <c r="KD966" s="9"/>
      <c r="KE966" s="9"/>
      <c r="KF966" s="9"/>
      <c r="KG966" s="9"/>
      <c r="KH966" s="9"/>
      <c r="KI966" s="9"/>
      <c r="KJ966" s="9"/>
      <c r="KK966" s="9"/>
      <c r="KL966" s="9"/>
      <c r="KM966" s="9"/>
      <c r="KN966" s="9"/>
      <c r="KO966" s="9"/>
      <c r="KP966" s="9"/>
      <c r="KQ966" s="9"/>
      <c r="KR966" s="9"/>
      <c r="KS966" s="9"/>
      <c r="KT966" s="9"/>
      <c r="KU966" s="9"/>
      <c r="KV966" s="9"/>
      <c r="KW966" s="9"/>
      <c r="KX966" s="9"/>
      <c r="KY966" s="9"/>
      <c r="KZ966" s="9"/>
      <c r="LA966" s="9"/>
      <c r="LB966" s="9"/>
      <c r="LC966" s="9"/>
      <c r="LD966" s="9"/>
      <c r="LE966" s="9"/>
      <c r="LF966" s="9"/>
      <c r="LG966" s="9"/>
      <c r="LH966" s="9"/>
      <c r="LI966" s="9"/>
      <c r="LJ966" s="9"/>
      <c r="LK966" s="9"/>
      <c r="LL966" s="9"/>
      <c r="LM966" s="9"/>
      <c r="LN966" s="9"/>
      <c r="LO966" s="9"/>
      <c r="LP966" s="9"/>
      <c r="LQ966" s="9"/>
      <c r="LR966" s="9"/>
      <c r="LS966" s="9"/>
      <c r="LT966" s="9"/>
      <c r="LU966" s="9"/>
      <c r="LV966" s="9"/>
      <c r="LW966" s="9"/>
      <c r="LX966" s="9"/>
      <c r="LY966" s="9"/>
      <c r="LZ966" s="9"/>
      <c r="MA966" s="9"/>
      <c r="MB966" s="9"/>
      <c r="MC966" s="9"/>
      <c r="MD966" s="9"/>
      <c r="ME966" s="9"/>
      <c r="MF966" s="9"/>
      <c r="MG966" s="9"/>
      <c r="MH966" s="9"/>
      <c r="MI966" s="9"/>
      <c r="MJ966" s="9"/>
      <c r="MK966" s="9"/>
      <c r="ML966" s="9"/>
      <c r="MM966" s="9"/>
      <c r="MN966" s="9"/>
      <c r="MO966" s="9"/>
      <c r="MP966" s="9"/>
      <c r="MQ966" s="9"/>
      <c r="MR966" s="9"/>
      <c r="MS966" s="9"/>
      <c r="MT966" s="9"/>
      <c r="MU966" s="9"/>
      <c r="MV966" s="9"/>
      <c r="MW966" s="9"/>
      <c r="MX966" s="9"/>
      <c r="MY966" s="9"/>
      <c r="MZ966" s="9"/>
      <c r="NA966" s="9"/>
      <c r="NB966" s="9"/>
      <c r="NC966" s="9"/>
      <c r="ND966" s="9"/>
      <c r="NE966" s="9"/>
      <c r="NF966" s="9"/>
      <c r="NG966" s="9"/>
      <c r="NH966" s="9"/>
      <c r="NI966" s="9"/>
      <c r="NJ966" s="9"/>
      <c r="NK966" s="9"/>
      <c r="NL966" s="9"/>
      <c r="NM966" s="9"/>
      <c r="NN966" s="9"/>
      <c r="NO966" s="9"/>
      <c r="NP966" s="9"/>
      <c r="NQ966" s="9"/>
      <c r="NR966" s="9"/>
      <c r="NS966" s="9"/>
      <c r="NT966" s="9"/>
      <c r="NU966" s="9"/>
      <c r="NV966" s="9"/>
      <c r="NW966" s="9"/>
      <c r="NX966" s="9"/>
      <c r="NY966" s="9"/>
      <c r="NZ966" s="9"/>
      <c r="OA966" s="9"/>
      <c r="OB966" s="9"/>
      <c r="OC966" s="9"/>
      <c r="OD966" s="9"/>
      <c r="OE966" s="9"/>
      <c r="OF966" s="9"/>
      <c r="OG966" s="9"/>
      <c r="OH966" s="9"/>
      <c r="OI966" s="9"/>
      <c r="OJ966" s="9"/>
      <c r="OK966" s="9"/>
      <c r="OL966" s="9"/>
      <c r="OM966" s="9"/>
      <c r="ON966" s="9"/>
      <c r="OO966" s="9"/>
      <c r="OP966" s="9"/>
      <c r="OQ966" s="9"/>
      <c r="OR966" s="9"/>
      <c r="OS966" s="9"/>
      <c r="OT966" s="9"/>
      <c r="OU966" s="9"/>
      <c r="OV966" s="9"/>
      <c r="OW966" s="9"/>
      <c r="OX966" s="9"/>
      <c r="OY966" s="9"/>
      <c r="OZ966" s="9"/>
      <c r="PA966" s="9"/>
      <c r="PB966" s="9"/>
      <c r="PC966" s="9"/>
      <c r="PD966" s="9"/>
      <c r="PE966" s="9"/>
      <c r="PF966" s="9"/>
      <c r="PG966" s="9"/>
      <c r="PH966" s="9"/>
      <c r="PI966" s="9"/>
      <c r="PJ966" s="9"/>
      <c r="PK966" s="9"/>
      <c r="PL966" s="9"/>
      <c r="PM966" s="9"/>
      <c r="PN966" s="9"/>
      <c r="PO966" s="9"/>
      <c r="PP966" s="9"/>
      <c r="PQ966" s="9"/>
      <c r="PR966" s="9"/>
      <c r="PS966" s="9"/>
      <c r="PT966" s="9"/>
      <c r="PU966" s="9"/>
      <c r="PV966" s="9"/>
      <c r="PW966" s="9"/>
      <c r="PX966" s="9"/>
      <c r="PY966" s="9"/>
      <c r="PZ966" s="9"/>
      <c r="QA966" s="9"/>
      <c r="QB966" s="9"/>
      <c r="QC966" s="9"/>
      <c r="QD966" s="9"/>
      <c r="QE966" s="9"/>
      <c r="QF966" s="9"/>
      <c r="QG966" s="9"/>
      <c r="QH966" s="9"/>
      <c r="QI966" s="9"/>
      <c r="QJ966" s="9"/>
      <c r="QK966" s="9"/>
      <c r="QL966" s="9"/>
      <c r="QM966" s="9"/>
      <c r="QN966" s="9"/>
      <c r="QO966" s="9"/>
      <c r="QP966" s="9"/>
      <c r="QQ966" s="9"/>
      <c r="QR966" s="9"/>
      <c r="QS966" s="9"/>
      <c r="QT966" s="9"/>
      <c r="QU966" s="9"/>
      <c r="QV966" s="9"/>
      <c r="QW966" s="9"/>
      <c r="QX966" s="9"/>
      <c r="QY966" s="9"/>
      <c r="QZ966" s="9"/>
      <c r="RA966" s="9"/>
      <c r="RB966" s="9"/>
      <c r="RC966" s="9"/>
      <c r="RD966" s="9"/>
      <c r="RE966" s="9"/>
      <c r="RF966" s="9"/>
      <c r="RG966" s="9"/>
      <c r="RH966" s="9"/>
      <c r="RI966" s="9"/>
      <c r="RJ966" s="9"/>
      <c r="RK966" s="9"/>
      <c r="RL966" s="9"/>
      <c r="RM966" s="9"/>
      <c r="RN966" s="9"/>
      <c r="RO966" s="9"/>
      <c r="RP966" s="9"/>
      <c r="RQ966" s="9"/>
      <c r="RR966" s="9"/>
      <c r="RS966" s="9"/>
      <c r="RT966" s="9"/>
      <c r="RU966" s="9"/>
      <c r="RV966" s="9"/>
      <c r="RW966" s="9"/>
      <c r="RX966" s="9"/>
      <c r="RY966" s="9"/>
      <c r="RZ966" s="9"/>
      <c r="SA966" s="9"/>
      <c r="SB966" s="9"/>
      <c r="SC966" s="9"/>
      <c r="SD966" s="9"/>
      <c r="SE966" s="9"/>
      <c r="SF966" s="9"/>
      <c r="SG966" s="9"/>
      <c r="SH966" s="9"/>
      <c r="SI966" s="9"/>
      <c r="SJ966" s="9"/>
      <c r="SK966" s="9"/>
      <c r="SL966" s="9"/>
      <c r="SM966" s="9"/>
      <c r="SN966" s="9"/>
      <c r="SO966" s="9"/>
      <c r="SP966" s="9"/>
      <c r="SQ966" s="9"/>
      <c r="SR966" s="9"/>
      <c r="SS966" s="9"/>
      <c r="ST966" s="9"/>
      <c r="SU966" s="9"/>
      <c r="SV966" s="9"/>
      <c r="SW966" s="9"/>
      <c r="SX966" s="9"/>
      <c r="SY966" s="9"/>
      <c r="SZ966" s="9"/>
      <c r="TA966" s="9"/>
      <c r="TB966" s="9"/>
      <c r="TC966" s="9"/>
      <c r="TD966" s="9"/>
      <c r="TE966" s="9"/>
      <c r="TF966" s="9"/>
      <c r="TG966" s="9"/>
      <c r="TH966" s="9"/>
      <c r="TI966" s="9"/>
      <c r="TJ966" s="9"/>
      <c r="TK966" s="9"/>
      <c r="TL966" s="9"/>
      <c r="TM966" s="9"/>
      <c r="TN966" s="9"/>
      <c r="TO966" s="9"/>
      <c r="TP966" s="9"/>
      <c r="TQ966" s="9"/>
      <c r="TR966" s="9"/>
      <c r="TS966" s="9"/>
      <c r="TT966" s="9"/>
      <c r="TU966" s="9"/>
      <c r="TV966" s="9"/>
      <c r="TW966" s="9"/>
      <c r="TX966" s="9"/>
      <c r="TY966" s="9"/>
      <c r="TZ966" s="9"/>
      <c r="UA966" s="9"/>
      <c r="UB966" s="9"/>
      <c r="UC966" s="9"/>
      <c r="UD966" s="9"/>
      <c r="UE966" s="9"/>
      <c r="UF966" s="9"/>
      <c r="UG966" s="9"/>
      <c r="UH966" s="9"/>
      <c r="UI966" s="9"/>
      <c r="UJ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  <c r="EW967" s="9"/>
      <c r="EX967" s="9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9"/>
      <c r="FO967" s="9"/>
      <c r="FP967" s="9"/>
      <c r="FQ967" s="9"/>
      <c r="FR967" s="9"/>
      <c r="FS967" s="9"/>
      <c r="FT967" s="9"/>
      <c r="FU967" s="9"/>
      <c r="FV967" s="9"/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9"/>
      <c r="GH967" s="9"/>
      <c r="GI967" s="9"/>
      <c r="GJ967" s="9"/>
      <c r="GK967" s="9"/>
      <c r="GL967" s="9"/>
      <c r="GM967" s="9"/>
      <c r="GN967" s="9"/>
      <c r="GO967" s="9"/>
      <c r="GP967" s="9"/>
      <c r="GQ967" s="9"/>
      <c r="GR967" s="9"/>
      <c r="GS967" s="9"/>
      <c r="GT967" s="9"/>
      <c r="GU967" s="9"/>
      <c r="GV967" s="9"/>
      <c r="GW967" s="9"/>
      <c r="GX967" s="9"/>
      <c r="GY967" s="9"/>
      <c r="GZ967" s="9"/>
      <c r="HA967" s="9"/>
      <c r="HB967" s="9"/>
      <c r="HC967" s="9"/>
      <c r="HD967" s="9"/>
      <c r="HE967" s="9"/>
      <c r="HF967" s="9"/>
      <c r="HG967" s="9"/>
      <c r="HH967" s="9"/>
      <c r="HI967" s="9"/>
      <c r="HJ967" s="9"/>
      <c r="HK967" s="9"/>
      <c r="HL967" s="9"/>
      <c r="HM967" s="9"/>
      <c r="HN967" s="9"/>
      <c r="HO967" s="9"/>
      <c r="HP967" s="9"/>
      <c r="HQ967" s="9"/>
      <c r="HR967" s="9"/>
      <c r="HS967" s="9"/>
      <c r="HT967" s="9"/>
      <c r="HU967" s="9"/>
      <c r="HV967" s="9"/>
      <c r="HW967" s="9"/>
      <c r="HX967" s="9"/>
      <c r="HY967" s="9"/>
      <c r="HZ967" s="9"/>
      <c r="IA967" s="9"/>
      <c r="IB967" s="9"/>
      <c r="IC967" s="9"/>
      <c r="ID967" s="9"/>
      <c r="IE967" s="9"/>
      <c r="IF967" s="9"/>
      <c r="IG967" s="9"/>
      <c r="IH967" s="9"/>
      <c r="II967" s="9"/>
      <c r="IJ967" s="9"/>
      <c r="IK967" s="9"/>
      <c r="IL967" s="9"/>
      <c r="IM967" s="9"/>
      <c r="IN967" s="9"/>
      <c r="IO967" s="9"/>
      <c r="IP967" s="9"/>
      <c r="IQ967" s="9"/>
      <c r="IR967" s="9"/>
      <c r="IS967" s="9"/>
      <c r="IT967" s="9"/>
      <c r="IU967" s="9"/>
      <c r="IV967" s="9"/>
      <c r="IW967" s="9"/>
      <c r="IX967" s="9"/>
      <c r="IY967" s="9"/>
      <c r="IZ967" s="9"/>
      <c r="JA967" s="9"/>
      <c r="JB967" s="9"/>
      <c r="JC967" s="9"/>
      <c r="JD967" s="9"/>
      <c r="JE967" s="9"/>
      <c r="JF967" s="9"/>
      <c r="JG967" s="9"/>
      <c r="JH967" s="9"/>
      <c r="JI967" s="9"/>
      <c r="JJ967" s="9"/>
      <c r="JK967" s="9"/>
      <c r="JL967" s="9"/>
      <c r="JM967" s="9"/>
      <c r="JN967" s="9"/>
      <c r="JO967" s="9"/>
      <c r="JP967" s="9"/>
      <c r="JQ967" s="9"/>
      <c r="JR967" s="9"/>
      <c r="JS967" s="9"/>
      <c r="JT967" s="9"/>
      <c r="JU967" s="9"/>
      <c r="JV967" s="9"/>
      <c r="JW967" s="9"/>
      <c r="JX967" s="9"/>
      <c r="JY967" s="9"/>
      <c r="JZ967" s="9"/>
      <c r="KA967" s="9"/>
      <c r="KB967" s="9"/>
      <c r="KC967" s="9"/>
      <c r="KD967" s="9"/>
      <c r="KE967" s="9"/>
      <c r="KF967" s="9"/>
      <c r="KG967" s="9"/>
      <c r="KH967" s="9"/>
      <c r="KI967" s="9"/>
      <c r="KJ967" s="9"/>
      <c r="KK967" s="9"/>
      <c r="KL967" s="9"/>
      <c r="KM967" s="9"/>
      <c r="KN967" s="9"/>
      <c r="KO967" s="9"/>
      <c r="KP967" s="9"/>
      <c r="KQ967" s="9"/>
      <c r="KR967" s="9"/>
      <c r="KS967" s="9"/>
      <c r="KT967" s="9"/>
      <c r="KU967" s="9"/>
      <c r="KV967" s="9"/>
      <c r="KW967" s="9"/>
      <c r="KX967" s="9"/>
      <c r="KY967" s="9"/>
      <c r="KZ967" s="9"/>
      <c r="LA967" s="9"/>
      <c r="LB967" s="9"/>
      <c r="LC967" s="9"/>
      <c r="LD967" s="9"/>
      <c r="LE967" s="9"/>
      <c r="LF967" s="9"/>
      <c r="LG967" s="9"/>
      <c r="LH967" s="9"/>
      <c r="LI967" s="9"/>
      <c r="LJ967" s="9"/>
      <c r="LK967" s="9"/>
      <c r="LL967" s="9"/>
      <c r="LM967" s="9"/>
      <c r="LN967" s="9"/>
      <c r="LO967" s="9"/>
      <c r="LP967" s="9"/>
      <c r="LQ967" s="9"/>
      <c r="LR967" s="9"/>
      <c r="LS967" s="9"/>
      <c r="LT967" s="9"/>
      <c r="LU967" s="9"/>
      <c r="LV967" s="9"/>
      <c r="LW967" s="9"/>
      <c r="LX967" s="9"/>
      <c r="LY967" s="9"/>
      <c r="LZ967" s="9"/>
      <c r="MA967" s="9"/>
      <c r="MB967" s="9"/>
      <c r="MC967" s="9"/>
      <c r="MD967" s="9"/>
      <c r="ME967" s="9"/>
      <c r="MF967" s="9"/>
      <c r="MG967" s="9"/>
      <c r="MH967" s="9"/>
      <c r="MI967" s="9"/>
      <c r="MJ967" s="9"/>
      <c r="MK967" s="9"/>
      <c r="ML967" s="9"/>
      <c r="MM967" s="9"/>
      <c r="MN967" s="9"/>
      <c r="MO967" s="9"/>
      <c r="MP967" s="9"/>
      <c r="MQ967" s="9"/>
      <c r="MR967" s="9"/>
      <c r="MS967" s="9"/>
      <c r="MT967" s="9"/>
      <c r="MU967" s="9"/>
      <c r="MV967" s="9"/>
      <c r="MW967" s="9"/>
      <c r="MX967" s="9"/>
      <c r="MY967" s="9"/>
      <c r="MZ967" s="9"/>
      <c r="NA967" s="9"/>
      <c r="NB967" s="9"/>
      <c r="NC967" s="9"/>
      <c r="ND967" s="9"/>
      <c r="NE967" s="9"/>
      <c r="NF967" s="9"/>
      <c r="NG967" s="9"/>
      <c r="NH967" s="9"/>
      <c r="NI967" s="9"/>
      <c r="NJ967" s="9"/>
      <c r="NK967" s="9"/>
      <c r="NL967" s="9"/>
      <c r="NM967" s="9"/>
      <c r="NN967" s="9"/>
      <c r="NO967" s="9"/>
      <c r="NP967" s="9"/>
      <c r="NQ967" s="9"/>
      <c r="NR967" s="9"/>
      <c r="NS967" s="9"/>
      <c r="NT967" s="9"/>
      <c r="NU967" s="9"/>
      <c r="NV967" s="9"/>
      <c r="NW967" s="9"/>
      <c r="NX967" s="9"/>
      <c r="NY967" s="9"/>
      <c r="NZ967" s="9"/>
      <c r="OA967" s="9"/>
      <c r="OB967" s="9"/>
      <c r="OC967" s="9"/>
      <c r="OD967" s="9"/>
      <c r="OE967" s="9"/>
      <c r="OF967" s="9"/>
      <c r="OG967" s="9"/>
      <c r="OH967" s="9"/>
      <c r="OI967" s="9"/>
      <c r="OJ967" s="9"/>
      <c r="OK967" s="9"/>
      <c r="OL967" s="9"/>
      <c r="OM967" s="9"/>
      <c r="ON967" s="9"/>
      <c r="OO967" s="9"/>
      <c r="OP967" s="9"/>
      <c r="OQ967" s="9"/>
      <c r="OR967" s="9"/>
      <c r="OS967" s="9"/>
      <c r="OT967" s="9"/>
      <c r="OU967" s="9"/>
      <c r="OV967" s="9"/>
      <c r="OW967" s="9"/>
      <c r="OX967" s="9"/>
      <c r="OY967" s="9"/>
      <c r="OZ967" s="9"/>
      <c r="PA967" s="9"/>
      <c r="PB967" s="9"/>
      <c r="PC967" s="9"/>
      <c r="PD967" s="9"/>
      <c r="PE967" s="9"/>
      <c r="PF967" s="9"/>
      <c r="PG967" s="9"/>
      <c r="PH967" s="9"/>
      <c r="PI967" s="9"/>
      <c r="PJ967" s="9"/>
      <c r="PK967" s="9"/>
      <c r="PL967" s="9"/>
      <c r="PM967" s="9"/>
      <c r="PN967" s="9"/>
      <c r="PO967" s="9"/>
      <c r="PP967" s="9"/>
      <c r="PQ967" s="9"/>
      <c r="PR967" s="9"/>
      <c r="PS967" s="9"/>
      <c r="PT967" s="9"/>
      <c r="PU967" s="9"/>
      <c r="PV967" s="9"/>
      <c r="PW967" s="9"/>
      <c r="PX967" s="9"/>
      <c r="PY967" s="9"/>
      <c r="PZ967" s="9"/>
      <c r="QA967" s="9"/>
      <c r="QB967" s="9"/>
      <c r="QC967" s="9"/>
      <c r="QD967" s="9"/>
      <c r="QE967" s="9"/>
      <c r="QF967" s="9"/>
      <c r="QG967" s="9"/>
      <c r="QH967" s="9"/>
      <c r="QI967" s="9"/>
      <c r="QJ967" s="9"/>
      <c r="QK967" s="9"/>
      <c r="QL967" s="9"/>
      <c r="QM967" s="9"/>
      <c r="QN967" s="9"/>
      <c r="QO967" s="9"/>
      <c r="QP967" s="9"/>
      <c r="QQ967" s="9"/>
      <c r="QR967" s="9"/>
      <c r="QS967" s="9"/>
      <c r="QT967" s="9"/>
      <c r="QU967" s="9"/>
      <c r="QV967" s="9"/>
      <c r="QW967" s="9"/>
      <c r="QX967" s="9"/>
      <c r="QY967" s="9"/>
      <c r="QZ967" s="9"/>
      <c r="RA967" s="9"/>
      <c r="RB967" s="9"/>
      <c r="RC967" s="9"/>
      <c r="RD967" s="9"/>
      <c r="RE967" s="9"/>
      <c r="RF967" s="9"/>
      <c r="RG967" s="9"/>
      <c r="RH967" s="9"/>
      <c r="RI967" s="9"/>
      <c r="RJ967" s="9"/>
      <c r="RK967" s="9"/>
      <c r="RL967" s="9"/>
      <c r="RM967" s="9"/>
      <c r="RN967" s="9"/>
      <c r="RO967" s="9"/>
      <c r="RP967" s="9"/>
      <c r="RQ967" s="9"/>
      <c r="RR967" s="9"/>
      <c r="RS967" s="9"/>
      <c r="RT967" s="9"/>
      <c r="RU967" s="9"/>
      <c r="RV967" s="9"/>
      <c r="RW967" s="9"/>
      <c r="RX967" s="9"/>
      <c r="RY967" s="9"/>
      <c r="RZ967" s="9"/>
      <c r="SA967" s="9"/>
      <c r="SB967" s="9"/>
      <c r="SC967" s="9"/>
      <c r="SD967" s="9"/>
      <c r="SE967" s="9"/>
      <c r="SF967" s="9"/>
      <c r="SG967" s="9"/>
      <c r="SH967" s="9"/>
      <c r="SI967" s="9"/>
      <c r="SJ967" s="9"/>
      <c r="SK967" s="9"/>
      <c r="SL967" s="9"/>
      <c r="SM967" s="9"/>
      <c r="SN967" s="9"/>
      <c r="SO967" s="9"/>
      <c r="SP967" s="9"/>
      <c r="SQ967" s="9"/>
      <c r="SR967" s="9"/>
      <c r="SS967" s="9"/>
      <c r="ST967" s="9"/>
      <c r="SU967" s="9"/>
      <c r="SV967" s="9"/>
      <c r="SW967" s="9"/>
      <c r="SX967" s="9"/>
      <c r="SY967" s="9"/>
      <c r="SZ967" s="9"/>
      <c r="TA967" s="9"/>
      <c r="TB967" s="9"/>
      <c r="TC967" s="9"/>
      <c r="TD967" s="9"/>
      <c r="TE967" s="9"/>
      <c r="TF967" s="9"/>
      <c r="TG967" s="9"/>
      <c r="TH967" s="9"/>
      <c r="TI967" s="9"/>
      <c r="TJ967" s="9"/>
      <c r="TK967" s="9"/>
      <c r="TL967" s="9"/>
      <c r="TM967" s="9"/>
      <c r="TN967" s="9"/>
      <c r="TO967" s="9"/>
      <c r="TP967" s="9"/>
      <c r="TQ967" s="9"/>
      <c r="TR967" s="9"/>
      <c r="TS967" s="9"/>
      <c r="TT967" s="9"/>
      <c r="TU967" s="9"/>
      <c r="TV967" s="9"/>
      <c r="TW967" s="9"/>
      <c r="TX967" s="9"/>
      <c r="TY967" s="9"/>
      <c r="TZ967" s="9"/>
      <c r="UA967" s="9"/>
      <c r="UB967" s="9"/>
      <c r="UC967" s="9"/>
      <c r="UD967" s="9"/>
      <c r="UE967" s="9"/>
      <c r="UF967" s="9"/>
      <c r="UG967" s="9"/>
      <c r="UH967" s="9"/>
      <c r="UI967" s="9"/>
      <c r="UJ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/>
      <c r="FL968" s="9"/>
      <c r="FM968" s="9"/>
      <c r="FN968" s="9"/>
      <c r="FO968" s="9"/>
      <c r="FP968" s="9"/>
      <c r="FQ968" s="9"/>
      <c r="FR968" s="9"/>
      <c r="FS968" s="9"/>
      <c r="FT968" s="9"/>
      <c r="FU968" s="9"/>
      <c r="FV968" s="9"/>
      <c r="FW968" s="9"/>
      <c r="FX968" s="9"/>
      <c r="FY968" s="9"/>
      <c r="FZ968" s="9"/>
      <c r="GA968" s="9"/>
      <c r="GB968" s="9"/>
      <c r="GC968" s="9"/>
      <c r="GD968" s="9"/>
      <c r="GE968" s="9"/>
      <c r="GF968" s="9"/>
      <c r="GG968" s="9"/>
      <c r="GH968" s="9"/>
      <c r="GI968" s="9"/>
      <c r="GJ968" s="9"/>
      <c r="GK968" s="9"/>
      <c r="GL968" s="9"/>
      <c r="GM968" s="9"/>
      <c r="GN968" s="9"/>
      <c r="GO968" s="9"/>
      <c r="GP968" s="9"/>
      <c r="GQ968" s="9"/>
      <c r="GR968" s="9"/>
      <c r="GS968" s="9"/>
      <c r="GT968" s="9"/>
      <c r="GU968" s="9"/>
      <c r="GV968" s="9"/>
      <c r="GW968" s="9"/>
      <c r="GX968" s="9"/>
      <c r="GY968" s="9"/>
      <c r="GZ968" s="9"/>
      <c r="HA968" s="9"/>
      <c r="HB968" s="9"/>
      <c r="HC968" s="9"/>
      <c r="HD968" s="9"/>
      <c r="HE968" s="9"/>
      <c r="HF968" s="9"/>
      <c r="HG968" s="9"/>
      <c r="HH968" s="9"/>
      <c r="HI968" s="9"/>
      <c r="HJ968" s="9"/>
      <c r="HK968" s="9"/>
      <c r="HL968" s="9"/>
      <c r="HM968" s="9"/>
      <c r="HN968" s="9"/>
      <c r="HO968" s="9"/>
      <c r="HP968" s="9"/>
      <c r="HQ968" s="9"/>
      <c r="HR968" s="9"/>
      <c r="HS968" s="9"/>
      <c r="HT968" s="9"/>
      <c r="HU968" s="9"/>
      <c r="HV968" s="9"/>
      <c r="HW968" s="9"/>
      <c r="HX968" s="9"/>
      <c r="HY968" s="9"/>
      <c r="HZ968" s="9"/>
      <c r="IA968" s="9"/>
      <c r="IB968" s="9"/>
      <c r="IC968" s="9"/>
      <c r="ID968" s="9"/>
      <c r="IE968" s="9"/>
      <c r="IF968" s="9"/>
      <c r="IG968" s="9"/>
      <c r="IH968" s="9"/>
      <c r="II968" s="9"/>
      <c r="IJ968" s="9"/>
      <c r="IK968" s="9"/>
      <c r="IL968" s="9"/>
      <c r="IM968" s="9"/>
      <c r="IN968" s="9"/>
      <c r="IO968" s="9"/>
      <c r="IP968" s="9"/>
      <c r="IQ968" s="9"/>
      <c r="IR968" s="9"/>
      <c r="IS968" s="9"/>
      <c r="IT968" s="9"/>
      <c r="IU968" s="9"/>
      <c r="IV968" s="9"/>
      <c r="IW968" s="9"/>
      <c r="IX968" s="9"/>
      <c r="IY968" s="9"/>
      <c r="IZ968" s="9"/>
      <c r="JA968" s="9"/>
      <c r="JB968" s="9"/>
      <c r="JC968" s="9"/>
      <c r="JD968" s="9"/>
      <c r="JE968" s="9"/>
      <c r="JF968" s="9"/>
      <c r="JG968" s="9"/>
      <c r="JH968" s="9"/>
      <c r="JI968" s="9"/>
      <c r="JJ968" s="9"/>
      <c r="JK968" s="9"/>
      <c r="JL968" s="9"/>
      <c r="JM968" s="9"/>
      <c r="JN968" s="9"/>
      <c r="JO968" s="9"/>
      <c r="JP968" s="9"/>
      <c r="JQ968" s="9"/>
      <c r="JR968" s="9"/>
      <c r="JS968" s="9"/>
      <c r="JT968" s="9"/>
      <c r="JU968" s="9"/>
      <c r="JV968" s="9"/>
      <c r="JW968" s="9"/>
      <c r="JX968" s="9"/>
      <c r="JY968" s="9"/>
      <c r="JZ968" s="9"/>
      <c r="KA968" s="9"/>
      <c r="KB968" s="9"/>
      <c r="KC968" s="9"/>
      <c r="KD968" s="9"/>
      <c r="KE968" s="9"/>
      <c r="KF968" s="9"/>
      <c r="KG968" s="9"/>
      <c r="KH968" s="9"/>
      <c r="KI968" s="9"/>
      <c r="KJ968" s="9"/>
      <c r="KK968" s="9"/>
      <c r="KL968" s="9"/>
      <c r="KM968" s="9"/>
      <c r="KN968" s="9"/>
      <c r="KO968" s="9"/>
      <c r="KP968" s="9"/>
      <c r="KQ968" s="9"/>
      <c r="KR968" s="9"/>
      <c r="KS968" s="9"/>
      <c r="KT968" s="9"/>
      <c r="KU968" s="9"/>
      <c r="KV968" s="9"/>
      <c r="KW968" s="9"/>
      <c r="KX968" s="9"/>
      <c r="KY968" s="9"/>
      <c r="KZ968" s="9"/>
      <c r="LA968" s="9"/>
      <c r="LB968" s="9"/>
      <c r="LC968" s="9"/>
      <c r="LD968" s="9"/>
      <c r="LE968" s="9"/>
      <c r="LF968" s="9"/>
      <c r="LG968" s="9"/>
      <c r="LH968" s="9"/>
      <c r="LI968" s="9"/>
      <c r="LJ968" s="9"/>
      <c r="LK968" s="9"/>
      <c r="LL968" s="9"/>
      <c r="LM968" s="9"/>
      <c r="LN968" s="9"/>
      <c r="LO968" s="9"/>
      <c r="LP968" s="9"/>
      <c r="LQ968" s="9"/>
      <c r="LR968" s="9"/>
      <c r="LS968" s="9"/>
      <c r="LT968" s="9"/>
      <c r="LU968" s="9"/>
      <c r="LV968" s="9"/>
      <c r="LW968" s="9"/>
      <c r="LX968" s="9"/>
      <c r="LY968" s="9"/>
      <c r="LZ968" s="9"/>
      <c r="MA968" s="9"/>
      <c r="MB968" s="9"/>
      <c r="MC968" s="9"/>
      <c r="MD968" s="9"/>
      <c r="ME968" s="9"/>
      <c r="MF968" s="9"/>
      <c r="MG968" s="9"/>
      <c r="MH968" s="9"/>
      <c r="MI968" s="9"/>
      <c r="MJ968" s="9"/>
      <c r="MK968" s="9"/>
      <c r="ML968" s="9"/>
      <c r="MM968" s="9"/>
      <c r="MN968" s="9"/>
      <c r="MO968" s="9"/>
      <c r="MP968" s="9"/>
      <c r="MQ968" s="9"/>
      <c r="MR968" s="9"/>
      <c r="MS968" s="9"/>
      <c r="MT968" s="9"/>
      <c r="MU968" s="9"/>
      <c r="MV968" s="9"/>
      <c r="MW968" s="9"/>
      <c r="MX968" s="9"/>
      <c r="MY968" s="9"/>
      <c r="MZ968" s="9"/>
      <c r="NA968" s="9"/>
      <c r="NB968" s="9"/>
      <c r="NC968" s="9"/>
      <c r="ND968" s="9"/>
      <c r="NE968" s="9"/>
      <c r="NF968" s="9"/>
      <c r="NG968" s="9"/>
      <c r="NH968" s="9"/>
      <c r="NI968" s="9"/>
      <c r="NJ968" s="9"/>
      <c r="NK968" s="9"/>
      <c r="NL968" s="9"/>
      <c r="NM968" s="9"/>
      <c r="NN968" s="9"/>
      <c r="NO968" s="9"/>
      <c r="NP968" s="9"/>
      <c r="NQ968" s="9"/>
      <c r="NR968" s="9"/>
      <c r="NS968" s="9"/>
      <c r="NT968" s="9"/>
      <c r="NU968" s="9"/>
      <c r="NV968" s="9"/>
      <c r="NW968" s="9"/>
      <c r="NX968" s="9"/>
      <c r="NY968" s="9"/>
      <c r="NZ968" s="9"/>
      <c r="OA968" s="9"/>
      <c r="OB968" s="9"/>
      <c r="OC968" s="9"/>
      <c r="OD968" s="9"/>
      <c r="OE968" s="9"/>
      <c r="OF968" s="9"/>
      <c r="OG968" s="9"/>
      <c r="OH968" s="9"/>
      <c r="OI968" s="9"/>
      <c r="OJ968" s="9"/>
      <c r="OK968" s="9"/>
      <c r="OL968" s="9"/>
      <c r="OM968" s="9"/>
      <c r="ON968" s="9"/>
      <c r="OO968" s="9"/>
      <c r="OP968" s="9"/>
      <c r="OQ968" s="9"/>
      <c r="OR968" s="9"/>
      <c r="OS968" s="9"/>
      <c r="OT968" s="9"/>
      <c r="OU968" s="9"/>
      <c r="OV968" s="9"/>
      <c r="OW968" s="9"/>
      <c r="OX968" s="9"/>
      <c r="OY968" s="9"/>
      <c r="OZ968" s="9"/>
      <c r="PA968" s="9"/>
      <c r="PB968" s="9"/>
      <c r="PC968" s="9"/>
      <c r="PD968" s="9"/>
      <c r="PE968" s="9"/>
      <c r="PF968" s="9"/>
      <c r="PG968" s="9"/>
      <c r="PH968" s="9"/>
      <c r="PI968" s="9"/>
      <c r="PJ968" s="9"/>
      <c r="PK968" s="9"/>
      <c r="PL968" s="9"/>
      <c r="PM968" s="9"/>
      <c r="PN968" s="9"/>
      <c r="PO968" s="9"/>
      <c r="PP968" s="9"/>
      <c r="PQ968" s="9"/>
      <c r="PR968" s="9"/>
      <c r="PS968" s="9"/>
      <c r="PT968" s="9"/>
      <c r="PU968" s="9"/>
      <c r="PV968" s="9"/>
      <c r="PW968" s="9"/>
      <c r="PX968" s="9"/>
      <c r="PY968" s="9"/>
      <c r="PZ968" s="9"/>
      <c r="QA968" s="9"/>
      <c r="QB968" s="9"/>
      <c r="QC968" s="9"/>
      <c r="QD968" s="9"/>
      <c r="QE968" s="9"/>
      <c r="QF968" s="9"/>
      <c r="QG968" s="9"/>
      <c r="QH968" s="9"/>
      <c r="QI968" s="9"/>
      <c r="QJ968" s="9"/>
      <c r="QK968" s="9"/>
      <c r="QL968" s="9"/>
      <c r="QM968" s="9"/>
      <c r="QN968" s="9"/>
      <c r="QO968" s="9"/>
      <c r="QP968" s="9"/>
      <c r="QQ968" s="9"/>
      <c r="QR968" s="9"/>
      <c r="QS968" s="9"/>
      <c r="QT968" s="9"/>
      <c r="QU968" s="9"/>
      <c r="QV968" s="9"/>
      <c r="QW968" s="9"/>
      <c r="QX968" s="9"/>
      <c r="QY968" s="9"/>
      <c r="QZ968" s="9"/>
      <c r="RA968" s="9"/>
      <c r="RB968" s="9"/>
      <c r="RC968" s="9"/>
      <c r="RD968" s="9"/>
      <c r="RE968" s="9"/>
      <c r="RF968" s="9"/>
      <c r="RG968" s="9"/>
      <c r="RH968" s="9"/>
      <c r="RI968" s="9"/>
      <c r="RJ968" s="9"/>
      <c r="RK968" s="9"/>
      <c r="RL968" s="9"/>
      <c r="RM968" s="9"/>
      <c r="RN968" s="9"/>
      <c r="RO968" s="9"/>
      <c r="RP968" s="9"/>
      <c r="RQ968" s="9"/>
      <c r="RR968" s="9"/>
      <c r="RS968" s="9"/>
      <c r="RT968" s="9"/>
      <c r="RU968" s="9"/>
      <c r="RV968" s="9"/>
      <c r="RW968" s="9"/>
      <c r="RX968" s="9"/>
      <c r="RY968" s="9"/>
      <c r="RZ968" s="9"/>
      <c r="SA968" s="9"/>
      <c r="SB968" s="9"/>
      <c r="SC968" s="9"/>
      <c r="SD968" s="9"/>
      <c r="SE968" s="9"/>
      <c r="SF968" s="9"/>
      <c r="SG968" s="9"/>
      <c r="SH968" s="9"/>
      <c r="SI968" s="9"/>
      <c r="SJ968" s="9"/>
      <c r="SK968" s="9"/>
      <c r="SL968" s="9"/>
      <c r="SM968" s="9"/>
      <c r="SN968" s="9"/>
      <c r="SO968" s="9"/>
      <c r="SP968" s="9"/>
      <c r="SQ968" s="9"/>
      <c r="SR968" s="9"/>
      <c r="SS968" s="9"/>
      <c r="ST968" s="9"/>
      <c r="SU968" s="9"/>
      <c r="SV968" s="9"/>
      <c r="SW968" s="9"/>
      <c r="SX968" s="9"/>
      <c r="SY968" s="9"/>
      <c r="SZ968" s="9"/>
      <c r="TA968" s="9"/>
      <c r="TB968" s="9"/>
      <c r="TC968" s="9"/>
      <c r="TD968" s="9"/>
      <c r="TE968" s="9"/>
      <c r="TF968" s="9"/>
      <c r="TG968" s="9"/>
      <c r="TH968" s="9"/>
      <c r="TI968" s="9"/>
      <c r="TJ968" s="9"/>
      <c r="TK968" s="9"/>
      <c r="TL968" s="9"/>
      <c r="TM968" s="9"/>
      <c r="TN968" s="9"/>
      <c r="TO968" s="9"/>
      <c r="TP968" s="9"/>
      <c r="TQ968" s="9"/>
      <c r="TR968" s="9"/>
      <c r="TS968" s="9"/>
      <c r="TT968" s="9"/>
      <c r="TU968" s="9"/>
      <c r="TV968" s="9"/>
      <c r="TW968" s="9"/>
      <c r="TX968" s="9"/>
      <c r="TY968" s="9"/>
      <c r="TZ968" s="9"/>
      <c r="UA968" s="9"/>
      <c r="UB968" s="9"/>
      <c r="UC968" s="9"/>
      <c r="UD968" s="9"/>
      <c r="UE968" s="9"/>
      <c r="UF968" s="9"/>
      <c r="UG968" s="9"/>
      <c r="UH968" s="9"/>
      <c r="UI968" s="9"/>
      <c r="UJ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/>
      <c r="FL969" s="9"/>
      <c r="FM969" s="9"/>
      <c r="FN969" s="9"/>
      <c r="FO969" s="9"/>
      <c r="FP969" s="9"/>
      <c r="FQ969" s="9"/>
      <c r="FR969" s="9"/>
      <c r="FS969" s="9"/>
      <c r="FT969" s="9"/>
      <c r="FU969" s="9"/>
      <c r="FV969" s="9"/>
      <c r="FW969" s="9"/>
      <c r="FX969" s="9"/>
      <c r="FY969" s="9"/>
      <c r="FZ969" s="9"/>
      <c r="GA969" s="9"/>
      <c r="GB969" s="9"/>
      <c r="GC969" s="9"/>
      <c r="GD969" s="9"/>
      <c r="GE969" s="9"/>
      <c r="GF969" s="9"/>
      <c r="GG969" s="9"/>
      <c r="GH969" s="9"/>
      <c r="GI969" s="9"/>
      <c r="GJ969" s="9"/>
      <c r="GK969" s="9"/>
      <c r="GL969" s="9"/>
      <c r="GM969" s="9"/>
      <c r="GN969" s="9"/>
      <c r="GO969" s="9"/>
      <c r="GP969" s="9"/>
      <c r="GQ969" s="9"/>
      <c r="GR969" s="9"/>
      <c r="GS969" s="9"/>
      <c r="GT969" s="9"/>
      <c r="GU969" s="9"/>
      <c r="GV969" s="9"/>
      <c r="GW969" s="9"/>
      <c r="GX969" s="9"/>
      <c r="GY969" s="9"/>
      <c r="GZ969" s="9"/>
      <c r="HA969" s="9"/>
      <c r="HB969" s="9"/>
      <c r="HC969" s="9"/>
      <c r="HD969" s="9"/>
      <c r="HE969" s="9"/>
      <c r="HF969" s="9"/>
      <c r="HG969" s="9"/>
      <c r="HH969" s="9"/>
      <c r="HI969" s="9"/>
      <c r="HJ969" s="9"/>
      <c r="HK969" s="9"/>
      <c r="HL969" s="9"/>
      <c r="HM969" s="9"/>
      <c r="HN969" s="9"/>
      <c r="HO969" s="9"/>
      <c r="HP969" s="9"/>
      <c r="HQ969" s="9"/>
      <c r="HR969" s="9"/>
      <c r="HS969" s="9"/>
      <c r="HT969" s="9"/>
      <c r="HU969" s="9"/>
      <c r="HV969" s="9"/>
      <c r="HW969" s="9"/>
      <c r="HX969" s="9"/>
      <c r="HY969" s="9"/>
      <c r="HZ969" s="9"/>
      <c r="IA969" s="9"/>
      <c r="IB969" s="9"/>
      <c r="IC969" s="9"/>
      <c r="ID969" s="9"/>
      <c r="IE969" s="9"/>
      <c r="IF969" s="9"/>
      <c r="IG969" s="9"/>
      <c r="IH969" s="9"/>
      <c r="II969" s="9"/>
      <c r="IJ969" s="9"/>
      <c r="IK969" s="9"/>
      <c r="IL969" s="9"/>
      <c r="IM969" s="9"/>
      <c r="IN969" s="9"/>
      <c r="IO969" s="9"/>
      <c r="IP969" s="9"/>
      <c r="IQ969" s="9"/>
      <c r="IR969" s="9"/>
      <c r="IS969" s="9"/>
      <c r="IT969" s="9"/>
      <c r="IU969" s="9"/>
      <c r="IV969" s="9"/>
      <c r="IW969" s="9"/>
      <c r="IX969" s="9"/>
      <c r="IY969" s="9"/>
      <c r="IZ969" s="9"/>
      <c r="JA969" s="9"/>
      <c r="JB969" s="9"/>
      <c r="JC969" s="9"/>
      <c r="JD969" s="9"/>
      <c r="JE969" s="9"/>
      <c r="JF969" s="9"/>
      <c r="JG969" s="9"/>
      <c r="JH969" s="9"/>
      <c r="JI969" s="9"/>
      <c r="JJ969" s="9"/>
      <c r="JK969" s="9"/>
      <c r="JL969" s="9"/>
      <c r="JM969" s="9"/>
      <c r="JN969" s="9"/>
      <c r="JO969" s="9"/>
      <c r="JP969" s="9"/>
      <c r="JQ969" s="9"/>
      <c r="JR969" s="9"/>
      <c r="JS969" s="9"/>
      <c r="JT969" s="9"/>
      <c r="JU969" s="9"/>
      <c r="JV969" s="9"/>
      <c r="JW969" s="9"/>
      <c r="JX969" s="9"/>
      <c r="JY969" s="9"/>
      <c r="JZ969" s="9"/>
      <c r="KA969" s="9"/>
      <c r="KB969" s="9"/>
      <c r="KC969" s="9"/>
      <c r="KD969" s="9"/>
      <c r="KE969" s="9"/>
      <c r="KF969" s="9"/>
      <c r="KG969" s="9"/>
      <c r="KH969" s="9"/>
      <c r="KI969" s="9"/>
      <c r="KJ969" s="9"/>
      <c r="KK969" s="9"/>
      <c r="KL969" s="9"/>
      <c r="KM969" s="9"/>
      <c r="KN969" s="9"/>
      <c r="KO969" s="9"/>
      <c r="KP969" s="9"/>
      <c r="KQ969" s="9"/>
      <c r="KR969" s="9"/>
      <c r="KS969" s="9"/>
      <c r="KT969" s="9"/>
      <c r="KU969" s="9"/>
      <c r="KV969" s="9"/>
      <c r="KW969" s="9"/>
      <c r="KX969" s="9"/>
      <c r="KY969" s="9"/>
      <c r="KZ969" s="9"/>
      <c r="LA969" s="9"/>
      <c r="LB969" s="9"/>
      <c r="LC969" s="9"/>
      <c r="LD969" s="9"/>
      <c r="LE969" s="9"/>
      <c r="LF969" s="9"/>
      <c r="LG969" s="9"/>
      <c r="LH969" s="9"/>
      <c r="LI969" s="9"/>
      <c r="LJ969" s="9"/>
      <c r="LK969" s="9"/>
      <c r="LL969" s="9"/>
      <c r="LM969" s="9"/>
      <c r="LN969" s="9"/>
      <c r="LO969" s="9"/>
      <c r="LP969" s="9"/>
      <c r="LQ969" s="9"/>
      <c r="LR969" s="9"/>
      <c r="LS969" s="9"/>
      <c r="LT969" s="9"/>
      <c r="LU969" s="9"/>
      <c r="LV969" s="9"/>
      <c r="LW969" s="9"/>
      <c r="LX969" s="9"/>
      <c r="LY969" s="9"/>
      <c r="LZ969" s="9"/>
      <c r="MA969" s="9"/>
      <c r="MB969" s="9"/>
      <c r="MC969" s="9"/>
      <c r="MD969" s="9"/>
      <c r="ME969" s="9"/>
      <c r="MF969" s="9"/>
      <c r="MG969" s="9"/>
      <c r="MH969" s="9"/>
      <c r="MI969" s="9"/>
      <c r="MJ969" s="9"/>
      <c r="MK969" s="9"/>
      <c r="ML969" s="9"/>
      <c r="MM969" s="9"/>
      <c r="MN969" s="9"/>
      <c r="MO969" s="9"/>
      <c r="MP969" s="9"/>
      <c r="MQ969" s="9"/>
      <c r="MR969" s="9"/>
      <c r="MS969" s="9"/>
      <c r="MT969" s="9"/>
      <c r="MU969" s="9"/>
      <c r="MV969" s="9"/>
      <c r="MW969" s="9"/>
      <c r="MX969" s="9"/>
      <c r="MY969" s="9"/>
      <c r="MZ969" s="9"/>
      <c r="NA969" s="9"/>
      <c r="NB969" s="9"/>
      <c r="NC969" s="9"/>
      <c r="ND969" s="9"/>
      <c r="NE969" s="9"/>
      <c r="NF969" s="9"/>
      <c r="NG969" s="9"/>
      <c r="NH969" s="9"/>
      <c r="NI969" s="9"/>
      <c r="NJ969" s="9"/>
      <c r="NK969" s="9"/>
      <c r="NL969" s="9"/>
      <c r="NM969" s="9"/>
      <c r="NN969" s="9"/>
      <c r="NO969" s="9"/>
      <c r="NP969" s="9"/>
      <c r="NQ969" s="9"/>
      <c r="NR969" s="9"/>
      <c r="NS969" s="9"/>
      <c r="NT969" s="9"/>
      <c r="NU969" s="9"/>
      <c r="NV969" s="9"/>
      <c r="NW969" s="9"/>
      <c r="NX969" s="9"/>
      <c r="NY969" s="9"/>
      <c r="NZ969" s="9"/>
      <c r="OA969" s="9"/>
      <c r="OB969" s="9"/>
      <c r="OC969" s="9"/>
      <c r="OD969" s="9"/>
      <c r="OE969" s="9"/>
      <c r="OF969" s="9"/>
      <c r="OG969" s="9"/>
      <c r="OH969" s="9"/>
      <c r="OI969" s="9"/>
      <c r="OJ969" s="9"/>
      <c r="OK969" s="9"/>
      <c r="OL969" s="9"/>
      <c r="OM969" s="9"/>
      <c r="ON969" s="9"/>
      <c r="OO969" s="9"/>
      <c r="OP969" s="9"/>
      <c r="OQ969" s="9"/>
      <c r="OR969" s="9"/>
      <c r="OS969" s="9"/>
      <c r="OT969" s="9"/>
      <c r="OU969" s="9"/>
      <c r="OV969" s="9"/>
      <c r="OW969" s="9"/>
      <c r="OX969" s="9"/>
      <c r="OY969" s="9"/>
      <c r="OZ969" s="9"/>
      <c r="PA969" s="9"/>
      <c r="PB969" s="9"/>
      <c r="PC969" s="9"/>
      <c r="PD969" s="9"/>
      <c r="PE969" s="9"/>
      <c r="PF969" s="9"/>
      <c r="PG969" s="9"/>
      <c r="PH969" s="9"/>
      <c r="PI969" s="9"/>
      <c r="PJ969" s="9"/>
      <c r="PK969" s="9"/>
      <c r="PL969" s="9"/>
      <c r="PM969" s="9"/>
      <c r="PN969" s="9"/>
      <c r="PO969" s="9"/>
      <c r="PP969" s="9"/>
      <c r="PQ969" s="9"/>
      <c r="PR969" s="9"/>
      <c r="PS969" s="9"/>
      <c r="PT969" s="9"/>
      <c r="PU969" s="9"/>
      <c r="PV969" s="9"/>
      <c r="PW969" s="9"/>
      <c r="PX969" s="9"/>
      <c r="PY969" s="9"/>
      <c r="PZ969" s="9"/>
      <c r="QA969" s="9"/>
      <c r="QB969" s="9"/>
      <c r="QC969" s="9"/>
      <c r="QD969" s="9"/>
      <c r="QE969" s="9"/>
      <c r="QF969" s="9"/>
      <c r="QG969" s="9"/>
      <c r="QH969" s="9"/>
      <c r="QI969" s="9"/>
      <c r="QJ969" s="9"/>
      <c r="QK969" s="9"/>
      <c r="QL969" s="9"/>
      <c r="QM969" s="9"/>
      <c r="QN969" s="9"/>
      <c r="QO969" s="9"/>
      <c r="QP969" s="9"/>
      <c r="QQ969" s="9"/>
      <c r="QR969" s="9"/>
      <c r="QS969" s="9"/>
      <c r="QT969" s="9"/>
      <c r="QU969" s="9"/>
      <c r="QV969" s="9"/>
      <c r="QW969" s="9"/>
      <c r="QX969" s="9"/>
      <c r="QY969" s="9"/>
      <c r="QZ969" s="9"/>
      <c r="RA969" s="9"/>
      <c r="RB969" s="9"/>
      <c r="RC969" s="9"/>
      <c r="RD969" s="9"/>
      <c r="RE969" s="9"/>
      <c r="RF969" s="9"/>
      <c r="RG969" s="9"/>
      <c r="RH969" s="9"/>
      <c r="RI969" s="9"/>
      <c r="RJ969" s="9"/>
      <c r="RK969" s="9"/>
      <c r="RL969" s="9"/>
      <c r="RM969" s="9"/>
      <c r="RN969" s="9"/>
      <c r="RO969" s="9"/>
      <c r="RP969" s="9"/>
      <c r="RQ969" s="9"/>
      <c r="RR969" s="9"/>
      <c r="RS969" s="9"/>
      <c r="RT969" s="9"/>
      <c r="RU969" s="9"/>
      <c r="RV969" s="9"/>
      <c r="RW969" s="9"/>
      <c r="RX969" s="9"/>
      <c r="RY969" s="9"/>
      <c r="RZ969" s="9"/>
      <c r="SA969" s="9"/>
      <c r="SB969" s="9"/>
      <c r="SC969" s="9"/>
      <c r="SD969" s="9"/>
      <c r="SE969" s="9"/>
      <c r="SF969" s="9"/>
      <c r="SG969" s="9"/>
      <c r="SH969" s="9"/>
      <c r="SI969" s="9"/>
      <c r="SJ969" s="9"/>
      <c r="SK969" s="9"/>
      <c r="SL969" s="9"/>
      <c r="SM969" s="9"/>
      <c r="SN969" s="9"/>
      <c r="SO969" s="9"/>
      <c r="SP969" s="9"/>
      <c r="SQ969" s="9"/>
      <c r="SR969" s="9"/>
      <c r="SS969" s="9"/>
      <c r="ST969" s="9"/>
      <c r="SU969" s="9"/>
      <c r="SV969" s="9"/>
      <c r="SW969" s="9"/>
      <c r="SX969" s="9"/>
      <c r="SY969" s="9"/>
      <c r="SZ969" s="9"/>
      <c r="TA969" s="9"/>
      <c r="TB969" s="9"/>
      <c r="TC969" s="9"/>
      <c r="TD969" s="9"/>
      <c r="TE969" s="9"/>
      <c r="TF969" s="9"/>
      <c r="TG969" s="9"/>
      <c r="TH969" s="9"/>
      <c r="TI969" s="9"/>
      <c r="TJ969" s="9"/>
      <c r="TK969" s="9"/>
      <c r="TL969" s="9"/>
      <c r="TM969" s="9"/>
      <c r="TN969" s="9"/>
      <c r="TO969" s="9"/>
      <c r="TP969" s="9"/>
      <c r="TQ969" s="9"/>
      <c r="TR969" s="9"/>
      <c r="TS969" s="9"/>
      <c r="TT969" s="9"/>
      <c r="TU969" s="9"/>
      <c r="TV969" s="9"/>
      <c r="TW969" s="9"/>
      <c r="TX969" s="9"/>
      <c r="TY969" s="9"/>
      <c r="TZ969" s="9"/>
      <c r="UA969" s="9"/>
      <c r="UB969" s="9"/>
      <c r="UC969" s="9"/>
      <c r="UD969" s="9"/>
      <c r="UE969" s="9"/>
      <c r="UF969" s="9"/>
      <c r="UG969" s="9"/>
      <c r="UH969" s="9"/>
      <c r="UI969" s="9"/>
      <c r="UJ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  <c r="HO970" s="9"/>
      <c r="HP970" s="9"/>
      <c r="HQ970" s="9"/>
      <c r="HR970" s="9"/>
      <c r="HS970" s="9"/>
      <c r="HT970" s="9"/>
      <c r="HU970" s="9"/>
      <c r="HV970" s="9"/>
      <c r="HW970" s="9"/>
      <c r="HX970" s="9"/>
      <c r="HY970" s="9"/>
      <c r="HZ970" s="9"/>
      <c r="IA970" s="9"/>
      <c r="IB970" s="9"/>
      <c r="IC970" s="9"/>
      <c r="ID970" s="9"/>
      <c r="IE970" s="9"/>
      <c r="IF970" s="9"/>
      <c r="IG970" s="9"/>
      <c r="IH970" s="9"/>
      <c r="II970" s="9"/>
      <c r="IJ970" s="9"/>
      <c r="IK970" s="9"/>
      <c r="IL970" s="9"/>
      <c r="IM970" s="9"/>
      <c r="IN970" s="9"/>
      <c r="IO970" s="9"/>
      <c r="IP970" s="9"/>
      <c r="IQ970" s="9"/>
      <c r="IR970" s="9"/>
      <c r="IS970" s="9"/>
      <c r="IT970" s="9"/>
      <c r="IU970" s="9"/>
      <c r="IV970" s="9"/>
      <c r="IW970" s="9"/>
      <c r="IX970" s="9"/>
      <c r="IY970" s="9"/>
      <c r="IZ970" s="9"/>
      <c r="JA970" s="9"/>
      <c r="JB970" s="9"/>
      <c r="JC970" s="9"/>
      <c r="JD970" s="9"/>
      <c r="JE970" s="9"/>
      <c r="JF970" s="9"/>
      <c r="JG970" s="9"/>
      <c r="JH970" s="9"/>
      <c r="JI970" s="9"/>
      <c r="JJ970" s="9"/>
      <c r="JK970" s="9"/>
      <c r="JL970" s="9"/>
      <c r="JM970" s="9"/>
      <c r="JN970" s="9"/>
      <c r="JO970" s="9"/>
      <c r="JP970" s="9"/>
      <c r="JQ970" s="9"/>
      <c r="JR970" s="9"/>
      <c r="JS970" s="9"/>
      <c r="JT970" s="9"/>
      <c r="JU970" s="9"/>
      <c r="JV970" s="9"/>
      <c r="JW970" s="9"/>
      <c r="JX970" s="9"/>
      <c r="JY970" s="9"/>
      <c r="JZ970" s="9"/>
      <c r="KA970" s="9"/>
      <c r="KB970" s="9"/>
      <c r="KC970" s="9"/>
      <c r="KD970" s="9"/>
      <c r="KE970" s="9"/>
      <c r="KF970" s="9"/>
      <c r="KG970" s="9"/>
      <c r="KH970" s="9"/>
      <c r="KI970" s="9"/>
      <c r="KJ970" s="9"/>
      <c r="KK970" s="9"/>
      <c r="KL970" s="9"/>
      <c r="KM970" s="9"/>
      <c r="KN970" s="9"/>
      <c r="KO970" s="9"/>
      <c r="KP970" s="9"/>
      <c r="KQ970" s="9"/>
      <c r="KR970" s="9"/>
      <c r="KS970" s="9"/>
      <c r="KT970" s="9"/>
      <c r="KU970" s="9"/>
      <c r="KV970" s="9"/>
      <c r="KW970" s="9"/>
      <c r="KX970" s="9"/>
      <c r="KY970" s="9"/>
      <c r="KZ970" s="9"/>
      <c r="LA970" s="9"/>
      <c r="LB970" s="9"/>
      <c r="LC970" s="9"/>
      <c r="LD970" s="9"/>
      <c r="LE970" s="9"/>
      <c r="LF970" s="9"/>
      <c r="LG970" s="9"/>
      <c r="LH970" s="9"/>
      <c r="LI970" s="9"/>
      <c r="LJ970" s="9"/>
      <c r="LK970" s="9"/>
      <c r="LL970" s="9"/>
      <c r="LM970" s="9"/>
      <c r="LN970" s="9"/>
      <c r="LO970" s="9"/>
      <c r="LP970" s="9"/>
      <c r="LQ970" s="9"/>
      <c r="LR970" s="9"/>
      <c r="LS970" s="9"/>
      <c r="LT970" s="9"/>
      <c r="LU970" s="9"/>
      <c r="LV970" s="9"/>
      <c r="LW970" s="9"/>
      <c r="LX970" s="9"/>
      <c r="LY970" s="9"/>
      <c r="LZ970" s="9"/>
      <c r="MA970" s="9"/>
      <c r="MB970" s="9"/>
      <c r="MC970" s="9"/>
      <c r="MD970" s="9"/>
      <c r="ME970" s="9"/>
      <c r="MF970" s="9"/>
      <c r="MG970" s="9"/>
      <c r="MH970" s="9"/>
      <c r="MI970" s="9"/>
      <c r="MJ970" s="9"/>
      <c r="MK970" s="9"/>
      <c r="ML970" s="9"/>
      <c r="MM970" s="9"/>
      <c r="MN970" s="9"/>
      <c r="MO970" s="9"/>
      <c r="MP970" s="9"/>
      <c r="MQ970" s="9"/>
      <c r="MR970" s="9"/>
      <c r="MS970" s="9"/>
      <c r="MT970" s="9"/>
      <c r="MU970" s="9"/>
      <c r="MV970" s="9"/>
      <c r="MW970" s="9"/>
      <c r="MX970" s="9"/>
      <c r="MY970" s="9"/>
      <c r="MZ970" s="9"/>
      <c r="NA970" s="9"/>
      <c r="NB970" s="9"/>
      <c r="NC970" s="9"/>
      <c r="ND970" s="9"/>
      <c r="NE970" s="9"/>
      <c r="NF970" s="9"/>
      <c r="NG970" s="9"/>
      <c r="NH970" s="9"/>
      <c r="NI970" s="9"/>
      <c r="NJ970" s="9"/>
      <c r="NK970" s="9"/>
      <c r="NL970" s="9"/>
      <c r="NM970" s="9"/>
      <c r="NN970" s="9"/>
      <c r="NO970" s="9"/>
      <c r="NP970" s="9"/>
      <c r="NQ970" s="9"/>
      <c r="NR970" s="9"/>
      <c r="NS970" s="9"/>
      <c r="NT970" s="9"/>
      <c r="NU970" s="9"/>
      <c r="NV970" s="9"/>
      <c r="NW970" s="9"/>
      <c r="NX970" s="9"/>
      <c r="NY970" s="9"/>
      <c r="NZ970" s="9"/>
      <c r="OA970" s="9"/>
      <c r="OB970" s="9"/>
      <c r="OC970" s="9"/>
      <c r="OD970" s="9"/>
      <c r="OE970" s="9"/>
      <c r="OF970" s="9"/>
      <c r="OG970" s="9"/>
      <c r="OH970" s="9"/>
      <c r="OI970" s="9"/>
      <c r="OJ970" s="9"/>
      <c r="OK970" s="9"/>
      <c r="OL970" s="9"/>
      <c r="OM970" s="9"/>
      <c r="ON970" s="9"/>
      <c r="OO970" s="9"/>
      <c r="OP970" s="9"/>
      <c r="OQ970" s="9"/>
      <c r="OR970" s="9"/>
      <c r="OS970" s="9"/>
      <c r="OT970" s="9"/>
      <c r="OU970" s="9"/>
      <c r="OV970" s="9"/>
      <c r="OW970" s="9"/>
      <c r="OX970" s="9"/>
      <c r="OY970" s="9"/>
      <c r="OZ970" s="9"/>
      <c r="PA970" s="9"/>
      <c r="PB970" s="9"/>
      <c r="PC970" s="9"/>
      <c r="PD970" s="9"/>
      <c r="PE970" s="9"/>
      <c r="PF970" s="9"/>
      <c r="PG970" s="9"/>
      <c r="PH970" s="9"/>
      <c r="PI970" s="9"/>
      <c r="PJ970" s="9"/>
      <c r="PK970" s="9"/>
      <c r="PL970" s="9"/>
      <c r="PM970" s="9"/>
      <c r="PN970" s="9"/>
      <c r="PO970" s="9"/>
      <c r="PP970" s="9"/>
      <c r="PQ970" s="9"/>
      <c r="PR970" s="9"/>
      <c r="PS970" s="9"/>
      <c r="PT970" s="9"/>
      <c r="PU970" s="9"/>
      <c r="PV970" s="9"/>
      <c r="PW970" s="9"/>
      <c r="PX970" s="9"/>
      <c r="PY970" s="9"/>
      <c r="PZ970" s="9"/>
      <c r="QA970" s="9"/>
      <c r="QB970" s="9"/>
      <c r="QC970" s="9"/>
      <c r="QD970" s="9"/>
      <c r="QE970" s="9"/>
      <c r="QF970" s="9"/>
      <c r="QG970" s="9"/>
      <c r="QH970" s="9"/>
      <c r="QI970" s="9"/>
      <c r="QJ970" s="9"/>
      <c r="QK970" s="9"/>
      <c r="QL970" s="9"/>
      <c r="QM970" s="9"/>
      <c r="QN970" s="9"/>
      <c r="QO970" s="9"/>
      <c r="QP970" s="9"/>
      <c r="QQ970" s="9"/>
      <c r="QR970" s="9"/>
      <c r="QS970" s="9"/>
      <c r="QT970" s="9"/>
      <c r="QU970" s="9"/>
      <c r="QV970" s="9"/>
      <c r="QW970" s="9"/>
      <c r="QX970" s="9"/>
      <c r="QY970" s="9"/>
      <c r="QZ970" s="9"/>
      <c r="RA970" s="9"/>
      <c r="RB970" s="9"/>
      <c r="RC970" s="9"/>
      <c r="RD970" s="9"/>
      <c r="RE970" s="9"/>
      <c r="RF970" s="9"/>
      <c r="RG970" s="9"/>
      <c r="RH970" s="9"/>
      <c r="RI970" s="9"/>
      <c r="RJ970" s="9"/>
      <c r="RK970" s="9"/>
      <c r="RL970" s="9"/>
      <c r="RM970" s="9"/>
      <c r="RN970" s="9"/>
      <c r="RO970" s="9"/>
      <c r="RP970" s="9"/>
      <c r="RQ970" s="9"/>
      <c r="RR970" s="9"/>
      <c r="RS970" s="9"/>
      <c r="RT970" s="9"/>
      <c r="RU970" s="9"/>
      <c r="RV970" s="9"/>
      <c r="RW970" s="9"/>
      <c r="RX970" s="9"/>
      <c r="RY970" s="9"/>
      <c r="RZ970" s="9"/>
      <c r="SA970" s="9"/>
      <c r="SB970" s="9"/>
      <c r="SC970" s="9"/>
      <c r="SD970" s="9"/>
      <c r="SE970" s="9"/>
      <c r="SF970" s="9"/>
      <c r="SG970" s="9"/>
      <c r="SH970" s="9"/>
      <c r="SI970" s="9"/>
      <c r="SJ970" s="9"/>
      <c r="SK970" s="9"/>
      <c r="SL970" s="9"/>
      <c r="SM970" s="9"/>
      <c r="SN970" s="9"/>
      <c r="SO970" s="9"/>
      <c r="SP970" s="9"/>
      <c r="SQ970" s="9"/>
      <c r="SR970" s="9"/>
      <c r="SS970" s="9"/>
      <c r="ST970" s="9"/>
      <c r="SU970" s="9"/>
      <c r="SV970" s="9"/>
      <c r="SW970" s="9"/>
      <c r="SX970" s="9"/>
      <c r="SY970" s="9"/>
      <c r="SZ970" s="9"/>
      <c r="TA970" s="9"/>
      <c r="TB970" s="9"/>
      <c r="TC970" s="9"/>
      <c r="TD970" s="9"/>
      <c r="TE970" s="9"/>
      <c r="TF970" s="9"/>
      <c r="TG970" s="9"/>
      <c r="TH970" s="9"/>
      <c r="TI970" s="9"/>
      <c r="TJ970" s="9"/>
      <c r="TK970" s="9"/>
      <c r="TL970" s="9"/>
      <c r="TM970" s="9"/>
      <c r="TN970" s="9"/>
      <c r="TO970" s="9"/>
      <c r="TP970" s="9"/>
      <c r="TQ970" s="9"/>
      <c r="TR970" s="9"/>
      <c r="TS970" s="9"/>
      <c r="TT970" s="9"/>
      <c r="TU970" s="9"/>
      <c r="TV970" s="9"/>
      <c r="TW970" s="9"/>
      <c r="TX970" s="9"/>
      <c r="TY970" s="9"/>
      <c r="TZ970" s="9"/>
      <c r="UA970" s="9"/>
      <c r="UB970" s="9"/>
      <c r="UC970" s="9"/>
      <c r="UD970" s="9"/>
      <c r="UE970" s="9"/>
      <c r="UF970" s="9"/>
      <c r="UG970" s="9"/>
      <c r="UH970" s="9"/>
      <c r="UI970" s="9"/>
      <c r="UJ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  <c r="EW971" s="9"/>
      <c r="EX971" s="9"/>
      <c r="EY971" s="9"/>
      <c r="EZ971" s="9"/>
      <c r="FA971" s="9"/>
      <c r="FB971" s="9"/>
      <c r="FC971" s="9"/>
      <c r="FD971" s="9"/>
      <c r="FE971" s="9"/>
      <c r="FF971" s="9"/>
      <c r="FG971" s="9"/>
      <c r="FH971" s="9"/>
      <c r="FI971" s="9"/>
      <c r="FJ971" s="9"/>
      <c r="FK971" s="9"/>
      <c r="FL971" s="9"/>
      <c r="FM971" s="9"/>
      <c r="FN971" s="9"/>
      <c r="FO971" s="9"/>
      <c r="FP971" s="9"/>
      <c r="FQ971" s="9"/>
      <c r="FR971" s="9"/>
      <c r="FS971" s="9"/>
      <c r="FT971" s="9"/>
      <c r="FU971" s="9"/>
      <c r="FV971" s="9"/>
      <c r="FW971" s="9"/>
      <c r="FX971" s="9"/>
      <c r="FY971" s="9"/>
      <c r="FZ971" s="9"/>
      <c r="GA971" s="9"/>
      <c r="GB971" s="9"/>
      <c r="GC971" s="9"/>
      <c r="GD971" s="9"/>
      <c r="GE971" s="9"/>
      <c r="GF971" s="9"/>
      <c r="GG971" s="9"/>
      <c r="GH971" s="9"/>
      <c r="GI971" s="9"/>
      <c r="GJ971" s="9"/>
      <c r="GK971" s="9"/>
      <c r="GL971" s="9"/>
      <c r="GM971" s="9"/>
      <c r="GN971" s="9"/>
      <c r="GO971" s="9"/>
      <c r="GP971" s="9"/>
      <c r="GQ971" s="9"/>
      <c r="GR971" s="9"/>
      <c r="GS971" s="9"/>
      <c r="GT971" s="9"/>
      <c r="GU971" s="9"/>
      <c r="GV971" s="9"/>
      <c r="GW971" s="9"/>
      <c r="GX971" s="9"/>
      <c r="GY971" s="9"/>
      <c r="GZ971" s="9"/>
      <c r="HA971" s="9"/>
      <c r="HB971" s="9"/>
      <c r="HC971" s="9"/>
      <c r="HD971" s="9"/>
      <c r="HE971" s="9"/>
      <c r="HF971" s="9"/>
      <c r="HG971" s="9"/>
      <c r="HH971" s="9"/>
      <c r="HI971" s="9"/>
      <c r="HJ971" s="9"/>
      <c r="HK971" s="9"/>
      <c r="HL971" s="9"/>
      <c r="HM971" s="9"/>
      <c r="HN971" s="9"/>
      <c r="HO971" s="9"/>
      <c r="HP971" s="9"/>
      <c r="HQ971" s="9"/>
      <c r="HR971" s="9"/>
      <c r="HS971" s="9"/>
      <c r="HT971" s="9"/>
      <c r="HU971" s="9"/>
      <c r="HV971" s="9"/>
      <c r="HW971" s="9"/>
      <c r="HX971" s="9"/>
      <c r="HY971" s="9"/>
      <c r="HZ971" s="9"/>
      <c r="IA971" s="9"/>
      <c r="IB971" s="9"/>
      <c r="IC971" s="9"/>
      <c r="ID971" s="9"/>
      <c r="IE971" s="9"/>
      <c r="IF971" s="9"/>
      <c r="IG971" s="9"/>
      <c r="IH971" s="9"/>
      <c r="II971" s="9"/>
      <c r="IJ971" s="9"/>
      <c r="IK971" s="9"/>
      <c r="IL971" s="9"/>
      <c r="IM971" s="9"/>
      <c r="IN971" s="9"/>
      <c r="IO971" s="9"/>
      <c r="IP971" s="9"/>
      <c r="IQ971" s="9"/>
      <c r="IR971" s="9"/>
      <c r="IS971" s="9"/>
      <c r="IT971" s="9"/>
      <c r="IU971" s="9"/>
      <c r="IV971" s="9"/>
      <c r="IW971" s="9"/>
      <c r="IX971" s="9"/>
      <c r="IY971" s="9"/>
      <c r="IZ971" s="9"/>
      <c r="JA971" s="9"/>
      <c r="JB971" s="9"/>
      <c r="JC971" s="9"/>
      <c r="JD971" s="9"/>
      <c r="JE971" s="9"/>
      <c r="JF971" s="9"/>
      <c r="JG971" s="9"/>
      <c r="JH971" s="9"/>
      <c r="JI971" s="9"/>
      <c r="JJ971" s="9"/>
      <c r="JK971" s="9"/>
      <c r="JL971" s="9"/>
      <c r="JM971" s="9"/>
      <c r="JN971" s="9"/>
      <c r="JO971" s="9"/>
      <c r="JP971" s="9"/>
      <c r="JQ971" s="9"/>
      <c r="JR971" s="9"/>
      <c r="JS971" s="9"/>
      <c r="JT971" s="9"/>
      <c r="JU971" s="9"/>
      <c r="JV971" s="9"/>
      <c r="JW971" s="9"/>
      <c r="JX971" s="9"/>
      <c r="JY971" s="9"/>
      <c r="JZ971" s="9"/>
      <c r="KA971" s="9"/>
      <c r="KB971" s="9"/>
      <c r="KC971" s="9"/>
      <c r="KD971" s="9"/>
      <c r="KE971" s="9"/>
      <c r="KF971" s="9"/>
      <c r="KG971" s="9"/>
      <c r="KH971" s="9"/>
      <c r="KI971" s="9"/>
      <c r="KJ971" s="9"/>
      <c r="KK971" s="9"/>
      <c r="KL971" s="9"/>
      <c r="KM971" s="9"/>
      <c r="KN971" s="9"/>
      <c r="KO971" s="9"/>
      <c r="KP971" s="9"/>
      <c r="KQ971" s="9"/>
      <c r="KR971" s="9"/>
      <c r="KS971" s="9"/>
      <c r="KT971" s="9"/>
      <c r="KU971" s="9"/>
      <c r="KV971" s="9"/>
      <c r="KW971" s="9"/>
      <c r="KX971" s="9"/>
      <c r="KY971" s="9"/>
      <c r="KZ971" s="9"/>
      <c r="LA971" s="9"/>
      <c r="LB971" s="9"/>
      <c r="LC971" s="9"/>
      <c r="LD971" s="9"/>
      <c r="LE971" s="9"/>
      <c r="LF971" s="9"/>
      <c r="LG971" s="9"/>
      <c r="LH971" s="9"/>
      <c r="LI971" s="9"/>
      <c r="LJ971" s="9"/>
      <c r="LK971" s="9"/>
      <c r="LL971" s="9"/>
      <c r="LM971" s="9"/>
      <c r="LN971" s="9"/>
      <c r="LO971" s="9"/>
      <c r="LP971" s="9"/>
      <c r="LQ971" s="9"/>
      <c r="LR971" s="9"/>
      <c r="LS971" s="9"/>
      <c r="LT971" s="9"/>
      <c r="LU971" s="9"/>
      <c r="LV971" s="9"/>
      <c r="LW971" s="9"/>
      <c r="LX971" s="9"/>
      <c r="LY971" s="9"/>
      <c r="LZ971" s="9"/>
      <c r="MA971" s="9"/>
      <c r="MB971" s="9"/>
      <c r="MC971" s="9"/>
      <c r="MD971" s="9"/>
      <c r="ME971" s="9"/>
      <c r="MF971" s="9"/>
      <c r="MG971" s="9"/>
      <c r="MH971" s="9"/>
      <c r="MI971" s="9"/>
      <c r="MJ971" s="9"/>
      <c r="MK971" s="9"/>
      <c r="ML971" s="9"/>
      <c r="MM971" s="9"/>
      <c r="MN971" s="9"/>
      <c r="MO971" s="9"/>
      <c r="MP971" s="9"/>
      <c r="MQ971" s="9"/>
      <c r="MR971" s="9"/>
      <c r="MS971" s="9"/>
      <c r="MT971" s="9"/>
      <c r="MU971" s="9"/>
      <c r="MV971" s="9"/>
      <c r="MW971" s="9"/>
      <c r="MX971" s="9"/>
      <c r="MY971" s="9"/>
      <c r="MZ971" s="9"/>
      <c r="NA971" s="9"/>
      <c r="NB971" s="9"/>
      <c r="NC971" s="9"/>
      <c r="ND971" s="9"/>
      <c r="NE971" s="9"/>
      <c r="NF971" s="9"/>
      <c r="NG971" s="9"/>
      <c r="NH971" s="9"/>
      <c r="NI971" s="9"/>
      <c r="NJ971" s="9"/>
      <c r="NK971" s="9"/>
      <c r="NL971" s="9"/>
      <c r="NM971" s="9"/>
      <c r="NN971" s="9"/>
      <c r="NO971" s="9"/>
      <c r="NP971" s="9"/>
      <c r="NQ971" s="9"/>
      <c r="NR971" s="9"/>
      <c r="NS971" s="9"/>
      <c r="NT971" s="9"/>
      <c r="NU971" s="9"/>
      <c r="NV971" s="9"/>
      <c r="NW971" s="9"/>
      <c r="NX971" s="9"/>
      <c r="NY971" s="9"/>
      <c r="NZ971" s="9"/>
      <c r="OA971" s="9"/>
      <c r="OB971" s="9"/>
      <c r="OC971" s="9"/>
      <c r="OD971" s="9"/>
      <c r="OE971" s="9"/>
      <c r="OF971" s="9"/>
      <c r="OG971" s="9"/>
      <c r="OH971" s="9"/>
      <c r="OI971" s="9"/>
      <c r="OJ971" s="9"/>
      <c r="OK971" s="9"/>
      <c r="OL971" s="9"/>
      <c r="OM971" s="9"/>
      <c r="ON971" s="9"/>
      <c r="OO971" s="9"/>
      <c r="OP971" s="9"/>
      <c r="OQ971" s="9"/>
      <c r="OR971" s="9"/>
      <c r="OS971" s="9"/>
      <c r="OT971" s="9"/>
      <c r="OU971" s="9"/>
      <c r="OV971" s="9"/>
      <c r="OW971" s="9"/>
      <c r="OX971" s="9"/>
      <c r="OY971" s="9"/>
      <c r="OZ971" s="9"/>
      <c r="PA971" s="9"/>
      <c r="PB971" s="9"/>
      <c r="PC971" s="9"/>
      <c r="PD971" s="9"/>
      <c r="PE971" s="9"/>
      <c r="PF971" s="9"/>
      <c r="PG971" s="9"/>
      <c r="PH971" s="9"/>
      <c r="PI971" s="9"/>
      <c r="PJ971" s="9"/>
      <c r="PK971" s="9"/>
      <c r="PL971" s="9"/>
      <c r="PM971" s="9"/>
      <c r="PN971" s="9"/>
      <c r="PO971" s="9"/>
      <c r="PP971" s="9"/>
      <c r="PQ971" s="9"/>
      <c r="PR971" s="9"/>
      <c r="PS971" s="9"/>
      <c r="PT971" s="9"/>
      <c r="PU971" s="9"/>
      <c r="PV971" s="9"/>
      <c r="PW971" s="9"/>
      <c r="PX971" s="9"/>
      <c r="PY971" s="9"/>
      <c r="PZ971" s="9"/>
      <c r="QA971" s="9"/>
      <c r="QB971" s="9"/>
      <c r="QC971" s="9"/>
      <c r="QD971" s="9"/>
      <c r="QE971" s="9"/>
      <c r="QF971" s="9"/>
      <c r="QG971" s="9"/>
      <c r="QH971" s="9"/>
      <c r="QI971" s="9"/>
      <c r="QJ971" s="9"/>
      <c r="QK971" s="9"/>
      <c r="QL971" s="9"/>
      <c r="QM971" s="9"/>
      <c r="QN971" s="9"/>
      <c r="QO971" s="9"/>
      <c r="QP971" s="9"/>
      <c r="QQ971" s="9"/>
      <c r="QR971" s="9"/>
      <c r="QS971" s="9"/>
      <c r="QT971" s="9"/>
      <c r="QU971" s="9"/>
      <c r="QV971" s="9"/>
      <c r="QW971" s="9"/>
      <c r="QX971" s="9"/>
      <c r="QY971" s="9"/>
      <c r="QZ971" s="9"/>
      <c r="RA971" s="9"/>
      <c r="RB971" s="9"/>
      <c r="RC971" s="9"/>
      <c r="RD971" s="9"/>
      <c r="RE971" s="9"/>
      <c r="RF971" s="9"/>
      <c r="RG971" s="9"/>
      <c r="RH971" s="9"/>
      <c r="RI971" s="9"/>
      <c r="RJ971" s="9"/>
      <c r="RK971" s="9"/>
      <c r="RL971" s="9"/>
      <c r="RM971" s="9"/>
      <c r="RN971" s="9"/>
      <c r="RO971" s="9"/>
      <c r="RP971" s="9"/>
      <c r="RQ971" s="9"/>
      <c r="RR971" s="9"/>
      <c r="RS971" s="9"/>
      <c r="RT971" s="9"/>
      <c r="RU971" s="9"/>
      <c r="RV971" s="9"/>
      <c r="RW971" s="9"/>
      <c r="RX971" s="9"/>
      <c r="RY971" s="9"/>
      <c r="RZ971" s="9"/>
      <c r="SA971" s="9"/>
      <c r="SB971" s="9"/>
      <c r="SC971" s="9"/>
      <c r="SD971" s="9"/>
      <c r="SE971" s="9"/>
      <c r="SF971" s="9"/>
      <c r="SG971" s="9"/>
      <c r="SH971" s="9"/>
      <c r="SI971" s="9"/>
      <c r="SJ971" s="9"/>
      <c r="SK971" s="9"/>
      <c r="SL971" s="9"/>
      <c r="SM971" s="9"/>
      <c r="SN971" s="9"/>
      <c r="SO971" s="9"/>
      <c r="SP971" s="9"/>
      <c r="SQ971" s="9"/>
      <c r="SR971" s="9"/>
      <c r="SS971" s="9"/>
      <c r="ST971" s="9"/>
      <c r="SU971" s="9"/>
      <c r="SV971" s="9"/>
      <c r="SW971" s="9"/>
      <c r="SX971" s="9"/>
      <c r="SY971" s="9"/>
      <c r="SZ971" s="9"/>
      <c r="TA971" s="9"/>
      <c r="TB971" s="9"/>
      <c r="TC971" s="9"/>
      <c r="TD971" s="9"/>
      <c r="TE971" s="9"/>
      <c r="TF971" s="9"/>
      <c r="TG971" s="9"/>
      <c r="TH971" s="9"/>
      <c r="TI971" s="9"/>
      <c r="TJ971" s="9"/>
      <c r="TK971" s="9"/>
      <c r="TL971" s="9"/>
      <c r="TM971" s="9"/>
      <c r="TN971" s="9"/>
      <c r="TO971" s="9"/>
      <c r="TP971" s="9"/>
      <c r="TQ971" s="9"/>
      <c r="TR971" s="9"/>
      <c r="TS971" s="9"/>
      <c r="TT971" s="9"/>
      <c r="TU971" s="9"/>
      <c r="TV971" s="9"/>
      <c r="TW971" s="9"/>
      <c r="TX971" s="9"/>
      <c r="TY971" s="9"/>
      <c r="TZ971" s="9"/>
      <c r="UA971" s="9"/>
      <c r="UB971" s="9"/>
      <c r="UC971" s="9"/>
      <c r="UD971" s="9"/>
      <c r="UE971" s="9"/>
      <c r="UF971" s="9"/>
      <c r="UG971" s="9"/>
      <c r="UH971" s="9"/>
      <c r="UI971" s="9"/>
      <c r="UJ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/>
      <c r="FJ972" s="9"/>
      <c r="FK972" s="9"/>
      <c r="FL972" s="9"/>
      <c r="FM972" s="9"/>
      <c r="FN972" s="9"/>
      <c r="FO972" s="9"/>
      <c r="FP972" s="9"/>
      <c r="FQ972" s="9"/>
      <c r="FR972" s="9"/>
      <c r="FS972" s="9"/>
      <c r="FT972" s="9"/>
      <c r="FU972" s="9"/>
      <c r="FV972" s="9"/>
      <c r="FW972" s="9"/>
      <c r="FX972" s="9"/>
      <c r="FY972" s="9"/>
      <c r="FZ972" s="9"/>
      <c r="GA972" s="9"/>
      <c r="GB972" s="9"/>
      <c r="GC972" s="9"/>
      <c r="GD972" s="9"/>
      <c r="GE972" s="9"/>
      <c r="GF972" s="9"/>
      <c r="GG972" s="9"/>
      <c r="GH972" s="9"/>
      <c r="GI972" s="9"/>
      <c r="GJ972" s="9"/>
      <c r="GK972" s="9"/>
      <c r="GL972" s="9"/>
      <c r="GM972" s="9"/>
      <c r="GN972" s="9"/>
      <c r="GO972" s="9"/>
      <c r="GP972" s="9"/>
      <c r="GQ972" s="9"/>
      <c r="GR972" s="9"/>
      <c r="GS972" s="9"/>
      <c r="GT972" s="9"/>
      <c r="GU972" s="9"/>
      <c r="GV972" s="9"/>
      <c r="GW972" s="9"/>
      <c r="GX972" s="9"/>
      <c r="GY972" s="9"/>
      <c r="GZ972" s="9"/>
      <c r="HA972" s="9"/>
      <c r="HB972" s="9"/>
      <c r="HC972" s="9"/>
      <c r="HD972" s="9"/>
      <c r="HE972" s="9"/>
      <c r="HF972" s="9"/>
      <c r="HG972" s="9"/>
      <c r="HH972" s="9"/>
      <c r="HI972" s="9"/>
      <c r="HJ972" s="9"/>
      <c r="HK972" s="9"/>
      <c r="HL972" s="9"/>
      <c r="HM972" s="9"/>
      <c r="HN972" s="9"/>
      <c r="HO972" s="9"/>
      <c r="HP972" s="9"/>
      <c r="HQ972" s="9"/>
      <c r="HR972" s="9"/>
      <c r="HS972" s="9"/>
      <c r="HT972" s="9"/>
      <c r="HU972" s="9"/>
      <c r="HV972" s="9"/>
      <c r="HW972" s="9"/>
      <c r="HX972" s="9"/>
      <c r="HY972" s="9"/>
      <c r="HZ972" s="9"/>
      <c r="IA972" s="9"/>
      <c r="IB972" s="9"/>
      <c r="IC972" s="9"/>
      <c r="ID972" s="9"/>
      <c r="IE972" s="9"/>
      <c r="IF972" s="9"/>
      <c r="IG972" s="9"/>
      <c r="IH972" s="9"/>
      <c r="II972" s="9"/>
      <c r="IJ972" s="9"/>
      <c r="IK972" s="9"/>
      <c r="IL972" s="9"/>
      <c r="IM972" s="9"/>
      <c r="IN972" s="9"/>
      <c r="IO972" s="9"/>
      <c r="IP972" s="9"/>
      <c r="IQ972" s="9"/>
      <c r="IR972" s="9"/>
      <c r="IS972" s="9"/>
      <c r="IT972" s="9"/>
      <c r="IU972" s="9"/>
      <c r="IV972" s="9"/>
      <c r="IW972" s="9"/>
      <c r="IX972" s="9"/>
      <c r="IY972" s="9"/>
      <c r="IZ972" s="9"/>
      <c r="JA972" s="9"/>
      <c r="JB972" s="9"/>
      <c r="JC972" s="9"/>
      <c r="JD972" s="9"/>
      <c r="JE972" s="9"/>
      <c r="JF972" s="9"/>
      <c r="JG972" s="9"/>
      <c r="JH972" s="9"/>
      <c r="JI972" s="9"/>
      <c r="JJ972" s="9"/>
      <c r="JK972" s="9"/>
      <c r="JL972" s="9"/>
      <c r="JM972" s="9"/>
      <c r="JN972" s="9"/>
      <c r="JO972" s="9"/>
      <c r="JP972" s="9"/>
      <c r="JQ972" s="9"/>
      <c r="JR972" s="9"/>
      <c r="JS972" s="9"/>
      <c r="JT972" s="9"/>
      <c r="JU972" s="9"/>
      <c r="JV972" s="9"/>
      <c r="JW972" s="9"/>
      <c r="JX972" s="9"/>
      <c r="JY972" s="9"/>
      <c r="JZ972" s="9"/>
      <c r="KA972" s="9"/>
      <c r="KB972" s="9"/>
      <c r="KC972" s="9"/>
      <c r="KD972" s="9"/>
      <c r="KE972" s="9"/>
      <c r="KF972" s="9"/>
      <c r="KG972" s="9"/>
      <c r="KH972" s="9"/>
      <c r="KI972" s="9"/>
      <c r="KJ972" s="9"/>
      <c r="KK972" s="9"/>
      <c r="KL972" s="9"/>
      <c r="KM972" s="9"/>
      <c r="KN972" s="9"/>
      <c r="KO972" s="9"/>
      <c r="KP972" s="9"/>
      <c r="KQ972" s="9"/>
      <c r="KR972" s="9"/>
      <c r="KS972" s="9"/>
      <c r="KT972" s="9"/>
      <c r="KU972" s="9"/>
      <c r="KV972" s="9"/>
      <c r="KW972" s="9"/>
      <c r="KX972" s="9"/>
      <c r="KY972" s="9"/>
      <c r="KZ972" s="9"/>
      <c r="LA972" s="9"/>
      <c r="LB972" s="9"/>
      <c r="LC972" s="9"/>
      <c r="LD972" s="9"/>
      <c r="LE972" s="9"/>
      <c r="LF972" s="9"/>
      <c r="LG972" s="9"/>
      <c r="LH972" s="9"/>
      <c r="LI972" s="9"/>
      <c r="LJ972" s="9"/>
      <c r="LK972" s="9"/>
      <c r="LL972" s="9"/>
      <c r="LM972" s="9"/>
      <c r="LN972" s="9"/>
      <c r="LO972" s="9"/>
      <c r="LP972" s="9"/>
      <c r="LQ972" s="9"/>
      <c r="LR972" s="9"/>
      <c r="LS972" s="9"/>
      <c r="LT972" s="9"/>
      <c r="LU972" s="9"/>
      <c r="LV972" s="9"/>
      <c r="LW972" s="9"/>
      <c r="LX972" s="9"/>
      <c r="LY972" s="9"/>
      <c r="LZ972" s="9"/>
      <c r="MA972" s="9"/>
      <c r="MB972" s="9"/>
      <c r="MC972" s="9"/>
      <c r="MD972" s="9"/>
      <c r="ME972" s="9"/>
      <c r="MF972" s="9"/>
      <c r="MG972" s="9"/>
      <c r="MH972" s="9"/>
      <c r="MI972" s="9"/>
      <c r="MJ972" s="9"/>
      <c r="MK972" s="9"/>
      <c r="ML972" s="9"/>
      <c r="MM972" s="9"/>
      <c r="MN972" s="9"/>
      <c r="MO972" s="9"/>
      <c r="MP972" s="9"/>
      <c r="MQ972" s="9"/>
      <c r="MR972" s="9"/>
      <c r="MS972" s="9"/>
      <c r="MT972" s="9"/>
      <c r="MU972" s="9"/>
      <c r="MV972" s="9"/>
      <c r="MW972" s="9"/>
      <c r="MX972" s="9"/>
      <c r="MY972" s="9"/>
      <c r="MZ972" s="9"/>
      <c r="NA972" s="9"/>
      <c r="NB972" s="9"/>
      <c r="NC972" s="9"/>
      <c r="ND972" s="9"/>
      <c r="NE972" s="9"/>
      <c r="NF972" s="9"/>
      <c r="NG972" s="9"/>
      <c r="NH972" s="9"/>
      <c r="NI972" s="9"/>
      <c r="NJ972" s="9"/>
      <c r="NK972" s="9"/>
      <c r="NL972" s="9"/>
      <c r="NM972" s="9"/>
      <c r="NN972" s="9"/>
      <c r="NO972" s="9"/>
      <c r="NP972" s="9"/>
      <c r="NQ972" s="9"/>
      <c r="NR972" s="9"/>
      <c r="NS972" s="9"/>
      <c r="NT972" s="9"/>
      <c r="NU972" s="9"/>
      <c r="NV972" s="9"/>
      <c r="NW972" s="9"/>
      <c r="NX972" s="9"/>
      <c r="NY972" s="9"/>
      <c r="NZ972" s="9"/>
      <c r="OA972" s="9"/>
      <c r="OB972" s="9"/>
      <c r="OC972" s="9"/>
      <c r="OD972" s="9"/>
      <c r="OE972" s="9"/>
      <c r="OF972" s="9"/>
      <c r="OG972" s="9"/>
      <c r="OH972" s="9"/>
      <c r="OI972" s="9"/>
      <c r="OJ972" s="9"/>
      <c r="OK972" s="9"/>
      <c r="OL972" s="9"/>
      <c r="OM972" s="9"/>
      <c r="ON972" s="9"/>
      <c r="OO972" s="9"/>
      <c r="OP972" s="9"/>
      <c r="OQ972" s="9"/>
      <c r="OR972" s="9"/>
      <c r="OS972" s="9"/>
      <c r="OT972" s="9"/>
      <c r="OU972" s="9"/>
      <c r="OV972" s="9"/>
      <c r="OW972" s="9"/>
      <c r="OX972" s="9"/>
      <c r="OY972" s="9"/>
      <c r="OZ972" s="9"/>
      <c r="PA972" s="9"/>
      <c r="PB972" s="9"/>
      <c r="PC972" s="9"/>
      <c r="PD972" s="9"/>
      <c r="PE972" s="9"/>
      <c r="PF972" s="9"/>
      <c r="PG972" s="9"/>
      <c r="PH972" s="9"/>
      <c r="PI972" s="9"/>
      <c r="PJ972" s="9"/>
      <c r="PK972" s="9"/>
      <c r="PL972" s="9"/>
      <c r="PM972" s="9"/>
      <c r="PN972" s="9"/>
      <c r="PO972" s="9"/>
      <c r="PP972" s="9"/>
      <c r="PQ972" s="9"/>
      <c r="PR972" s="9"/>
      <c r="PS972" s="9"/>
      <c r="PT972" s="9"/>
      <c r="PU972" s="9"/>
      <c r="PV972" s="9"/>
      <c r="PW972" s="9"/>
      <c r="PX972" s="9"/>
      <c r="PY972" s="9"/>
      <c r="PZ972" s="9"/>
      <c r="QA972" s="9"/>
      <c r="QB972" s="9"/>
      <c r="QC972" s="9"/>
      <c r="QD972" s="9"/>
      <c r="QE972" s="9"/>
      <c r="QF972" s="9"/>
      <c r="QG972" s="9"/>
      <c r="QH972" s="9"/>
      <c r="QI972" s="9"/>
      <c r="QJ972" s="9"/>
      <c r="QK972" s="9"/>
      <c r="QL972" s="9"/>
      <c r="QM972" s="9"/>
      <c r="QN972" s="9"/>
      <c r="QO972" s="9"/>
      <c r="QP972" s="9"/>
      <c r="QQ972" s="9"/>
      <c r="QR972" s="9"/>
      <c r="QS972" s="9"/>
      <c r="QT972" s="9"/>
      <c r="QU972" s="9"/>
      <c r="QV972" s="9"/>
      <c r="QW972" s="9"/>
      <c r="QX972" s="9"/>
      <c r="QY972" s="9"/>
      <c r="QZ972" s="9"/>
      <c r="RA972" s="9"/>
      <c r="RB972" s="9"/>
      <c r="RC972" s="9"/>
      <c r="RD972" s="9"/>
      <c r="RE972" s="9"/>
      <c r="RF972" s="9"/>
      <c r="RG972" s="9"/>
      <c r="RH972" s="9"/>
      <c r="RI972" s="9"/>
      <c r="RJ972" s="9"/>
      <c r="RK972" s="9"/>
      <c r="RL972" s="9"/>
      <c r="RM972" s="9"/>
      <c r="RN972" s="9"/>
      <c r="RO972" s="9"/>
      <c r="RP972" s="9"/>
      <c r="RQ972" s="9"/>
      <c r="RR972" s="9"/>
      <c r="RS972" s="9"/>
      <c r="RT972" s="9"/>
      <c r="RU972" s="9"/>
      <c r="RV972" s="9"/>
      <c r="RW972" s="9"/>
      <c r="RX972" s="9"/>
      <c r="RY972" s="9"/>
      <c r="RZ972" s="9"/>
      <c r="SA972" s="9"/>
      <c r="SB972" s="9"/>
      <c r="SC972" s="9"/>
      <c r="SD972" s="9"/>
      <c r="SE972" s="9"/>
      <c r="SF972" s="9"/>
      <c r="SG972" s="9"/>
      <c r="SH972" s="9"/>
      <c r="SI972" s="9"/>
      <c r="SJ972" s="9"/>
      <c r="SK972" s="9"/>
      <c r="SL972" s="9"/>
      <c r="SM972" s="9"/>
      <c r="SN972" s="9"/>
      <c r="SO972" s="9"/>
      <c r="SP972" s="9"/>
      <c r="SQ972" s="9"/>
      <c r="SR972" s="9"/>
      <c r="SS972" s="9"/>
      <c r="ST972" s="9"/>
      <c r="SU972" s="9"/>
      <c r="SV972" s="9"/>
      <c r="SW972" s="9"/>
      <c r="SX972" s="9"/>
      <c r="SY972" s="9"/>
      <c r="SZ972" s="9"/>
      <c r="TA972" s="9"/>
      <c r="TB972" s="9"/>
      <c r="TC972" s="9"/>
      <c r="TD972" s="9"/>
      <c r="TE972" s="9"/>
      <c r="TF972" s="9"/>
      <c r="TG972" s="9"/>
      <c r="TH972" s="9"/>
      <c r="TI972" s="9"/>
      <c r="TJ972" s="9"/>
      <c r="TK972" s="9"/>
      <c r="TL972" s="9"/>
      <c r="TM972" s="9"/>
      <c r="TN972" s="9"/>
      <c r="TO972" s="9"/>
      <c r="TP972" s="9"/>
      <c r="TQ972" s="9"/>
      <c r="TR972" s="9"/>
      <c r="TS972" s="9"/>
      <c r="TT972" s="9"/>
      <c r="TU972" s="9"/>
      <c r="TV972" s="9"/>
      <c r="TW972" s="9"/>
      <c r="TX972" s="9"/>
      <c r="TY972" s="9"/>
      <c r="TZ972" s="9"/>
      <c r="UA972" s="9"/>
      <c r="UB972" s="9"/>
      <c r="UC972" s="9"/>
      <c r="UD972" s="9"/>
      <c r="UE972" s="9"/>
      <c r="UF972" s="9"/>
      <c r="UG972" s="9"/>
      <c r="UH972" s="9"/>
      <c r="UI972" s="9"/>
      <c r="UJ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9"/>
      <c r="FS973" s="9"/>
      <c r="FT973" s="9"/>
      <c r="FU973" s="9"/>
      <c r="FV973" s="9"/>
      <c r="FW973" s="9"/>
      <c r="FX973" s="9"/>
      <c r="FY973" s="9"/>
      <c r="FZ973" s="9"/>
      <c r="GA973" s="9"/>
      <c r="GB973" s="9"/>
      <c r="GC973" s="9"/>
      <c r="GD973" s="9"/>
      <c r="GE973" s="9"/>
      <c r="GF973" s="9"/>
      <c r="GG973" s="9"/>
      <c r="GH973" s="9"/>
      <c r="GI973" s="9"/>
      <c r="GJ973" s="9"/>
      <c r="GK973" s="9"/>
      <c r="GL973" s="9"/>
      <c r="GM973" s="9"/>
      <c r="GN973" s="9"/>
      <c r="GO973" s="9"/>
      <c r="GP973" s="9"/>
      <c r="GQ973" s="9"/>
      <c r="GR973" s="9"/>
      <c r="GS973" s="9"/>
      <c r="GT973" s="9"/>
      <c r="GU973" s="9"/>
      <c r="GV973" s="9"/>
      <c r="GW973" s="9"/>
      <c r="GX973" s="9"/>
      <c r="GY973" s="9"/>
      <c r="GZ973" s="9"/>
      <c r="HA973" s="9"/>
      <c r="HB973" s="9"/>
      <c r="HC973" s="9"/>
      <c r="HD973" s="9"/>
      <c r="HE973" s="9"/>
      <c r="HF973" s="9"/>
      <c r="HG973" s="9"/>
      <c r="HH973" s="9"/>
      <c r="HI973" s="9"/>
      <c r="HJ973" s="9"/>
      <c r="HK973" s="9"/>
      <c r="HL973" s="9"/>
      <c r="HM973" s="9"/>
      <c r="HN973" s="9"/>
      <c r="HO973" s="9"/>
      <c r="HP973" s="9"/>
      <c r="HQ973" s="9"/>
      <c r="HR973" s="9"/>
      <c r="HS973" s="9"/>
      <c r="HT973" s="9"/>
      <c r="HU973" s="9"/>
      <c r="HV973" s="9"/>
      <c r="HW973" s="9"/>
      <c r="HX973" s="9"/>
      <c r="HY973" s="9"/>
      <c r="HZ973" s="9"/>
      <c r="IA973" s="9"/>
      <c r="IB973" s="9"/>
      <c r="IC973" s="9"/>
      <c r="ID973" s="9"/>
      <c r="IE973" s="9"/>
      <c r="IF973" s="9"/>
      <c r="IG973" s="9"/>
      <c r="IH973" s="9"/>
      <c r="II973" s="9"/>
      <c r="IJ973" s="9"/>
      <c r="IK973" s="9"/>
      <c r="IL973" s="9"/>
      <c r="IM973" s="9"/>
      <c r="IN973" s="9"/>
      <c r="IO973" s="9"/>
      <c r="IP973" s="9"/>
      <c r="IQ973" s="9"/>
      <c r="IR973" s="9"/>
      <c r="IS973" s="9"/>
      <c r="IT973" s="9"/>
      <c r="IU973" s="9"/>
      <c r="IV973" s="9"/>
      <c r="IW973" s="9"/>
      <c r="IX973" s="9"/>
      <c r="IY973" s="9"/>
      <c r="IZ973" s="9"/>
      <c r="JA973" s="9"/>
      <c r="JB973" s="9"/>
      <c r="JC973" s="9"/>
      <c r="JD973" s="9"/>
      <c r="JE973" s="9"/>
      <c r="JF973" s="9"/>
      <c r="JG973" s="9"/>
      <c r="JH973" s="9"/>
      <c r="JI973" s="9"/>
      <c r="JJ973" s="9"/>
      <c r="JK973" s="9"/>
      <c r="JL973" s="9"/>
      <c r="JM973" s="9"/>
      <c r="JN973" s="9"/>
      <c r="JO973" s="9"/>
      <c r="JP973" s="9"/>
      <c r="JQ973" s="9"/>
      <c r="JR973" s="9"/>
      <c r="JS973" s="9"/>
      <c r="JT973" s="9"/>
      <c r="JU973" s="9"/>
      <c r="JV973" s="9"/>
      <c r="JW973" s="9"/>
      <c r="JX973" s="9"/>
      <c r="JY973" s="9"/>
      <c r="JZ973" s="9"/>
      <c r="KA973" s="9"/>
      <c r="KB973" s="9"/>
      <c r="KC973" s="9"/>
      <c r="KD973" s="9"/>
      <c r="KE973" s="9"/>
      <c r="KF973" s="9"/>
      <c r="KG973" s="9"/>
      <c r="KH973" s="9"/>
      <c r="KI973" s="9"/>
      <c r="KJ973" s="9"/>
      <c r="KK973" s="9"/>
      <c r="KL973" s="9"/>
      <c r="KM973" s="9"/>
      <c r="KN973" s="9"/>
      <c r="KO973" s="9"/>
      <c r="KP973" s="9"/>
      <c r="KQ973" s="9"/>
      <c r="KR973" s="9"/>
      <c r="KS973" s="9"/>
      <c r="KT973" s="9"/>
      <c r="KU973" s="9"/>
      <c r="KV973" s="9"/>
      <c r="KW973" s="9"/>
      <c r="KX973" s="9"/>
      <c r="KY973" s="9"/>
      <c r="KZ973" s="9"/>
      <c r="LA973" s="9"/>
      <c r="LB973" s="9"/>
      <c r="LC973" s="9"/>
      <c r="LD973" s="9"/>
      <c r="LE973" s="9"/>
      <c r="LF973" s="9"/>
      <c r="LG973" s="9"/>
      <c r="LH973" s="9"/>
      <c r="LI973" s="9"/>
      <c r="LJ973" s="9"/>
      <c r="LK973" s="9"/>
      <c r="LL973" s="9"/>
      <c r="LM973" s="9"/>
      <c r="LN973" s="9"/>
      <c r="LO973" s="9"/>
      <c r="LP973" s="9"/>
      <c r="LQ973" s="9"/>
      <c r="LR973" s="9"/>
      <c r="LS973" s="9"/>
      <c r="LT973" s="9"/>
      <c r="LU973" s="9"/>
      <c r="LV973" s="9"/>
      <c r="LW973" s="9"/>
      <c r="LX973" s="9"/>
      <c r="LY973" s="9"/>
      <c r="LZ973" s="9"/>
      <c r="MA973" s="9"/>
      <c r="MB973" s="9"/>
      <c r="MC973" s="9"/>
      <c r="MD973" s="9"/>
      <c r="ME973" s="9"/>
      <c r="MF973" s="9"/>
      <c r="MG973" s="9"/>
      <c r="MH973" s="9"/>
      <c r="MI973" s="9"/>
      <c r="MJ973" s="9"/>
      <c r="MK973" s="9"/>
      <c r="ML973" s="9"/>
      <c r="MM973" s="9"/>
      <c r="MN973" s="9"/>
      <c r="MO973" s="9"/>
      <c r="MP973" s="9"/>
      <c r="MQ973" s="9"/>
      <c r="MR973" s="9"/>
      <c r="MS973" s="9"/>
      <c r="MT973" s="9"/>
      <c r="MU973" s="9"/>
      <c r="MV973" s="9"/>
      <c r="MW973" s="9"/>
      <c r="MX973" s="9"/>
      <c r="MY973" s="9"/>
      <c r="MZ973" s="9"/>
      <c r="NA973" s="9"/>
      <c r="NB973" s="9"/>
      <c r="NC973" s="9"/>
      <c r="ND973" s="9"/>
      <c r="NE973" s="9"/>
      <c r="NF973" s="9"/>
      <c r="NG973" s="9"/>
      <c r="NH973" s="9"/>
      <c r="NI973" s="9"/>
      <c r="NJ973" s="9"/>
      <c r="NK973" s="9"/>
      <c r="NL973" s="9"/>
      <c r="NM973" s="9"/>
      <c r="NN973" s="9"/>
      <c r="NO973" s="9"/>
      <c r="NP973" s="9"/>
      <c r="NQ973" s="9"/>
      <c r="NR973" s="9"/>
      <c r="NS973" s="9"/>
      <c r="NT973" s="9"/>
      <c r="NU973" s="9"/>
      <c r="NV973" s="9"/>
      <c r="NW973" s="9"/>
      <c r="NX973" s="9"/>
      <c r="NY973" s="9"/>
      <c r="NZ973" s="9"/>
      <c r="OA973" s="9"/>
      <c r="OB973" s="9"/>
      <c r="OC973" s="9"/>
      <c r="OD973" s="9"/>
      <c r="OE973" s="9"/>
      <c r="OF973" s="9"/>
      <c r="OG973" s="9"/>
      <c r="OH973" s="9"/>
      <c r="OI973" s="9"/>
      <c r="OJ973" s="9"/>
      <c r="OK973" s="9"/>
      <c r="OL973" s="9"/>
      <c r="OM973" s="9"/>
      <c r="ON973" s="9"/>
      <c r="OO973" s="9"/>
      <c r="OP973" s="9"/>
      <c r="OQ973" s="9"/>
      <c r="OR973" s="9"/>
      <c r="OS973" s="9"/>
      <c r="OT973" s="9"/>
      <c r="OU973" s="9"/>
      <c r="OV973" s="9"/>
      <c r="OW973" s="9"/>
      <c r="OX973" s="9"/>
      <c r="OY973" s="9"/>
      <c r="OZ973" s="9"/>
      <c r="PA973" s="9"/>
      <c r="PB973" s="9"/>
      <c r="PC973" s="9"/>
      <c r="PD973" s="9"/>
      <c r="PE973" s="9"/>
      <c r="PF973" s="9"/>
      <c r="PG973" s="9"/>
      <c r="PH973" s="9"/>
      <c r="PI973" s="9"/>
      <c r="PJ973" s="9"/>
      <c r="PK973" s="9"/>
      <c r="PL973" s="9"/>
      <c r="PM973" s="9"/>
      <c r="PN973" s="9"/>
      <c r="PO973" s="9"/>
      <c r="PP973" s="9"/>
      <c r="PQ973" s="9"/>
      <c r="PR973" s="9"/>
      <c r="PS973" s="9"/>
      <c r="PT973" s="9"/>
      <c r="PU973" s="9"/>
      <c r="PV973" s="9"/>
      <c r="PW973" s="9"/>
      <c r="PX973" s="9"/>
      <c r="PY973" s="9"/>
      <c r="PZ973" s="9"/>
      <c r="QA973" s="9"/>
      <c r="QB973" s="9"/>
      <c r="QC973" s="9"/>
      <c r="QD973" s="9"/>
      <c r="QE973" s="9"/>
      <c r="QF973" s="9"/>
      <c r="QG973" s="9"/>
      <c r="QH973" s="9"/>
      <c r="QI973" s="9"/>
      <c r="QJ973" s="9"/>
      <c r="QK973" s="9"/>
      <c r="QL973" s="9"/>
      <c r="QM973" s="9"/>
      <c r="QN973" s="9"/>
      <c r="QO973" s="9"/>
      <c r="QP973" s="9"/>
      <c r="QQ973" s="9"/>
      <c r="QR973" s="9"/>
      <c r="QS973" s="9"/>
      <c r="QT973" s="9"/>
      <c r="QU973" s="9"/>
      <c r="QV973" s="9"/>
      <c r="QW973" s="9"/>
      <c r="QX973" s="9"/>
      <c r="QY973" s="9"/>
      <c r="QZ973" s="9"/>
      <c r="RA973" s="9"/>
      <c r="RB973" s="9"/>
      <c r="RC973" s="9"/>
      <c r="RD973" s="9"/>
      <c r="RE973" s="9"/>
      <c r="RF973" s="9"/>
      <c r="RG973" s="9"/>
      <c r="RH973" s="9"/>
      <c r="RI973" s="9"/>
      <c r="RJ973" s="9"/>
      <c r="RK973" s="9"/>
      <c r="RL973" s="9"/>
      <c r="RM973" s="9"/>
      <c r="RN973" s="9"/>
      <c r="RO973" s="9"/>
      <c r="RP973" s="9"/>
      <c r="RQ973" s="9"/>
      <c r="RR973" s="9"/>
      <c r="RS973" s="9"/>
      <c r="RT973" s="9"/>
      <c r="RU973" s="9"/>
      <c r="RV973" s="9"/>
      <c r="RW973" s="9"/>
      <c r="RX973" s="9"/>
      <c r="RY973" s="9"/>
      <c r="RZ973" s="9"/>
      <c r="SA973" s="9"/>
      <c r="SB973" s="9"/>
      <c r="SC973" s="9"/>
      <c r="SD973" s="9"/>
      <c r="SE973" s="9"/>
      <c r="SF973" s="9"/>
      <c r="SG973" s="9"/>
      <c r="SH973" s="9"/>
      <c r="SI973" s="9"/>
      <c r="SJ973" s="9"/>
      <c r="SK973" s="9"/>
      <c r="SL973" s="9"/>
      <c r="SM973" s="9"/>
      <c r="SN973" s="9"/>
      <c r="SO973" s="9"/>
      <c r="SP973" s="9"/>
      <c r="SQ973" s="9"/>
      <c r="SR973" s="9"/>
      <c r="SS973" s="9"/>
      <c r="ST973" s="9"/>
      <c r="SU973" s="9"/>
      <c r="SV973" s="9"/>
      <c r="SW973" s="9"/>
      <c r="SX973" s="9"/>
      <c r="SY973" s="9"/>
      <c r="SZ973" s="9"/>
      <c r="TA973" s="9"/>
      <c r="TB973" s="9"/>
      <c r="TC973" s="9"/>
      <c r="TD973" s="9"/>
      <c r="TE973" s="9"/>
      <c r="TF973" s="9"/>
      <c r="TG973" s="9"/>
      <c r="TH973" s="9"/>
      <c r="TI973" s="9"/>
      <c r="TJ973" s="9"/>
      <c r="TK973" s="9"/>
      <c r="TL973" s="9"/>
      <c r="TM973" s="9"/>
      <c r="TN973" s="9"/>
      <c r="TO973" s="9"/>
      <c r="TP973" s="9"/>
      <c r="TQ973" s="9"/>
      <c r="TR973" s="9"/>
      <c r="TS973" s="9"/>
      <c r="TT973" s="9"/>
      <c r="TU973" s="9"/>
      <c r="TV973" s="9"/>
      <c r="TW973" s="9"/>
      <c r="TX973" s="9"/>
      <c r="TY973" s="9"/>
      <c r="TZ973" s="9"/>
      <c r="UA973" s="9"/>
      <c r="UB973" s="9"/>
      <c r="UC973" s="9"/>
      <c r="UD973" s="9"/>
      <c r="UE973" s="9"/>
      <c r="UF973" s="9"/>
      <c r="UG973" s="9"/>
      <c r="UH973" s="9"/>
      <c r="UI973" s="9"/>
      <c r="UJ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9"/>
      <c r="FJ974" s="9"/>
      <c r="FK974" s="9"/>
      <c r="FL974" s="9"/>
      <c r="FM974" s="9"/>
      <c r="FN974" s="9"/>
      <c r="FO974" s="9"/>
      <c r="FP974" s="9"/>
      <c r="FQ974" s="9"/>
      <c r="FR974" s="9"/>
      <c r="FS974" s="9"/>
      <c r="FT974" s="9"/>
      <c r="FU974" s="9"/>
      <c r="FV974" s="9"/>
      <c r="FW974" s="9"/>
      <c r="FX974" s="9"/>
      <c r="FY974" s="9"/>
      <c r="FZ974" s="9"/>
      <c r="GA974" s="9"/>
      <c r="GB974" s="9"/>
      <c r="GC974" s="9"/>
      <c r="GD974" s="9"/>
      <c r="GE974" s="9"/>
      <c r="GF974" s="9"/>
      <c r="GG974" s="9"/>
      <c r="GH974" s="9"/>
      <c r="GI974" s="9"/>
      <c r="GJ974" s="9"/>
      <c r="GK974" s="9"/>
      <c r="GL974" s="9"/>
      <c r="GM974" s="9"/>
      <c r="GN974" s="9"/>
      <c r="GO974" s="9"/>
      <c r="GP974" s="9"/>
      <c r="GQ974" s="9"/>
      <c r="GR974" s="9"/>
      <c r="GS974" s="9"/>
      <c r="GT974" s="9"/>
      <c r="GU974" s="9"/>
      <c r="GV974" s="9"/>
      <c r="GW974" s="9"/>
      <c r="GX974" s="9"/>
      <c r="GY974" s="9"/>
      <c r="GZ974" s="9"/>
      <c r="HA974" s="9"/>
      <c r="HB974" s="9"/>
      <c r="HC974" s="9"/>
      <c r="HD974" s="9"/>
      <c r="HE974" s="9"/>
      <c r="HF974" s="9"/>
      <c r="HG974" s="9"/>
      <c r="HH974" s="9"/>
      <c r="HI974" s="9"/>
      <c r="HJ974" s="9"/>
      <c r="HK974" s="9"/>
      <c r="HL974" s="9"/>
      <c r="HM974" s="9"/>
      <c r="HN974" s="9"/>
      <c r="HO974" s="9"/>
      <c r="HP974" s="9"/>
      <c r="HQ974" s="9"/>
      <c r="HR974" s="9"/>
      <c r="HS974" s="9"/>
      <c r="HT974" s="9"/>
      <c r="HU974" s="9"/>
      <c r="HV974" s="9"/>
      <c r="HW974" s="9"/>
      <c r="HX974" s="9"/>
      <c r="HY974" s="9"/>
      <c r="HZ974" s="9"/>
      <c r="IA974" s="9"/>
      <c r="IB974" s="9"/>
      <c r="IC974" s="9"/>
      <c r="ID974" s="9"/>
      <c r="IE974" s="9"/>
      <c r="IF974" s="9"/>
      <c r="IG974" s="9"/>
      <c r="IH974" s="9"/>
      <c r="II974" s="9"/>
      <c r="IJ974" s="9"/>
      <c r="IK974" s="9"/>
      <c r="IL974" s="9"/>
      <c r="IM974" s="9"/>
      <c r="IN974" s="9"/>
      <c r="IO974" s="9"/>
      <c r="IP974" s="9"/>
      <c r="IQ974" s="9"/>
      <c r="IR974" s="9"/>
      <c r="IS974" s="9"/>
      <c r="IT974" s="9"/>
      <c r="IU974" s="9"/>
      <c r="IV974" s="9"/>
      <c r="IW974" s="9"/>
      <c r="IX974" s="9"/>
      <c r="IY974" s="9"/>
      <c r="IZ974" s="9"/>
      <c r="JA974" s="9"/>
      <c r="JB974" s="9"/>
      <c r="JC974" s="9"/>
      <c r="JD974" s="9"/>
      <c r="JE974" s="9"/>
      <c r="JF974" s="9"/>
      <c r="JG974" s="9"/>
      <c r="JH974" s="9"/>
      <c r="JI974" s="9"/>
      <c r="JJ974" s="9"/>
      <c r="JK974" s="9"/>
      <c r="JL974" s="9"/>
      <c r="JM974" s="9"/>
      <c r="JN974" s="9"/>
      <c r="JO974" s="9"/>
      <c r="JP974" s="9"/>
      <c r="JQ974" s="9"/>
      <c r="JR974" s="9"/>
      <c r="JS974" s="9"/>
      <c r="JT974" s="9"/>
      <c r="JU974" s="9"/>
      <c r="JV974" s="9"/>
      <c r="JW974" s="9"/>
      <c r="JX974" s="9"/>
      <c r="JY974" s="9"/>
      <c r="JZ974" s="9"/>
      <c r="KA974" s="9"/>
      <c r="KB974" s="9"/>
      <c r="KC974" s="9"/>
      <c r="KD974" s="9"/>
      <c r="KE974" s="9"/>
      <c r="KF974" s="9"/>
      <c r="KG974" s="9"/>
      <c r="KH974" s="9"/>
      <c r="KI974" s="9"/>
      <c r="KJ974" s="9"/>
      <c r="KK974" s="9"/>
      <c r="KL974" s="9"/>
      <c r="KM974" s="9"/>
      <c r="KN974" s="9"/>
      <c r="KO974" s="9"/>
      <c r="KP974" s="9"/>
      <c r="KQ974" s="9"/>
      <c r="KR974" s="9"/>
      <c r="KS974" s="9"/>
      <c r="KT974" s="9"/>
      <c r="KU974" s="9"/>
      <c r="KV974" s="9"/>
      <c r="KW974" s="9"/>
      <c r="KX974" s="9"/>
      <c r="KY974" s="9"/>
      <c r="KZ974" s="9"/>
      <c r="LA974" s="9"/>
      <c r="LB974" s="9"/>
      <c r="LC974" s="9"/>
      <c r="LD974" s="9"/>
      <c r="LE974" s="9"/>
      <c r="LF974" s="9"/>
      <c r="LG974" s="9"/>
      <c r="LH974" s="9"/>
      <c r="LI974" s="9"/>
      <c r="LJ974" s="9"/>
      <c r="LK974" s="9"/>
      <c r="LL974" s="9"/>
      <c r="LM974" s="9"/>
      <c r="LN974" s="9"/>
      <c r="LO974" s="9"/>
      <c r="LP974" s="9"/>
      <c r="LQ974" s="9"/>
      <c r="LR974" s="9"/>
      <c r="LS974" s="9"/>
      <c r="LT974" s="9"/>
      <c r="LU974" s="9"/>
      <c r="LV974" s="9"/>
      <c r="LW974" s="9"/>
      <c r="LX974" s="9"/>
      <c r="LY974" s="9"/>
      <c r="LZ974" s="9"/>
      <c r="MA974" s="9"/>
      <c r="MB974" s="9"/>
      <c r="MC974" s="9"/>
      <c r="MD974" s="9"/>
      <c r="ME974" s="9"/>
      <c r="MF974" s="9"/>
      <c r="MG974" s="9"/>
      <c r="MH974" s="9"/>
      <c r="MI974" s="9"/>
      <c r="MJ974" s="9"/>
      <c r="MK974" s="9"/>
      <c r="ML974" s="9"/>
      <c r="MM974" s="9"/>
      <c r="MN974" s="9"/>
      <c r="MO974" s="9"/>
      <c r="MP974" s="9"/>
      <c r="MQ974" s="9"/>
      <c r="MR974" s="9"/>
      <c r="MS974" s="9"/>
      <c r="MT974" s="9"/>
      <c r="MU974" s="9"/>
      <c r="MV974" s="9"/>
      <c r="MW974" s="9"/>
      <c r="MX974" s="9"/>
      <c r="MY974" s="9"/>
      <c r="MZ974" s="9"/>
      <c r="NA974" s="9"/>
      <c r="NB974" s="9"/>
      <c r="NC974" s="9"/>
      <c r="ND974" s="9"/>
      <c r="NE974" s="9"/>
      <c r="NF974" s="9"/>
      <c r="NG974" s="9"/>
      <c r="NH974" s="9"/>
      <c r="NI974" s="9"/>
      <c r="NJ974" s="9"/>
      <c r="NK974" s="9"/>
      <c r="NL974" s="9"/>
      <c r="NM974" s="9"/>
      <c r="NN974" s="9"/>
      <c r="NO974" s="9"/>
      <c r="NP974" s="9"/>
      <c r="NQ974" s="9"/>
      <c r="NR974" s="9"/>
      <c r="NS974" s="9"/>
      <c r="NT974" s="9"/>
      <c r="NU974" s="9"/>
      <c r="NV974" s="9"/>
      <c r="NW974" s="9"/>
      <c r="NX974" s="9"/>
      <c r="NY974" s="9"/>
      <c r="NZ974" s="9"/>
      <c r="OA974" s="9"/>
      <c r="OB974" s="9"/>
      <c r="OC974" s="9"/>
      <c r="OD974" s="9"/>
      <c r="OE974" s="9"/>
      <c r="OF974" s="9"/>
      <c r="OG974" s="9"/>
      <c r="OH974" s="9"/>
      <c r="OI974" s="9"/>
      <c r="OJ974" s="9"/>
      <c r="OK974" s="9"/>
      <c r="OL974" s="9"/>
      <c r="OM974" s="9"/>
      <c r="ON974" s="9"/>
      <c r="OO974" s="9"/>
      <c r="OP974" s="9"/>
      <c r="OQ974" s="9"/>
      <c r="OR974" s="9"/>
      <c r="OS974" s="9"/>
      <c r="OT974" s="9"/>
      <c r="OU974" s="9"/>
      <c r="OV974" s="9"/>
      <c r="OW974" s="9"/>
      <c r="OX974" s="9"/>
      <c r="OY974" s="9"/>
      <c r="OZ974" s="9"/>
      <c r="PA974" s="9"/>
      <c r="PB974" s="9"/>
      <c r="PC974" s="9"/>
      <c r="PD974" s="9"/>
      <c r="PE974" s="9"/>
      <c r="PF974" s="9"/>
      <c r="PG974" s="9"/>
      <c r="PH974" s="9"/>
      <c r="PI974" s="9"/>
      <c r="PJ974" s="9"/>
      <c r="PK974" s="9"/>
      <c r="PL974" s="9"/>
      <c r="PM974" s="9"/>
      <c r="PN974" s="9"/>
      <c r="PO974" s="9"/>
      <c r="PP974" s="9"/>
      <c r="PQ974" s="9"/>
      <c r="PR974" s="9"/>
      <c r="PS974" s="9"/>
      <c r="PT974" s="9"/>
      <c r="PU974" s="9"/>
      <c r="PV974" s="9"/>
      <c r="PW974" s="9"/>
      <c r="PX974" s="9"/>
      <c r="PY974" s="9"/>
      <c r="PZ974" s="9"/>
      <c r="QA974" s="9"/>
      <c r="QB974" s="9"/>
      <c r="QC974" s="9"/>
      <c r="QD974" s="9"/>
      <c r="QE974" s="9"/>
      <c r="QF974" s="9"/>
      <c r="QG974" s="9"/>
      <c r="QH974" s="9"/>
      <c r="QI974" s="9"/>
      <c r="QJ974" s="9"/>
      <c r="QK974" s="9"/>
      <c r="QL974" s="9"/>
      <c r="QM974" s="9"/>
      <c r="QN974" s="9"/>
      <c r="QO974" s="9"/>
      <c r="QP974" s="9"/>
      <c r="QQ974" s="9"/>
      <c r="QR974" s="9"/>
      <c r="QS974" s="9"/>
      <c r="QT974" s="9"/>
      <c r="QU974" s="9"/>
      <c r="QV974" s="9"/>
      <c r="QW974" s="9"/>
      <c r="QX974" s="9"/>
      <c r="QY974" s="9"/>
      <c r="QZ974" s="9"/>
      <c r="RA974" s="9"/>
      <c r="RB974" s="9"/>
      <c r="RC974" s="9"/>
      <c r="RD974" s="9"/>
      <c r="RE974" s="9"/>
      <c r="RF974" s="9"/>
      <c r="RG974" s="9"/>
      <c r="RH974" s="9"/>
      <c r="RI974" s="9"/>
      <c r="RJ974" s="9"/>
      <c r="RK974" s="9"/>
      <c r="RL974" s="9"/>
      <c r="RM974" s="9"/>
      <c r="RN974" s="9"/>
      <c r="RO974" s="9"/>
      <c r="RP974" s="9"/>
      <c r="RQ974" s="9"/>
      <c r="RR974" s="9"/>
      <c r="RS974" s="9"/>
      <c r="RT974" s="9"/>
      <c r="RU974" s="9"/>
      <c r="RV974" s="9"/>
      <c r="RW974" s="9"/>
      <c r="RX974" s="9"/>
      <c r="RY974" s="9"/>
      <c r="RZ974" s="9"/>
      <c r="SA974" s="9"/>
      <c r="SB974" s="9"/>
      <c r="SC974" s="9"/>
      <c r="SD974" s="9"/>
      <c r="SE974" s="9"/>
      <c r="SF974" s="9"/>
      <c r="SG974" s="9"/>
      <c r="SH974" s="9"/>
      <c r="SI974" s="9"/>
      <c r="SJ974" s="9"/>
      <c r="SK974" s="9"/>
      <c r="SL974" s="9"/>
      <c r="SM974" s="9"/>
      <c r="SN974" s="9"/>
      <c r="SO974" s="9"/>
      <c r="SP974" s="9"/>
      <c r="SQ974" s="9"/>
      <c r="SR974" s="9"/>
      <c r="SS974" s="9"/>
      <c r="ST974" s="9"/>
      <c r="SU974" s="9"/>
      <c r="SV974" s="9"/>
      <c r="SW974" s="9"/>
      <c r="SX974" s="9"/>
      <c r="SY974" s="9"/>
      <c r="SZ974" s="9"/>
      <c r="TA974" s="9"/>
      <c r="TB974" s="9"/>
      <c r="TC974" s="9"/>
      <c r="TD974" s="9"/>
      <c r="TE974" s="9"/>
      <c r="TF974" s="9"/>
      <c r="TG974" s="9"/>
      <c r="TH974" s="9"/>
      <c r="TI974" s="9"/>
      <c r="TJ974" s="9"/>
      <c r="TK974" s="9"/>
      <c r="TL974" s="9"/>
      <c r="TM974" s="9"/>
      <c r="TN974" s="9"/>
      <c r="TO974" s="9"/>
      <c r="TP974" s="9"/>
      <c r="TQ974" s="9"/>
      <c r="TR974" s="9"/>
      <c r="TS974" s="9"/>
      <c r="TT974" s="9"/>
      <c r="TU974" s="9"/>
      <c r="TV974" s="9"/>
      <c r="TW974" s="9"/>
      <c r="TX974" s="9"/>
      <c r="TY974" s="9"/>
      <c r="TZ974" s="9"/>
      <c r="UA974" s="9"/>
      <c r="UB974" s="9"/>
      <c r="UC974" s="9"/>
      <c r="UD974" s="9"/>
      <c r="UE974" s="9"/>
      <c r="UF974" s="9"/>
      <c r="UG974" s="9"/>
      <c r="UH974" s="9"/>
      <c r="UI974" s="9"/>
      <c r="UJ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9"/>
      <c r="GV975" s="9"/>
      <c r="GW975" s="9"/>
      <c r="GX975" s="9"/>
      <c r="GY975" s="9"/>
      <c r="GZ975" s="9"/>
      <c r="HA975" s="9"/>
      <c r="HB975" s="9"/>
      <c r="HC975" s="9"/>
      <c r="HD975" s="9"/>
      <c r="HE975" s="9"/>
      <c r="HF975" s="9"/>
      <c r="HG975" s="9"/>
      <c r="HH975" s="9"/>
      <c r="HI975" s="9"/>
      <c r="HJ975" s="9"/>
      <c r="HK975" s="9"/>
      <c r="HL975" s="9"/>
      <c r="HM975" s="9"/>
      <c r="HN975" s="9"/>
      <c r="HO975" s="9"/>
      <c r="HP975" s="9"/>
      <c r="HQ975" s="9"/>
      <c r="HR975" s="9"/>
      <c r="HS975" s="9"/>
      <c r="HT975" s="9"/>
      <c r="HU975" s="9"/>
      <c r="HV975" s="9"/>
      <c r="HW975" s="9"/>
      <c r="HX975" s="9"/>
      <c r="HY975" s="9"/>
      <c r="HZ975" s="9"/>
      <c r="IA975" s="9"/>
      <c r="IB975" s="9"/>
      <c r="IC975" s="9"/>
      <c r="ID975" s="9"/>
      <c r="IE975" s="9"/>
      <c r="IF975" s="9"/>
      <c r="IG975" s="9"/>
      <c r="IH975" s="9"/>
      <c r="II975" s="9"/>
      <c r="IJ975" s="9"/>
      <c r="IK975" s="9"/>
      <c r="IL975" s="9"/>
      <c r="IM975" s="9"/>
      <c r="IN975" s="9"/>
      <c r="IO975" s="9"/>
      <c r="IP975" s="9"/>
      <c r="IQ975" s="9"/>
      <c r="IR975" s="9"/>
      <c r="IS975" s="9"/>
      <c r="IT975" s="9"/>
      <c r="IU975" s="9"/>
      <c r="IV975" s="9"/>
      <c r="IW975" s="9"/>
      <c r="IX975" s="9"/>
      <c r="IY975" s="9"/>
      <c r="IZ975" s="9"/>
      <c r="JA975" s="9"/>
      <c r="JB975" s="9"/>
      <c r="JC975" s="9"/>
      <c r="JD975" s="9"/>
      <c r="JE975" s="9"/>
      <c r="JF975" s="9"/>
      <c r="JG975" s="9"/>
      <c r="JH975" s="9"/>
      <c r="JI975" s="9"/>
      <c r="JJ975" s="9"/>
      <c r="JK975" s="9"/>
      <c r="JL975" s="9"/>
      <c r="JM975" s="9"/>
      <c r="JN975" s="9"/>
      <c r="JO975" s="9"/>
      <c r="JP975" s="9"/>
      <c r="JQ975" s="9"/>
      <c r="JR975" s="9"/>
      <c r="JS975" s="9"/>
      <c r="JT975" s="9"/>
      <c r="JU975" s="9"/>
      <c r="JV975" s="9"/>
      <c r="JW975" s="9"/>
      <c r="JX975" s="9"/>
      <c r="JY975" s="9"/>
      <c r="JZ975" s="9"/>
      <c r="KA975" s="9"/>
      <c r="KB975" s="9"/>
      <c r="KC975" s="9"/>
      <c r="KD975" s="9"/>
      <c r="KE975" s="9"/>
      <c r="KF975" s="9"/>
      <c r="KG975" s="9"/>
      <c r="KH975" s="9"/>
      <c r="KI975" s="9"/>
      <c r="KJ975" s="9"/>
      <c r="KK975" s="9"/>
      <c r="KL975" s="9"/>
      <c r="KM975" s="9"/>
      <c r="KN975" s="9"/>
      <c r="KO975" s="9"/>
      <c r="KP975" s="9"/>
      <c r="KQ975" s="9"/>
      <c r="KR975" s="9"/>
      <c r="KS975" s="9"/>
      <c r="KT975" s="9"/>
      <c r="KU975" s="9"/>
      <c r="KV975" s="9"/>
      <c r="KW975" s="9"/>
      <c r="KX975" s="9"/>
      <c r="KY975" s="9"/>
      <c r="KZ975" s="9"/>
      <c r="LA975" s="9"/>
      <c r="LB975" s="9"/>
      <c r="LC975" s="9"/>
      <c r="LD975" s="9"/>
      <c r="LE975" s="9"/>
      <c r="LF975" s="9"/>
      <c r="LG975" s="9"/>
      <c r="LH975" s="9"/>
      <c r="LI975" s="9"/>
      <c r="LJ975" s="9"/>
      <c r="LK975" s="9"/>
      <c r="LL975" s="9"/>
      <c r="LM975" s="9"/>
      <c r="LN975" s="9"/>
      <c r="LO975" s="9"/>
      <c r="LP975" s="9"/>
      <c r="LQ975" s="9"/>
      <c r="LR975" s="9"/>
      <c r="LS975" s="9"/>
      <c r="LT975" s="9"/>
      <c r="LU975" s="9"/>
      <c r="LV975" s="9"/>
      <c r="LW975" s="9"/>
      <c r="LX975" s="9"/>
      <c r="LY975" s="9"/>
      <c r="LZ975" s="9"/>
      <c r="MA975" s="9"/>
      <c r="MB975" s="9"/>
      <c r="MC975" s="9"/>
      <c r="MD975" s="9"/>
      <c r="ME975" s="9"/>
      <c r="MF975" s="9"/>
      <c r="MG975" s="9"/>
      <c r="MH975" s="9"/>
      <c r="MI975" s="9"/>
      <c r="MJ975" s="9"/>
      <c r="MK975" s="9"/>
      <c r="ML975" s="9"/>
      <c r="MM975" s="9"/>
      <c r="MN975" s="9"/>
      <c r="MO975" s="9"/>
      <c r="MP975" s="9"/>
      <c r="MQ975" s="9"/>
      <c r="MR975" s="9"/>
      <c r="MS975" s="9"/>
      <c r="MT975" s="9"/>
      <c r="MU975" s="9"/>
      <c r="MV975" s="9"/>
      <c r="MW975" s="9"/>
      <c r="MX975" s="9"/>
      <c r="MY975" s="9"/>
      <c r="MZ975" s="9"/>
      <c r="NA975" s="9"/>
      <c r="NB975" s="9"/>
      <c r="NC975" s="9"/>
      <c r="ND975" s="9"/>
      <c r="NE975" s="9"/>
      <c r="NF975" s="9"/>
      <c r="NG975" s="9"/>
      <c r="NH975" s="9"/>
      <c r="NI975" s="9"/>
      <c r="NJ975" s="9"/>
      <c r="NK975" s="9"/>
      <c r="NL975" s="9"/>
      <c r="NM975" s="9"/>
      <c r="NN975" s="9"/>
      <c r="NO975" s="9"/>
      <c r="NP975" s="9"/>
      <c r="NQ975" s="9"/>
      <c r="NR975" s="9"/>
      <c r="NS975" s="9"/>
      <c r="NT975" s="9"/>
      <c r="NU975" s="9"/>
      <c r="NV975" s="9"/>
      <c r="NW975" s="9"/>
      <c r="NX975" s="9"/>
      <c r="NY975" s="9"/>
      <c r="NZ975" s="9"/>
      <c r="OA975" s="9"/>
      <c r="OB975" s="9"/>
      <c r="OC975" s="9"/>
      <c r="OD975" s="9"/>
      <c r="OE975" s="9"/>
      <c r="OF975" s="9"/>
      <c r="OG975" s="9"/>
      <c r="OH975" s="9"/>
      <c r="OI975" s="9"/>
      <c r="OJ975" s="9"/>
      <c r="OK975" s="9"/>
      <c r="OL975" s="9"/>
      <c r="OM975" s="9"/>
      <c r="ON975" s="9"/>
      <c r="OO975" s="9"/>
      <c r="OP975" s="9"/>
      <c r="OQ975" s="9"/>
      <c r="OR975" s="9"/>
      <c r="OS975" s="9"/>
      <c r="OT975" s="9"/>
      <c r="OU975" s="9"/>
      <c r="OV975" s="9"/>
      <c r="OW975" s="9"/>
      <c r="OX975" s="9"/>
      <c r="OY975" s="9"/>
      <c r="OZ975" s="9"/>
      <c r="PA975" s="9"/>
      <c r="PB975" s="9"/>
      <c r="PC975" s="9"/>
      <c r="PD975" s="9"/>
      <c r="PE975" s="9"/>
      <c r="PF975" s="9"/>
      <c r="PG975" s="9"/>
      <c r="PH975" s="9"/>
      <c r="PI975" s="9"/>
      <c r="PJ975" s="9"/>
      <c r="PK975" s="9"/>
      <c r="PL975" s="9"/>
      <c r="PM975" s="9"/>
      <c r="PN975" s="9"/>
      <c r="PO975" s="9"/>
      <c r="PP975" s="9"/>
      <c r="PQ975" s="9"/>
      <c r="PR975" s="9"/>
      <c r="PS975" s="9"/>
      <c r="PT975" s="9"/>
      <c r="PU975" s="9"/>
      <c r="PV975" s="9"/>
      <c r="PW975" s="9"/>
      <c r="PX975" s="9"/>
      <c r="PY975" s="9"/>
      <c r="PZ975" s="9"/>
      <c r="QA975" s="9"/>
      <c r="QB975" s="9"/>
      <c r="QC975" s="9"/>
      <c r="QD975" s="9"/>
      <c r="QE975" s="9"/>
      <c r="QF975" s="9"/>
      <c r="QG975" s="9"/>
      <c r="QH975" s="9"/>
      <c r="QI975" s="9"/>
      <c r="QJ975" s="9"/>
      <c r="QK975" s="9"/>
      <c r="QL975" s="9"/>
      <c r="QM975" s="9"/>
      <c r="QN975" s="9"/>
      <c r="QO975" s="9"/>
      <c r="QP975" s="9"/>
      <c r="QQ975" s="9"/>
      <c r="QR975" s="9"/>
      <c r="QS975" s="9"/>
      <c r="QT975" s="9"/>
      <c r="QU975" s="9"/>
      <c r="QV975" s="9"/>
      <c r="QW975" s="9"/>
      <c r="QX975" s="9"/>
      <c r="QY975" s="9"/>
      <c r="QZ975" s="9"/>
      <c r="RA975" s="9"/>
      <c r="RB975" s="9"/>
      <c r="RC975" s="9"/>
      <c r="RD975" s="9"/>
      <c r="RE975" s="9"/>
      <c r="RF975" s="9"/>
      <c r="RG975" s="9"/>
      <c r="RH975" s="9"/>
      <c r="RI975" s="9"/>
      <c r="RJ975" s="9"/>
      <c r="RK975" s="9"/>
      <c r="RL975" s="9"/>
      <c r="RM975" s="9"/>
      <c r="RN975" s="9"/>
      <c r="RO975" s="9"/>
      <c r="RP975" s="9"/>
      <c r="RQ975" s="9"/>
      <c r="RR975" s="9"/>
      <c r="RS975" s="9"/>
      <c r="RT975" s="9"/>
      <c r="RU975" s="9"/>
      <c r="RV975" s="9"/>
      <c r="RW975" s="9"/>
      <c r="RX975" s="9"/>
      <c r="RY975" s="9"/>
      <c r="RZ975" s="9"/>
      <c r="SA975" s="9"/>
      <c r="SB975" s="9"/>
      <c r="SC975" s="9"/>
      <c r="SD975" s="9"/>
      <c r="SE975" s="9"/>
      <c r="SF975" s="9"/>
      <c r="SG975" s="9"/>
      <c r="SH975" s="9"/>
      <c r="SI975" s="9"/>
      <c r="SJ975" s="9"/>
      <c r="SK975" s="9"/>
      <c r="SL975" s="9"/>
      <c r="SM975" s="9"/>
      <c r="SN975" s="9"/>
      <c r="SO975" s="9"/>
      <c r="SP975" s="9"/>
      <c r="SQ975" s="9"/>
      <c r="SR975" s="9"/>
      <c r="SS975" s="9"/>
      <c r="ST975" s="9"/>
      <c r="SU975" s="9"/>
      <c r="SV975" s="9"/>
      <c r="SW975" s="9"/>
      <c r="SX975" s="9"/>
      <c r="SY975" s="9"/>
      <c r="SZ975" s="9"/>
      <c r="TA975" s="9"/>
      <c r="TB975" s="9"/>
      <c r="TC975" s="9"/>
      <c r="TD975" s="9"/>
      <c r="TE975" s="9"/>
      <c r="TF975" s="9"/>
      <c r="TG975" s="9"/>
      <c r="TH975" s="9"/>
      <c r="TI975" s="9"/>
      <c r="TJ975" s="9"/>
      <c r="TK975" s="9"/>
      <c r="TL975" s="9"/>
      <c r="TM975" s="9"/>
      <c r="TN975" s="9"/>
      <c r="TO975" s="9"/>
      <c r="TP975" s="9"/>
      <c r="TQ975" s="9"/>
      <c r="TR975" s="9"/>
      <c r="TS975" s="9"/>
      <c r="TT975" s="9"/>
      <c r="TU975" s="9"/>
      <c r="TV975" s="9"/>
      <c r="TW975" s="9"/>
      <c r="TX975" s="9"/>
      <c r="TY975" s="9"/>
      <c r="TZ975" s="9"/>
      <c r="UA975" s="9"/>
      <c r="UB975" s="9"/>
      <c r="UC975" s="9"/>
      <c r="UD975" s="9"/>
      <c r="UE975" s="9"/>
      <c r="UF975" s="9"/>
      <c r="UG975" s="9"/>
      <c r="UH975" s="9"/>
      <c r="UI975" s="9"/>
      <c r="UJ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/>
      <c r="FJ976" s="9"/>
      <c r="FK976" s="9"/>
      <c r="FL976" s="9"/>
      <c r="FM976" s="9"/>
      <c r="FN976" s="9"/>
      <c r="FO976" s="9"/>
      <c r="FP976" s="9"/>
      <c r="FQ976" s="9"/>
      <c r="FR976" s="9"/>
      <c r="FS976" s="9"/>
      <c r="FT976" s="9"/>
      <c r="FU976" s="9"/>
      <c r="FV976" s="9"/>
      <c r="FW976" s="9"/>
      <c r="FX976" s="9"/>
      <c r="FY976" s="9"/>
      <c r="FZ976" s="9"/>
      <c r="GA976" s="9"/>
      <c r="GB976" s="9"/>
      <c r="GC976" s="9"/>
      <c r="GD976" s="9"/>
      <c r="GE976" s="9"/>
      <c r="GF976" s="9"/>
      <c r="GG976" s="9"/>
      <c r="GH976" s="9"/>
      <c r="GI976" s="9"/>
      <c r="GJ976" s="9"/>
      <c r="GK976" s="9"/>
      <c r="GL976" s="9"/>
      <c r="GM976" s="9"/>
      <c r="GN976" s="9"/>
      <c r="GO976" s="9"/>
      <c r="GP976" s="9"/>
      <c r="GQ976" s="9"/>
      <c r="GR976" s="9"/>
      <c r="GS976" s="9"/>
      <c r="GT976" s="9"/>
      <c r="GU976" s="9"/>
      <c r="GV976" s="9"/>
      <c r="GW976" s="9"/>
      <c r="GX976" s="9"/>
      <c r="GY976" s="9"/>
      <c r="GZ976" s="9"/>
      <c r="HA976" s="9"/>
      <c r="HB976" s="9"/>
      <c r="HC976" s="9"/>
      <c r="HD976" s="9"/>
      <c r="HE976" s="9"/>
      <c r="HF976" s="9"/>
      <c r="HG976" s="9"/>
      <c r="HH976" s="9"/>
      <c r="HI976" s="9"/>
      <c r="HJ976" s="9"/>
      <c r="HK976" s="9"/>
      <c r="HL976" s="9"/>
      <c r="HM976" s="9"/>
      <c r="HN976" s="9"/>
      <c r="HO976" s="9"/>
      <c r="HP976" s="9"/>
      <c r="HQ976" s="9"/>
      <c r="HR976" s="9"/>
      <c r="HS976" s="9"/>
      <c r="HT976" s="9"/>
      <c r="HU976" s="9"/>
      <c r="HV976" s="9"/>
      <c r="HW976" s="9"/>
      <c r="HX976" s="9"/>
      <c r="HY976" s="9"/>
      <c r="HZ976" s="9"/>
      <c r="IA976" s="9"/>
      <c r="IB976" s="9"/>
      <c r="IC976" s="9"/>
      <c r="ID976" s="9"/>
      <c r="IE976" s="9"/>
      <c r="IF976" s="9"/>
      <c r="IG976" s="9"/>
      <c r="IH976" s="9"/>
      <c r="II976" s="9"/>
      <c r="IJ976" s="9"/>
      <c r="IK976" s="9"/>
      <c r="IL976" s="9"/>
      <c r="IM976" s="9"/>
      <c r="IN976" s="9"/>
      <c r="IO976" s="9"/>
      <c r="IP976" s="9"/>
      <c r="IQ976" s="9"/>
      <c r="IR976" s="9"/>
      <c r="IS976" s="9"/>
      <c r="IT976" s="9"/>
      <c r="IU976" s="9"/>
      <c r="IV976" s="9"/>
      <c r="IW976" s="9"/>
      <c r="IX976" s="9"/>
      <c r="IY976" s="9"/>
      <c r="IZ976" s="9"/>
      <c r="JA976" s="9"/>
      <c r="JB976" s="9"/>
      <c r="JC976" s="9"/>
      <c r="JD976" s="9"/>
      <c r="JE976" s="9"/>
      <c r="JF976" s="9"/>
      <c r="JG976" s="9"/>
      <c r="JH976" s="9"/>
      <c r="JI976" s="9"/>
      <c r="JJ976" s="9"/>
      <c r="JK976" s="9"/>
      <c r="JL976" s="9"/>
      <c r="JM976" s="9"/>
      <c r="JN976" s="9"/>
      <c r="JO976" s="9"/>
      <c r="JP976" s="9"/>
      <c r="JQ976" s="9"/>
      <c r="JR976" s="9"/>
      <c r="JS976" s="9"/>
      <c r="JT976" s="9"/>
      <c r="JU976" s="9"/>
      <c r="JV976" s="9"/>
      <c r="JW976" s="9"/>
      <c r="JX976" s="9"/>
      <c r="JY976" s="9"/>
      <c r="JZ976" s="9"/>
      <c r="KA976" s="9"/>
      <c r="KB976" s="9"/>
      <c r="KC976" s="9"/>
      <c r="KD976" s="9"/>
      <c r="KE976" s="9"/>
      <c r="KF976" s="9"/>
      <c r="KG976" s="9"/>
      <c r="KH976" s="9"/>
      <c r="KI976" s="9"/>
      <c r="KJ976" s="9"/>
      <c r="KK976" s="9"/>
      <c r="KL976" s="9"/>
      <c r="KM976" s="9"/>
      <c r="KN976" s="9"/>
      <c r="KO976" s="9"/>
      <c r="KP976" s="9"/>
      <c r="KQ976" s="9"/>
      <c r="KR976" s="9"/>
      <c r="KS976" s="9"/>
      <c r="KT976" s="9"/>
      <c r="KU976" s="9"/>
      <c r="KV976" s="9"/>
      <c r="KW976" s="9"/>
      <c r="KX976" s="9"/>
      <c r="KY976" s="9"/>
      <c r="KZ976" s="9"/>
      <c r="LA976" s="9"/>
      <c r="LB976" s="9"/>
      <c r="LC976" s="9"/>
      <c r="LD976" s="9"/>
      <c r="LE976" s="9"/>
      <c r="LF976" s="9"/>
      <c r="LG976" s="9"/>
      <c r="LH976" s="9"/>
      <c r="LI976" s="9"/>
      <c r="LJ976" s="9"/>
      <c r="LK976" s="9"/>
      <c r="LL976" s="9"/>
      <c r="LM976" s="9"/>
      <c r="LN976" s="9"/>
      <c r="LO976" s="9"/>
      <c r="LP976" s="9"/>
      <c r="LQ976" s="9"/>
      <c r="LR976" s="9"/>
      <c r="LS976" s="9"/>
      <c r="LT976" s="9"/>
      <c r="LU976" s="9"/>
      <c r="LV976" s="9"/>
      <c r="LW976" s="9"/>
      <c r="LX976" s="9"/>
      <c r="LY976" s="9"/>
      <c r="LZ976" s="9"/>
      <c r="MA976" s="9"/>
      <c r="MB976" s="9"/>
      <c r="MC976" s="9"/>
      <c r="MD976" s="9"/>
      <c r="ME976" s="9"/>
      <c r="MF976" s="9"/>
      <c r="MG976" s="9"/>
      <c r="MH976" s="9"/>
      <c r="MI976" s="9"/>
      <c r="MJ976" s="9"/>
      <c r="MK976" s="9"/>
      <c r="ML976" s="9"/>
      <c r="MM976" s="9"/>
      <c r="MN976" s="9"/>
      <c r="MO976" s="9"/>
      <c r="MP976" s="9"/>
      <c r="MQ976" s="9"/>
      <c r="MR976" s="9"/>
      <c r="MS976" s="9"/>
      <c r="MT976" s="9"/>
      <c r="MU976" s="9"/>
      <c r="MV976" s="9"/>
      <c r="MW976" s="9"/>
      <c r="MX976" s="9"/>
      <c r="MY976" s="9"/>
      <c r="MZ976" s="9"/>
      <c r="NA976" s="9"/>
      <c r="NB976" s="9"/>
      <c r="NC976" s="9"/>
      <c r="ND976" s="9"/>
      <c r="NE976" s="9"/>
      <c r="NF976" s="9"/>
      <c r="NG976" s="9"/>
      <c r="NH976" s="9"/>
      <c r="NI976" s="9"/>
      <c r="NJ976" s="9"/>
      <c r="NK976" s="9"/>
      <c r="NL976" s="9"/>
      <c r="NM976" s="9"/>
      <c r="NN976" s="9"/>
      <c r="NO976" s="9"/>
      <c r="NP976" s="9"/>
      <c r="NQ976" s="9"/>
      <c r="NR976" s="9"/>
      <c r="NS976" s="9"/>
      <c r="NT976" s="9"/>
      <c r="NU976" s="9"/>
      <c r="NV976" s="9"/>
      <c r="NW976" s="9"/>
      <c r="NX976" s="9"/>
      <c r="NY976" s="9"/>
      <c r="NZ976" s="9"/>
      <c r="OA976" s="9"/>
      <c r="OB976" s="9"/>
      <c r="OC976" s="9"/>
      <c r="OD976" s="9"/>
      <c r="OE976" s="9"/>
      <c r="OF976" s="9"/>
      <c r="OG976" s="9"/>
      <c r="OH976" s="9"/>
      <c r="OI976" s="9"/>
      <c r="OJ976" s="9"/>
      <c r="OK976" s="9"/>
      <c r="OL976" s="9"/>
      <c r="OM976" s="9"/>
      <c r="ON976" s="9"/>
      <c r="OO976" s="9"/>
      <c r="OP976" s="9"/>
      <c r="OQ976" s="9"/>
      <c r="OR976" s="9"/>
      <c r="OS976" s="9"/>
      <c r="OT976" s="9"/>
      <c r="OU976" s="9"/>
      <c r="OV976" s="9"/>
      <c r="OW976" s="9"/>
      <c r="OX976" s="9"/>
      <c r="OY976" s="9"/>
      <c r="OZ976" s="9"/>
      <c r="PA976" s="9"/>
      <c r="PB976" s="9"/>
      <c r="PC976" s="9"/>
      <c r="PD976" s="9"/>
      <c r="PE976" s="9"/>
      <c r="PF976" s="9"/>
      <c r="PG976" s="9"/>
      <c r="PH976" s="9"/>
      <c r="PI976" s="9"/>
      <c r="PJ976" s="9"/>
      <c r="PK976" s="9"/>
      <c r="PL976" s="9"/>
      <c r="PM976" s="9"/>
      <c r="PN976" s="9"/>
      <c r="PO976" s="9"/>
      <c r="PP976" s="9"/>
      <c r="PQ976" s="9"/>
      <c r="PR976" s="9"/>
      <c r="PS976" s="9"/>
      <c r="PT976" s="9"/>
      <c r="PU976" s="9"/>
      <c r="PV976" s="9"/>
      <c r="PW976" s="9"/>
      <c r="PX976" s="9"/>
      <c r="PY976" s="9"/>
      <c r="PZ976" s="9"/>
      <c r="QA976" s="9"/>
      <c r="QB976" s="9"/>
      <c r="QC976" s="9"/>
      <c r="QD976" s="9"/>
      <c r="QE976" s="9"/>
      <c r="QF976" s="9"/>
      <c r="QG976" s="9"/>
      <c r="QH976" s="9"/>
      <c r="QI976" s="9"/>
      <c r="QJ976" s="9"/>
      <c r="QK976" s="9"/>
      <c r="QL976" s="9"/>
      <c r="QM976" s="9"/>
      <c r="QN976" s="9"/>
      <c r="QO976" s="9"/>
      <c r="QP976" s="9"/>
      <c r="QQ976" s="9"/>
      <c r="QR976" s="9"/>
      <c r="QS976" s="9"/>
      <c r="QT976" s="9"/>
      <c r="QU976" s="9"/>
      <c r="QV976" s="9"/>
      <c r="QW976" s="9"/>
      <c r="QX976" s="9"/>
      <c r="QY976" s="9"/>
      <c r="QZ976" s="9"/>
      <c r="RA976" s="9"/>
      <c r="RB976" s="9"/>
      <c r="RC976" s="9"/>
      <c r="RD976" s="9"/>
      <c r="RE976" s="9"/>
      <c r="RF976" s="9"/>
      <c r="RG976" s="9"/>
      <c r="RH976" s="9"/>
      <c r="RI976" s="9"/>
      <c r="RJ976" s="9"/>
      <c r="RK976" s="9"/>
      <c r="RL976" s="9"/>
      <c r="RM976" s="9"/>
      <c r="RN976" s="9"/>
      <c r="RO976" s="9"/>
      <c r="RP976" s="9"/>
      <c r="RQ976" s="9"/>
      <c r="RR976" s="9"/>
      <c r="RS976" s="9"/>
      <c r="RT976" s="9"/>
      <c r="RU976" s="9"/>
      <c r="RV976" s="9"/>
      <c r="RW976" s="9"/>
      <c r="RX976" s="9"/>
      <c r="RY976" s="9"/>
      <c r="RZ976" s="9"/>
      <c r="SA976" s="9"/>
      <c r="SB976" s="9"/>
      <c r="SC976" s="9"/>
      <c r="SD976" s="9"/>
      <c r="SE976" s="9"/>
      <c r="SF976" s="9"/>
      <c r="SG976" s="9"/>
      <c r="SH976" s="9"/>
      <c r="SI976" s="9"/>
      <c r="SJ976" s="9"/>
      <c r="SK976" s="9"/>
      <c r="SL976" s="9"/>
      <c r="SM976" s="9"/>
      <c r="SN976" s="9"/>
      <c r="SO976" s="9"/>
      <c r="SP976" s="9"/>
      <c r="SQ976" s="9"/>
      <c r="SR976" s="9"/>
      <c r="SS976" s="9"/>
      <c r="ST976" s="9"/>
      <c r="SU976" s="9"/>
      <c r="SV976" s="9"/>
      <c r="SW976" s="9"/>
      <c r="SX976" s="9"/>
      <c r="SY976" s="9"/>
      <c r="SZ976" s="9"/>
      <c r="TA976" s="9"/>
      <c r="TB976" s="9"/>
      <c r="TC976" s="9"/>
      <c r="TD976" s="9"/>
      <c r="TE976" s="9"/>
      <c r="TF976" s="9"/>
      <c r="TG976" s="9"/>
      <c r="TH976" s="9"/>
      <c r="TI976" s="9"/>
      <c r="TJ976" s="9"/>
      <c r="TK976" s="9"/>
      <c r="TL976" s="9"/>
      <c r="TM976" s="9"/>
      <c r="TN976" s="9"/>
      <c r="TO976" s="9"/>
      <c r="TP976" s="9"/>
      <c r="TQ976" s="9"/>
      <c r="TR976" s="9"/>
      <c r="TS976" s="9"/>
      <c r="TT976" s="9"/>
      <c r="TU976" s="9"/>
      <c r="TV976" s="9"/>
      <c r="TW976" s="9"/>
      <c r="TX976" s="9"/>
      <c r="TY976" s="9"/>
      <c r="TZ976" s="9"/>
      <c r="UA976" s="9"/>
      <c r="UB976" s="9"/>
      <c r="UC976" s="9"/>
      <c r="UD976" s="9"/>
      <c r="UE976" s="9"/>
      <c r="UF976" s="9"/>
      <c r="UG976" s="9"/>
      <c r="UH976" s="9"/>
      <c r="UI976" s="9"/>
      <c r="UJ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9"/>
      <c r="GV977" s="9"/>
      <c r="GW977" s="9"/>
      <c r="GX977" s="9"/>
      <c r="GY977" s="9"/>
      <c r="GZ977" s="9"/>
      <c r="HA977" s="9"/>
      <c r="HB977" s="9"/>
      <c r="HC977" s="9"/>
      <c r="HD977" s="9"/>
      <c r="HE977" s="9"/>
      <c r="HF977" s="9"/>
      <c r="HG977" s="9"/>
      <c r="HH977" s="9"/>
      <c r="HI977" s="9"/>
      <c r="HJ977" s="9"/>
      <c r="HK977" s="9"/>
      <c r="HL977" s="9"/>
      <c r="HM977" s="9"/>
      <c r="HN977" s="9"/>
      <c r="HO977" s="9"/>
      <c r="HP977" s="9"/>
      <c r="HQ977" s="9"/>
      <c r="HR977" s="9"/>
      <c r="HS977" s="9"/>
      <c r="HT977" s="9"/>
      <c r="HU977" s="9"/>
      <c r="HV977" s="9"/>
      <c r="HW977" s="9"/>
      <c r="HX977" s="9"/>
      <c r="HY977" s="9"/>
      <c r="HZ977" s="9"/>
      <c r="IA977" s="9"/>
      <c r="IB977" s="9"/>
      <c r="IC977" s="9"/>
      <c r="ID977" s="9"/>
      <c r="IE977" s="9"/>
      <c r="IF977" s="9"/>
      <c r="IG977" s="9"/>
      <c r="IH977" s="9"/>
      <c r="II977" s="9"/>
      <c r="IJ977" s="9"/>
      <c r="IK977" s="9"/>
      <c r="IL977" s="9"/>
      <c r="IM977" s="9"/>
      <c r="IN977" s="9"/>
      <c r="IO977" s="9"/>
      <c r="IP977" s="9"/>
      <c r="IQ977" s="9"/>
      <c r="IR977" s="9"/>
      <c r="IS977" s="9"/>
      <c r="IT977" s="9"/>
      <c r="IU977" s="9"/>
      <c r="IV977" s="9"/>
      <c r="IW977" s="9"/>
      <c r="IX977" s="9"/>
      <c r="IY977" s="9"/>
      <c r="IZ977" s="9"/>
      <c r="JA977" s="9"/>
      <c r="JB977" s="9"/>
      <c r="JC977" s="9"/>
      <c r="JD977" s="9"/>
      <c r="JE977" s="9"/>
      <c r="JF977" s="9"/>
      <c r="JG977" s="9"/>
      <c r="JH977" s="9"/>
      <c r="JI977" s="9"/>
      <c r="JJ977" s="9"/>
      <c r="JK977" s="9"/>
      <c r="JL977" s="9"/>
      <c r="JM977" s="9"/>
      <c r="JN977" s="9"/>
      <c r="JO977" s="9"/>
      <c r="JP977" s="9"/>
      <c r="JQ977" s="9"/>
      <c r="JR977" s="9"/>
      <c r="JS977" s="9"/>
      <c r="JT977" s="9"/>
      <c r="JU977" s="9"/>
      <c r="JV977" s="9"/>
      <c r="JW977" s="9"/>
      <c r="JX977" s="9"/>
      <c r="JY977" s="9"/>
      <c r="JZ977" s="9"/>
      <c r="KA977" s="9"/>
      <c r="KB977" s="9"/>
      <c r="KC977" s="9"/>
      <c r="KD977" s="9"/>
      <c r="KE977" s="9"/>
      <c r="KF977" s="9"/>
      <c r="KG977" s="9"/>
      <c r="KH977" s="9"/>
      <c r="KI977" s="9"/>
      <c r="KJ977" s="9"/>
      <c r="KK977" s="9"/>
      <c r="KL977" s="9"/>
      <c r="KM977" s="9"/>
      <c r="KN977" s="9"/>
      <c r="KO977" s="9"/>
      <c r="KP977" s="9"/>
      <c r="KQ977" s="9"/>
      <c r="KR977" s="9"/>
      <c r="KS977" s="9"/>
      <c r="KT977" s="9"/>
      <c r="KU977" s="9"/>
      <c r="KV977" s="9"/>
      <c r="KW977" s="9"/>
      <c r="KX977" s="9"/>
      <c r="KY977" s="9"/>
      <c r="KZ977" s="9"/>
      <c r="LA977" s="9"/>
      <c r="LB977" s="9"/>
      <c r="LC977" s="9"/>
      <c r="LD977" s="9"/>
      <c r="LE977" s="9"/>
      <c r="LF977" s="9"/>
      <c r="LG977" s="9"/>
      <c r="LH977" s="9"/>
      <c r="LI977" s="9"/>
      <c r="LJ977" s="9"/>
      <c r="LK977" s="9"/>
      <c r="LL977" s="9"/>
      <c r="LM977" s="9"/>
      <c r="LN977" s="9"/>
      <c r="LO977" s="9"/>
      <c r="LP977" s="9"/>
      <c r="LQ977" s="9"/>
      <c r="LR977" s="9"/>
      <c r="LS977" s="9"/>
      <c r="LT977" s="9"/>
      <c r="LU977" s="9"/>
      <c r="LV977" s="9"/>
      <c r="LW977" s="9"/>
      <c r="LX977" s="9"/>
      <c r="LY977" s="9"/>
      <c r="LZ977" s="9"/>
      <c r="MA977" s="9"/>
      <c r="MB977" s="9"/>
      <c r="MC977" s="9"/>
      <c r="MD977" s="9"/>
      <c r="ME977" s="9"/>
      <c r="MF977" s="9"/>
      <c r="MG977" s="9"/>
      <c r="MH977" s="9"/>
      <c r="MI977" s="9"/>
      <c r="MJ977" s="9"/>
      <c r="MK977" s="9"/>
      <c r="ML977" s="9"/>
      <c r="MM977" s="9"/>
      <c r="MN977" s="9"/>
      <c r="MO977" s="9"/>
      <c r="MP977" s="9"/>
      <c r="MQ977" s="9"/>
      <c r="MR977" s="9"/>
      <c r="MS977" s="9"/>
      <c r="MT977" s="9"/>
      <c r="MU977" s="9"/>
      <c r="MV977" s="9"/>
      <c r="MW977" s="9"/>
      <c r="MX977" s="9"/>
      <c r="MY977" s="9"/>
      <c r="MZ977" s="9"/>
      <c r="NA977" s="9"/>
      <c r="NB977" s="9"/>
      <c r="NC977" s="9"/>
      <c r="ND977" s="9"/>
      <c r="NE977" s="9"/>
      <c r="NF977" s="9"/>
      <c r="NG977" s="9"/>
      <c r="NH977" s="9"/>
      <c r="NI977" s="9"/>
      <c r="NJ977" s="9"/>
      <c r="NK977" s="9"/>
      <c r="NL977" s="9"/>
      <c r="NM977" s="9"/>
      <c r="NN977" s="9"/>
      <c r="NO977" s="9"/>
      <c r="NP977" s="9"/>
      <c r="NQ977" s="9"/>
      <c r="NR977" s="9"/>
      <c r="NS977" s="9"/>
      <c r="NT977" s="9"/>
      <c r="NU977" s="9"/>
      <c r="NV977" s="9"/>
      <c r="NW977" s="9"/>
      <c r="NX977" s="9"/>
      <c r="NY977" s="9"/>
      <c r="NZ977" s="9"/>
      <c r="OA977" s="9"/>
      <c r="OB977" s="9"/>
      <c r="OC977" s="9"/>
      <c r="OD977" s="9"/>
      <c r="OE977" s="9"/>
      <c r="OF977" s="9"/>
      <c r="OG977" s="9"/>
      <c r="OH977" s="9"/>
      <c r="OI977" s="9"/>
      <c r="OJ977" s="9"/>
      <c r="OK977" s="9"/>
      <c r="OL977" s="9"/>
      <c r="OM977" s="9"/>
      <c r="ON977" s="9"/>
      <c r="OO977" s="9"/>
      <c r="OP977" s="9"/>
      <c r="OQ977" s="9"/>
      <c r="OR977" s="9"/>
      <c r="OS977" s="9"/>
      <c r="OT977" s="9"/>
      <c r="OU977" s="9"/>
      <c r="OV977" s="9"/>
      <c r="OW977" s="9"/>
      <c r="OX977" s="9"/>
      <c r="OY977" s="9"/>
      <c r="OZ977" s="9"/>
      <c r="PA977" s="9"/>
      <c r="PB977" s="9"/>
      <c r="PC977" s="9"/>
      <c r="PD977" s="9"/>
      <c r="PE977" s="9"/>
      <c r="PF977" s="9"/>
      <c r="PG977" s="9"/>
      <c r="PH977" s="9"/>
      <c r="PI977" s="9"/>
      <c r="PJ977" s="9"/>
      <c r="PK977" s="9"/>
      <c r="PL977" s="9"/>
      <c r="PM977" s="9"/>
      <c r="PN977" s="9"/>
      <c r="PO977" s="9"/>
      <c r="PP977" s="9"/>
      <c r="PQ977" s="9"/>
      <c r="PR977" s="9"/>
      <c r="PS977" s="9"/>
      <c r="PT977" s="9"/>
      <c r="PU977" s="9"/>
      <c r="PV977" s="9"/>
      <c r="PW977" s="9"/>
      <c r="PX977" s="9"/>
      <c r="PY977" s="9"/>
      <c r="PZ977" s="9"/>
      <c r="QA977" s="9"/>
      <c r="QB977" s="9"/>
      <c r="QC977" s="9"/>
      <c r="QD977" s="9"/>
      <c r="QE977" s="9"/>
      <c r="QF977" s="9"/>
      <c r="QG977" s="9"/>
      <c r="QH977" s="9"/>
      <c r="QI977" s="9"/>
      <c r="QJ977" s="9"/>
      <c r="QK977" s="9"/>
      <c r="QL977" s="9"/>
      <c r="QM977" s="9"/>
      <c r="QN977" s="9"/>
      <c r="QO977" s="9"/>
      <c r="QP977" s="9"/>
      <c r="QQ977" s="9"/>
      <c r="QR977" s="9"/>
      <c r="QS977" s="9"/>
      <c r="QT977" s="9"/>
      <c r="QU977" s="9"/>
      <c r="QV977" s="9"/>
      <c r="QW977" s="9"/>
      <c r="QX977" s="9"/>
      <c r="QY977" s="9"/>
      <c r="QZ977" s="9"/>
      <c r="RA977" s="9"/>
      <c r="RB977" s="9"/>
      <c r="RC977" s="9"/>
      <c r="RD977" s="9"/>
      <c r="RE977" s="9"/>
      <c r="RF977" s="9"/>
      <c r="RG977" s="9"/>
      <c r="RH977" s="9"/>
      <c r="RI977" s="9"/>
      <c r="RJ977" s="9"/>
      <c r="RK977" s="9"/>
      <c r="RL977" s="9"/>
      <c r="RM977" s="9"/>
      <c r="RN977" s="9"/>
      <c r="RO977" s="9"/>
      <c r="RP977" s="9"/>
      <c r="RQ977" s="9"/>
      <c r="RR977" s="9"/>
      <c r="RS977" s="9"/>
      <c r="RT977" s="9"/>
      <c r="RU977" s="9"/>
      <c r="RV977" s="9"/>
      <c r="RW977" s="9"/>
      <c r="RX977" s="9"/>
      <c r="RY977" s="9"/>
      <c r="RZ977" s="9"/>
      <c r="SA977" s="9"/>
      <c r="SB977" s="9"/>
      <c r="SC977" s="9"/>
      <c r="SD977" s="9"/>
      <c r="SE977" s="9"/>
      <c r="SF977" s="9"/>
      <c r="SG977" s="9"/>
      <c r="SH977" s="9"/>
      <c r="SI977" s="9"/>
      <c r="SJ977" s="9"/>
      <c r="SK977" s="9"/>
      <c r="SL977" s="9"/>
      <c r="SM977" s="9"/>
      <c r="SN977" s="9"/>
      <c r="SO977" s="9"/>
      <c r="SP977" s="9"/>
      <c r="SQ977" s="9"/>
      <c r="SR977" s="9"/>
      <c r="SS977" s="9"/>
      <c r="ST977" s="9"/>
      <c r="SU977" s="9"/>
      <c r="SV977" s="9"/>
      <c r="SW977" s="9"/>
      <c r="SX977" s="9"/>
      <c r="SY977" s="9"/>
      <c r="SZ977" s="9"/>
      <c r="TA977" s="9"/>
      <c r="TB977" s="9"/>
      <c r="TC977" s="9"/>
      <c r="TD977" s="9"/>
      <c r="TE977" s="9"/>
      <c r="TF977" s="9"/>
      <c r="TG977" s="9"/>
      <c r="TH977" s="9"/>
      <c r="TI977" s="9"/>
      <c r="TJ977" s="9"/>
      <c r="TK977" s="9"/>
      <c r="TL977" s="9"/>
      <c r="TM977" s="9"/>
      <c r="TN977" s="9"/>
      <c r="TO977" s="9"/>
      <c r="TP977" s="9"/>
      <c r="TQ977" s="9"/>
      <c r="TR977" s="9"/>
      <c r="TS977" s="9"/>
      <c r="TT977" s="9"/>
      <c r="TU977" s="9"/>
      <c r="TV977" s="9"/>
      <c r="TW977" s="9"/>
      <c r="TX977" s="9"/>
      <c r="TY977" s="9"/>
      <c r="TZ977" s="9"/>
      <c r="UA977" s="9"/>
      <c r="UB977" s="9"/>
      <c r="UC977" s="9"/>
      <c r="UD977" s="9"/>
      <c r="UE977" s="9"/>
      <c r="UF977" s="9"/>
      <c r="UG977" s="9"/>
      <c r="UH977" s="9"/>
      <c r="UI977" s="9"/>
      <c r="UJ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  <c r="FL978" s="9"/>
      <c r="FM978" s="9"/>
      <c r="FN978" s="9"/>
      <c r="FO978" s="9"/>
      <c r="FP978" s="9"/>
      <c r="FQ978" s="9"/>
      <c r="FR978" s="9"/>
      <c r="FS978" s="9"/>
      <c r="FT978" s="9"/>
      <c r="FU978" s="9"/>
      <c r="FV978" s="9"/>
      <c r="FW978" s="9"/>
      <c r="FX978" s="9"/>
      <c r="FY978" s="9"/>
      <c r="FZ978" s="9"/>
      <c r="GA978" s="9"/>
      <c r="GB978" s="9"/>
      <c r="GC978" s="9"/>
      <c r="GD978" s="9"/>
      <c r="GE978" s="9"/>
      <c r="GF978" s="9"/>
      <c r="GG978" s="9"/>
      <c r="GH978" s="9"/>
      <c r="GI978" s="9"/>
      <c r="GJ978" s="9"/>
      <c r="GK978" s="9"/>
      <c r="GL978" s="9"/>
      <c r="GM978" s="9"/>
      <c r="GN978" s="9"/>
      <c r="GO978" s="9"/>
      <c r="GP978" s="9"/>
      <c r="GQ978" s="9"/>
      <c r="GR978" s="9"/>
      <c r="GS978" s="9"/>
      <c r="GT978" s="9"/>
      <c r="GU978" s="9"/>
      <c r="GV978" s="9"/>
      <c r="GW978" s="9"/>
      <c r="GX978" s="9"/>
      <c r="GY978" s="9"/>
      <c r="GZ978" s="9"/>
      <c r="HA978" s="9"/>
      <c r="HB978" s="9"/>
      <c r="HC978" s="9"/>
      <c r="HD978" s="9"/>
      <c r="HE978" s="9"/>
      <c r="HF978" s="9"/>
      <c r="HG978" s="9"/>
      <c r="HH978" s="9"/>
      <c r="HI978" s="9"/>
      <c r="HJ978" s="9"/>
      <c r="HK978" s="9"/>
      <c r="HL978" s="9"/>
      <c r="HM978" s="9"/>
      <c r="HN978" s="9"/>
      <c r="HO978" s="9"/>
      <c r="HP978" s="9"/>
      <c r="HQ978" s="9"/>
      <c r="HR978" s="9"/>
      <c r="HS978" s="9"/>
      <c r="HT978" s="9"/>
      <c r="HU978" s="9"/>
      <c r="HV978" s="9"/>
      <c r="HW978" s="9"/>
      <c r="HX978" s="9"/>
      <c r="HY978" s="9"/>
      <c r="HZ978" s="9"/>
      <c r="IA978" s="9"/>
      <c r="IB978" s="9"/>
      <c r="IC978" s="9"/>
      <c r="ID978" s="9"/>
      <c r="IE978" s="9"/>
      <c r="IF978" s="9"/>
      <c r="IG978" s="9"/>
      <c r="IH978" s="9"/>
      <c r="II978" s="9"/>
      <c r="IJ978" s="9"/>
      <c r="IK978" s="9"/>
      <c r="IL978" s="9"/>
      <c r="IM978" s="9"/>
      <c r="IN978" s="9"/>
      <c r="IO978" s="9"/>
      <c r="IP978" s="9"/>
      <c r="IQ978" s="9"/>
      <c r="IR978" s="9"/>
      <c r="IS978" s="9"/>
      <c r="IT978" s="9"/>
      <c r="IU978" s="9"/>
      <c r="IV978" s="9"/>
      <c r="IW978" s="9"/>
      <c r="IX978" s="9"/>
      <c r="IY978" s="9"/>
      <c r="IZ978" s="9"/>
      <c r="JA978" s="9"/>
      <c r="JB978" s="9"/>
      <c r="JC978" s="9"/>
      <c r="JD978" s="9"/>
      <c r="JE978" s="9"/>
      <c r="JF978" s="9"/>
      <c r="JG978" s="9"/>
      <c r="JH978" s="9"/>
      <c r="JI978" s="9"/>
      <c r="JJ978" s="9"/>
      <c r="JK978" s="9"/>
      <c r="JL978" s="9"/>
      <c r="JM978" s="9"/>
      <c r="JN978" s="9"/>
      <c r="JO978" s="9"/>
      <c r="JP978" s="9"/>
      <c r="JQ978" s="9"/>
      <c r="JR978" s="9"/>
      <c r="JS978" s="9"/>
      <c r="JT978" s="9"/>
      <c r="JU978" s="9"/>
      <c r="JV978" s="9"/>
      <c r="JW978" s="9"/>
      <c r="JX978" s="9"/>
      <c r="JY978" s="9"/>
      <c r="JZ978" s="9"/>
      <c r="KA978" s="9"/>
      <c r="KB978" s="9"/>
      <c r="KC978" s="9"/>
      <c r="KD978" s="9"/>
      <c r="KE978" s="9"/>
      <c r="KF978" s="9"/>
      <c r="KG978" s="9"/>
      <c r="KH978" s="9"/>
      <c r="KI978" s="9"/>
      <c r="KJ978" s="9"/>
      <c r="KK978" s="9"/>
      <c r="KL978" s="9"/>
      <c r="KM978" s="9"/>
      <c r="KN978" s="9"/>
      <c r="KO978" s="9"/>
      <c r="KP978" s="9"/>
      <c r="KQ978" s="9"/>
      <c r="KR978" s="9"/>
      <c r="KS978" s="9"/>
      <c r="KT978" s="9"/>
      <c r="KU978" s="9"/>
      <c r="KV978" s="9"/>
      <c r="KW978" s="9"/>
      <c r="KX978" s="9"/>
      <c r="KY978" s="9"/>
      <c r="KZ978" s="9"/>
      <c r="LA978" s="9"/>
      <c r="LB978" s="9"/>
      <c r="LC978" s="9"/>
      <c r="LD978" s="9"/>
      <c r="LE978" s="9"/>
      <c r="LF978" s="9"/>
      <c r="LG978" s="9"/>
      <c r="LH978" s="9"/>
      <c r="LI978" s="9"/>
      <c r="LJ978" s="9"/>
      <c r="LK978" s="9"/>
      <c r="LL978" s="9"/>
      <c r="LM978" s="9"/>
      <c r="LN978" s="9"/>
      <c r="LO978" s="9"/>
      <c r="LP978" s="9"/>
      <c r="LQ978" s="9"/>
      <c r="LR978" s="9"/>
      <c r="LS978" s="9"/>
      <c r="LT978" s="9"/>
      <c r="LU978" s="9"/>
      <c r="LV978" s="9"/>
      <c r="LW978" s="9"/>
      <c r="LX978" s="9"/>
      <c r="LY978" s="9"/>
      <c r="LZ978" s="9"/>
      <c r="MA978" s="9"/>
      <c r="MB978" s="9"/>
      <c r="MC978" s="9"/>
      <c r="MD978" s="9"/>
      <c r="ME978" s="9"/>
      <c r="MF978" s="9"/>
      <c r="MG978" s="9"/>
      <c r="MH978" s="9"/>
      <c r="MI978" s="9"/>
      <c r="MJ978" s="9"/>
      <c r="MK978" s="9"/>
      <c r="ML978" s="9"/>
      <c r="MM978" s="9"/>
      <c r="MN978" s="9"/>
      <c r="MO978" s="9"/>
      <c r="MP978" s="9"/>
      <c r="MQ978" s="9"/>
      <c r="MR978" s="9"/>
      <c r="MS978" s="9"/>
      <c r="MT978" s="9"/>
      <c r="MU978" s="9"/>
      <c r="MV978" s="9"/>
      <c r="MW978" s="9"/>
      <c r="MX978" s="9"/>
      <c r="MY978" s="9"/>
      <c r="MZ978" s="9"/>
      <c r="NA978" s="9"/>
      <c r="NB978" s="9"/>
      <c r="NC978" s="9"/>
      <c r="ND978" s="9"/>
      <c r="NE978" s="9"/>
      <c r="NF978" s="9"/>
      <c r="NG978" s="9"/>
      <c r="NH978" s="9"/>
      <c r="NI978" s="9"/>
      <c r="NJ978" s="9"/>
      <c r="NK978" s="9"/>
      <c r="NL978" s="9"/>
      <c r="NM978" s="9"/>
      <c r="NN978" s="9"/>
      <c r="NO978" s="9"/>
      <c r="NP978" s="9"/>
      <c r="NQ978" s="9"/>
      <c r="NR978" s="9"/>
      <c r="NS978" s="9"/>
      <c r="NT978" s="9"/>
      <c r="NU978" s="9"/>
      <c r="NV978" s="9"/>
      <c r="NW978" s="9"/>
      <c r="NX978" s="9"/>
      <c r="NY978" s="9"/>
      <c r="NZ978" s="9"/>
      <c r="OA978" s="9"/>
      <c r="OB978" s="9"/>
      <c r="OC978" s="9"/>
      <c r="OD978" s="9"/>
      <c r="OE978" s="9"/>
      <c r="OF978" s="9"/>
      <c r="OG978" s="9"/>
      <c r="OH978" s="9"/>
      <c r="OI978" s="9"/>
      <c r="OJ978" s="9"/>
      <c r="OK978" s="9"/>
      <c r="OL978" s="9"/>
      <c r="OM978" s="9"/>
      <c r="ON978" s="9"/>
      <c r="OO978" s="9"/>
      <c r="OP978" s="9"/>
      <c r="OQ978" s="9"/>
      <c r="OR978" s="9"/>
      <c r="OS978" s="9"/>
      <c r="OT978" s="9"/>
      <c r="OU978" s="9"/>
      <c r="OV978" s="9"/>
      <c r="OW978" s="9"/>
      <c r="OX978" s="9"/>
      <c r="OY978" s="9"/>
      <c r="OZ978" s="9"/>
      <c r="PA978" s="9"/>
      <c r="PB978" s="9"/>
      <c r="PC978" s="9"/>
      <c r="PD978" s="9"/>
      <c r="PE978" s="9"/>
      <c r="PF978" s="9"/>
      <c r="PG978" s="9"/>
      <c r="PH978" s="9"/>
      <c r="PI978" s="9"/>
      <c r="PJ978" s="9"/>
      <c r="PK978" s="9"/>
      <c r="PL978" s="9"/>
      <c r="PM978" s="9"/>
      <c r="PN978" s="9"/>
      <c r="PO978" s="9"/>
      <c r="PP978" s="9"/>
      <c r="PQ978" s="9"/>
      <c r="PR978" s="9"/>
      <c r="PS978" s="9"/>
      <c r="PT978" s="9"/>
      <c r="PU978" s="9"/>
      <c r="PV978" s="9"/>
      <c r="PW978" s="9"/>
      <c r="PX978" s="9"/>
      <c r="PY978" s="9"/>
      <c r="PZ978" s="9"/>
      <c r="QA978" s="9"/>
      <c r="QB978" s="9"/>
      <c r="QC978" s="9"/>
      <c r="QD978" s="9"/>
      <c r="QE978" s="9"/>
      <c r="QF978" s="9"/>
      <c r="QG978" s="9"/>
      <c r="QH978" s="9"/>
      <c r="QI978" s="9"/>
      <c r="QJ978" s="9"/>
      <c r="QK978" s="9"/>
      <c r="QL978" s="9"/>
      <c r="QM978" s="9"/>
      <c r="QN978" s="9"/>
      <c r="QO978" s="9"/>
      <c r="QP978" s="9"/>
      <c r="QQ978" s="9"/>
      <c r="QR978" s="9"/>
      <c r="QS978" s="9"/>
      <c r="QT978" s="9"/>
      <c r="QU978" s="9"/>
      <c r="QV978" s="9"/>
      <c r="QW978" s="9"/>
      <c r="QX978" s="9"/>
      <c r="QY978" s="9"/>
      <c r="QZ978" s="9"/>
      <c r="RA978" s="9"/>
      <c r="RB978" s="9"/>
      <c r="RC978" s="9"/>
      <c r="RD978" s="9"/>
      <c r="RE978" s="9"/>
      <c r="RF978" s="9"/>
      <c r="RG978" s="9"/>
      <c r="RH978" s="9"/>
      <c r="RI978" s="9"/>
      <c r="RJ978" s="9"/>
      <c r="RK978" s="9"/>
      <c r="RL978" s="9"/>
      <c r="RM978" s="9"/>
      <c r="RN978" s="9"/>
      <c r="RO978" s="9"/>
      <c r="RP978" s="9"/>
      <c r="RQ978" s="9"/>
      <c r="RR978" s="9"/>
      <c r="RS978" s="9"/>
      <c r="RT978" s="9"/>
      <c r="RU978" s="9"/>
      <c r="RV978" s="9"/>
      <c r="RW978" s="9"/>
      <c r="RX978" s="9"/>
      <c r="RY978" s="9"/>
      <c r="RZ978" s="9"/>
      <c r="SA978" s="9"/>
      <c r="SB978" s="9"/>
      <c r="SC978" s="9"/>
      <c r="SD978" s="9"/>
      <c r="SE978" s="9"/>
      <c r="SF978" s="9"/>
      <c r="SG978" s="9"/>
      <c r="SH978" s="9"/>
      <c r="SI978" s="9"/>
      <c r="SJ978" s="9"/>
      <c r="SK978" s="9"/>
      <c r="SL978" s="9"/>
      <c r="SM978" s="9"/>
      <c r="SN978" s="9"/>
      <c r="SO978" s="9"/>
      <c r="SP978" s="9"/>
      <c r="SQ978" s="9"/>
      <c r="SR978" s="9"/>
      <c r="SS978" s="9"/>
      <c r="ST978" s="9"/>
      <c r="SU978" s="9"/>
      <c r="SV978" s="9"/>
      <c r="SW978" s="9"/>
      <c r="SX978" s="9"/>
      <c r="SY978" s="9"/>
      <c r="SZ978" s="9"/>
      <c r="TA978" s="9"/>
      <c r="TB978" s="9"/>
      <c r="TC978" s="9"/>
      <c r="TD978" s="9"/>
      <c r="TE978" s="9"/>
      <c r="TF978" s="9"/>
      <c r="TG978" s="9"/>
      <c r="TH978" s="9"/>
      <c r="TI978" s="9"/>
      <c r="TJ978" s="9"/>
      <c r="TK978" s="9"/>
      <c r="TL978" s="9"/>
      <c r="TM978" s="9"/>
      <c r="TN978" s="9"/>
      <c r="TO978" s="9"/>
      <c r="TP978" s="9"/>
      <c r="TQ978" s="9"/>
      <c r="TR978" s="9"/>
      <c r="TS978" s="9"/>
      <c r="TT978" s="9"/>
      <c r="TU978" s="9"/>
      <c r="TV978" s="9"/>
      <c r="TW978" s="9"/>
      <c r="TX978" s="9"/>
      <c r="TY978" s="9"/>
      <c r="TZ978" s="9"/>
      <c r="UA978" s="9"/>
      <c r="UB978" s="9"/>
      <c r="UC978" s="9"/>
      <c r="UD978" s="9"/>
      <c r="UE978" s="9"/>
      <c r="UF978" s="9"/>
      <c r="UG978" s="9"/>
      <c r="UH978" s="9"/>
      <c r="UI978" s="9"/>
      <c r="UJ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9"/>
      <c r="GV979" s="9"/>
      <c r="GW979" s="9"/>
      <c r="GX979" s="9"/>
      <c r="GY979" s="9"/>
      <c r="GZ979" s="9"/>
      <c r="HA979" s="9"/>
      <c r="HB979" s="9"/>
      <c r="HC979" s="9"/>
      <c r="HD979" s="9"/>
      <c r="HE979" s="9"/>
      <c r="HF979" s="9"/>
      <c r="HG979" s="9"/>
      <c r="HH979" s="9"/>
      <c r="HI979" s="9"/>
      <c r="HJ979" s="9"/>
      <c r="HK979" s="9"/>
      <c r="HL979" s="9"/>
      <c r="HM979" s="9"/>
      <c r="HN979" s="9"/>
      <c r="HO979" s="9"/>
      <c r="HP979" s="9"/>
      <c r="HQ979" s="9"/>
      <c r="HR979" s="9"/>
      <c r="HS979" s="9"/>
      <c r="HT979" s="9"/>
      <c r="HU979" s="9"/>
      <c r="HV979" s="9"/>
      <c r="HW979" s="9"/>
      <c r="HX979" s="9"/>
      <c r="HY979" s="9"/>
      <c r="HZ979" s="9"/>
      <c r="IA979" s="9"/>
      <c r="IB979" s="9"/>
      <c r="IC979" s="9"/>
      <c r="ID979" s="9"/>
      <c r="IE979" s="9"/>
      <c r="IF979" s="9"/>
      <c r="IG979" s="9"/>
      <c r="IH979" s="9"/>
      <c r="II979" s="9"/>
      <c r="IJ979" s="9"/>
      <c r="IK979" s="9"/>
      <c r="IL979" s="9"/>
      <c r="IM979" s="9"/>
      <c r="IN979" s="9"/>
      <c r="IO979" s="9"/>
      <c r="IP979" s="9"/>
      <c r="IQ979" s="9"/>
      <c r="IR979" s="9"/>
      <c r="IS979" s="9"/>
      <c r="IT979" s="9"/>
      <c r="IU979" s="9"/>
      <c r="IV979" s="9"/>
      <c r="IW979" s="9"/>
      <c r="IX979" s="9"/>
      <c r="IY979" s="9"/>
      <c r="IZ979" s="9"/>
      <c r="JA979" s="9"/>
      <c r="JB979" s="9"/>
      <c r="JC979" s="9"/>
      <c r="JD979" s="9"/>
      <c r="JE979" s="9"/>
      <c r="JF979" s="9"/>
      <c r="JG979" s="9"/>
      <c r="JH979" s="9"/>
      <c r="JI979" s="9"/>
      <c r="JJ979" s="9"/>
      <c r="JK979" s="9"/>
      <c r="JL979" s="9"/>
      <c r="JM979" s="9"/>
      <c r="JN979" s="9"/>
      <c r="JO979" s="9"/>
      <c r="JP979" s="9"/>
      <c r="JQ979" s="9"/>
      <c r="JR979" s="9"/>
      <c r="JS979" s="9"/>
      <c r="JT979" s="9"/>
      <c r="JU979" s="9"/>
      <c r="JV979" s="9"/>
      <c r="JW979" s="9"/>
      <c r="JX979" s="9"/>
      <c r="JY979" s="9"/>
      <c r="JZ979" s="9"/>
      <c r="KA979" s="9"/>
      <c r="KB979" s="9"/>
      <c r="KC979" s="9"/>
      <c r="KD979" s="9"/>
      <c r="KE979" s="9"/>
      <c r="KF979" s="9"/>
      <c r="KG979" s="9"/>
      <c r="KH979" s="9"/>
      <c r="KI979" s="9"/>
      <c r="KJ979" s="9"/>
      <c r="KK979" s="9"/>
      <c r="KL979" s="9"/>
      <c r="KM979" s="9"/>
      <c r="KN979" s="9"/>
      <c r="KO979" s="9"/>
      <c r="KP979" s="9"/>
      <c r="KQ979" s="9"/>
      <c r="KR979" s="9"/>
      <c r="KS979" s="9"/>
      <c r="KT979" s="9"/>
      <c r="KU979" s="9"/>
      <c r="KV979" s="9"/>
      <c r="KW979" s="9"/>
      <c r="KX979" s="9"/>
      <c r="KY979" s="9"/>
      <c r="KZ979" s="9"/>
      <c r="LA979" s="9"/>
      <c r="LB979" s="9"/>
      <c r="LC979" s="9"/>
      <c r="LD979" s="9"/>
      <c r="LE979" s="9"/>
      <c r="LF979" s="9"/>
      <c r="LG979" s="9"/>
      <c r="LH979" s="9"/>
      <c r="LI979" s="9"/>
      <c r="LJ979" s="9"/>
      <c r="LK979" s="9"/>
      <c r="LL979" s="9"/>
      <c r="LM979" s="9"/>
      <c r="LN979" s="9"/>
      <c r="LO979" s="9"/>
      <c r="LP979" s="9"/>
      <c r="LQ979" s="9"/>
      <c r="LR979" s="9"/>
      <c r="LS979" s="9"/>
      <c r="LT979" s="9"/>
      <c r="LU979" s="9"/>
      <c r="LV979" s="9"/>
      <c r="LW979" s="9"/>
      <c r="LX979" s="9"/>
      <c r="LY979" s="9"/>
      <c r="LZ979" s="9"/>
      <c r="MA979" s="9"/>
      <c r="MB979" s="9"/>
      <c r="MC979" s="9"/>
      <c r="MD979" s="9"/>
      <c r="ME979" s="9"/>
      <c r="MF979" s="9"/>
      <c r="MG979" s="9"/>
      <c r="MH979" s="9"/>
      <c r="MI979" s="9"/>
      <c r="MJ979" s="9"/>
      <c r="MK979" s="9"/>
      <c r="ML979" s="9"/>
      <c r="MM979" s="9"/>
      <c r="MN979" s="9"/>
      <c r="MO979" s="9"/>
      <c r="MP979" s="9"/>
      <c r="MQ979" s="9"/>
      <c r="MR979" s="9"/>
      <c r="MS979" s="9"/>
      <c r="MT979" s="9"/>
      <c r="MU979" s="9"/>
      <c r="MV979" s="9"/>
      <c r="MW979" s="9"/>
      <c r="MX979" s="9"/>
      <c r="MY979" s="9"/>
      <c r="MZ979" s="9"/>
      <c r="NA979" s="9"/>
      <c r="NB979" s="9"/>
      <c r="NC979" s="9"/>
      <c r="ND979" s="9"/>
      <c r="NE979" s="9"/>
      <c r="NF979" s="9"/>
      <c r="NG979" s="9"/>
      <c r="NH979" s="9"/>
      <c r="NI979" s="9"/>
      <c r="NJ979" s="9"/>
      <c r="NK979" s="9"/>
      <c r="NL979" s="9"/>
      <c r="NM979" s="9"/>
      <c r="NN979" s="9"/>
      <c r="NO979" s="9"/>
      <c r="NP979" s="9"/>
      <c r="NQ979" s="9"/>
      <c r="NR979" s="9"/>
      <c r="NS979" s="9"/>
      <c r="NT979" s="9"/>
      <c r="NU979" s="9"/>
      <c r="NV979" s="9"/>
      <c r="NW979" s="9"/>
      <c r="NX979" s="9"/>
      <c r="NY979" s="9"/>
      <c r="NZ979" s="9"/>
      <c r="OA979" s="9"/>
      <c r="OB979" s="9"/>
      <c r="OC979" s="9"/>
      <c r="OD979" s="9"/>
      <c r="OE979" s="9"/>
      <c r="OF979" s="9"/>
      <c r="OG979" s="9"/>
      <c r="OH979" s="9"/>
      <c r="OI979" s="9"/>
      <c r="OJ979" s="9"/>
      <c r="OK979" s="9"/>
      <c r="OL979" s="9"/>
      <c r="OM979" s="9"/>
      <c r="ON979" s="9"/>
      <c r="OO979" s="9"/>
      <c r="OP979" s="9"/>
      <c r="OQ979" s="9"/>
      <c r="OR979" s="9"/>
      <c r="OS979" s="9"/>
      <c r="OT979" s="9"/>
      <c r="OU979" s="9"/>
      <c r="OV979" s="9"/>
      <c r="OW979" s="9"/>
      <c r="OX979" s="9"/>
      <c r="OY979" s="9"/>
      <c r="OZ979" s="9"/>
      <c r="PA979" s="9"/>
      <c r="PB979" s="9"/>
      <c r="PC979" s="9"/>
      <c r="PD979" s="9"/>
      <c r="PE979" s="9"/>
      <c r="PF979" s="9"/>
      <c r="PG979" s="9"/>
      <c r="PH979" s="9"/>
      <c r="PI979" s="9"/>
      <c r="PJ979" s="9"/>
      <c r="PK979" s="9"/>
      <c r="PL979" s="9"/>
      <c r="PM979" s="9"/>
      <c r="PN979" s="9"/>
      <c r="PO979" s="9"/>
      <c r="PP979" s="9"/>
      <c r="PQ979" s="9"/>
      <c r="PR979" s="9"/>
      <c r="PS979" s="9"/>
      <c r="PT979" s="9"/>
      <c r="PU979" s="9"/>
      <c r="PV979" s="9"/>
      <c r="PW979" s="9"/>
      <c r="PX979" s="9"/>
      <c r="PY979" s="9"/>
      <c r="PZ979" s="9"/>
      <c r="QA979" s="9"/>
      <c r="QB979" s="9"/>
      <c r="QC979" s="9"/>
      <c r="QD979" s="9"/>
      <c r="QE979" s="9"/>
      <c r="QF979" s="9"/>
      <c r="QG979" s="9"/>
      <c r="QH979" s="9"/>
      <c r="QI979" s="9"/>
      <c r="QJ979" s="9"/>
      <c r="QK979" s="9"/>
      <c r="QL979" s="9"/>
      <c r="QM979" s="9"/>
      <c r="QN979" s="9"/>
      <c r="QO979" s="9"/>
      <c r="QP979" s="9"/>
      <c r="QQ979" s="9"/>
      <c r="QR979" s="9"/>
      <c r="QS979" s="9"/>
      <c r="QT979" s="9"/>
      <c r="QU979" s="9"/>
      <c r="QV979" s="9"/>
      <c r="QW979" s="9"/>
      <c r="QX979" s="9"/>
      <c r="QY979" s="9"/>
      <c r="QZ979" s="9"/>
      <c r="RA979" s="9"/>
      <c r="RB979" s="9"/>
      <c r="RC979" s="9"/>
      <c r="RD979" s="9"/>
      <c r="RE979" s="9"/>
      <c r="RF979" s="9"/>
      <c r="RG979" s="9"/>
      <c r="RH979" s="9"/>
      <c r="RI979" s="9"/>
      <c r="RJ979" s="9"/>
      <c r="RK979" s="9"/>
      <c r="RL979" s="9"/>
      <c r="RM979" s="9"/>
      <c r="RN979" s="9"/>
      <c r="RO979" s="9"/>
      <c r="RP979" s="9"/>
      <c r="RQ979" s="9"/>
      <c r="RR979" s="9"/>
      <c r="RS979" s="9"/>
      <c r="RT979" s="9"/>
      <c r="RU979" s="9"/>
      <c r="RV979" s="9"/>
      <c r="RW979" s="9"/>
      <c r="RX979" s="9"/>
      <c r="RY979" s="9"/>
      <c r="RZ979" s="9"/>
      <c r="SA979" s="9"/>
      <c r="SB979" s="9"/>
      <c r="SC979" s="9"/>
      <c r="SD979" s="9"/>
      <c r="SE979" s="9"/>
      <c r="SF979" s="9"/>
      <c r="SG979" s="9"/>
      <c r="SH979" s="9"/>
      <c r="SI979" s="9"/>
      <c r="SJ979" s="9"/>
      <c r="SK979" s="9"/>
      <c r="SL979" s="9"/>
      <c r="SM979" s="9"/>
      <c r="SN979" s="9"/>
      <c r="SO979" s="9"/>
      <c r="SP979" s="9"/>
      <c r="SQ979" s="9"/>
      <c r="SR979" s="9"/>
      <c r="SS979" s="9"/>
      <c r="ST979" s="9"/>
      <c r="SU979" s="9"/>
      <c r="SV979" s="9"/>
      <c r="SW979" s="9"/>
      <c r="SX979" s="9"/>
      <c r="SY979" s="9"/>
      <c r="SZ979" s="9"/>
      <c r="TA979" s="9"/>
      <c r="TB979" s="9"/>
      <c r="TC979" s="9"/>
      <c r="TD979" s="9"/>
      <c r="TE979" s="9"/>
      <c r="TF979" s="9"/>
      <c r="TG979" s="9"/>
      <c r="TH979" s="9"/>
      <c r="TI979" s="9"/>
      <c r="TJ979" s="9"/>
      <c r="TK979" s="9"/>
      <c r="TL979" s="9"/>
      <c r="TM979" s="9"/>
      <c r="TN979" s="9"/>
      <c r="TO979" s="9"/>
      <c r="TP979" s="9"/>
      <c r="TQ979" s="9"/>
      <c r="TR979" s="9"/>
      <c r="TS979" s="9"/>
      <c r="TT979" s="9"/>
      <c r="TU979" s="9"/>
      <c r="TV979" s="9"/>
      <c r="TW979" s="9"/>
      <c r="TX979" s="9"/>
      <c r="TY979" s="9"/>
      <c r="TZ979" s="9"/>
      <c r="UA979" s="9"/>
      <c r="UB979" s="9"/>
      <c r="UC979" s="9"/>
      <c r="UD979" s="9"/>
      <c r="UE979" s="9"/>
      <c r="UF979" s="9"/>
      <c r="UG979" s="9"/>
      <c r="UH979" s="9"/>
      <c r="UI979" s="9"/>
      <c r="UJ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9"/>
      <c r="GV980" s="9"/>
      <c r="GW980" s="9"/>
      <c r="GX980" s="9"/>
      <c r="GY980" s="9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  <c r="HO980" s="9"/>
      <c r="HP980" s="9"/>
      <c r="HQ980" s="9"/>
      <c r="HR980" s="9"/>
      <c r="HS980" s="9"/>
      <c r="HT980" s="9"/>
      <c r="HU980" s="9"/>
      <c r="HV980" s="9"/>
      <c r="HW980" s="9"/>
      <c r="HX980" s="9"/>
      <c r="HY980" s="9"/>
      <c r="HZ980" s="9"/>
      <c r="IA980" s="9"/>
      <c r="IB980" s="9"/>
      <c r="IC980" s="9"/>
      <c r="ID980" s="9"/>
      <c r="IE980" s="9"/>
      <c r="IF980" s="9"/>
      <c r="IG980" s="9"/>
      <c r="IH980" s="9"/>
      <c r="II980" s="9"/>
      <c r="IJ980" s="9"/>
      <c r="IK980" s="9"/>
      <c r="IL980" s="9"/>
      <c r="IM980" s="9"/>
      <c r="IN980" s="9"/>
      <c r="IO980" s="9"/>
      <c r="IP980" s="9"/>
      <c r="IQ980" s="9"/>
      <c r="IR980" s="9"/>
      <c r="IS980" s="9"/>
      <c r="IT980" s="9"/>
      <c r="IU980" s="9"/>
      <c r="IV980" s="9"/>
      <c r="IW980" s="9"/>
      <c r="IX980" s="9"/>
      <c r="IY980" s="9"/>
      <c r="IZ980" s="9"/>
      <c r="JA980" s="9"/>
      <c r="JB980" s="9"/>
      <c r="JC980" s="9"/>
      <c r="JD980" s="9"/>
      <c r="JE980" s="9"/>
      <c r="JF980" s="9"/>
      <c r="JG980" s="9"/>
      <c r="JH980" s="9"/>
      <c r="JI980" s="9"/>
      <c r="JJ980" s="9"/>
      <c r="JK980" s="9"/>
      <c r="JL980" s="9"/>
      <c r="JM980" s="9"/>
      <c r="JN980" s="9"/>
      <c r="JO980" s="9"/>
      <c r="JP980" s="9"/>
      <c r="JQ980" s="9"/>
      <c r="JR980" s="9"/>
      <c r="JS980" s="9"/>
      <c r="JT980" s="9"/>
      <c r="JU980" s="9"/>
      <c r="JV980" s="9"/>
      <c r="JW980" s="9"/>
      <c r="JX980" s="9"/>
      <c r="JY980" s="9"/>
      <c r="JZ980" s="9"/>
      <c r="KA980" s="9"/>
      <c r="KB980" s="9"/>
      <c r="KC980" s="9"/>
      <c r="KD980" s="9"/>
      <c r="KE980" s="9"/>
      <c r="KF980" s="9"/>
      <c r="KG980" s="9"/>
      <c r="KH980" s="9"/>
      <c r="KI980" s="9"/>
      <c r="KJ980" s="9"/>
      <c r="KK980" s="9"/>
      <c r="KL980" s="9"/>
      <c r="KM980" s="9"/>
      <c r="KN980" s="9"/>
      <c r="KO980" s="9"/>
      <c r="KP980" s="9"/>
      <c r="KQ980" s="9"/>
      <c r="KR980" s="9"/>
      <c r="KS980" s="9"/>
      <c r="KT980" s="9"/>
      <c r="KU980" s="9"/>
      <c r="KV980" s="9"/>
      <c r="KW980" s="9"/>
      <c r="KX980" s="9"/>
      <c r="KY980" s="9"/>
      <c r="KZ980" s="9"/>
      <c r="LA980" s="9"/>
      <c r="LB980" s="9"/>
      <c r="LC980" s="9"/>
      <c r="LD980" s="9"/>
      <c r="LE980" s="9"/>
      <c r="LF980" s="9"/>
      <c r="LG980" s="9"/>
      <c r="LH980" s="9"/>
      <c r="LI980" s="9"/>
      <c r="LJ980" s="9"/>
      <c r="LK980" s="9"/>
      <c r="LL980" s="9"/>
      <c r="LM980" s="9"/>
      <c r="LN980" s="9"/>
      <c r="LO980" s="9"/>
      <c r="LP980" s="9"/>
      <c r="LQ980" s="9"/>
      <c r="LR980" s="9"/>
      <c r="LS980" s="9"/>
      <c r="LT980" s="9"/>
      <c r="LU980" s="9"/>
      <c r="LV980" s="9"/>
      <c r="LW980" s="9"/>
      <c r="LX980" s="9"/>
      <c r="LY980" s="9"/>
      <c r="LZ980" s="9"/>
      <c r="MA980" s="9"/>
      <c r="MB980" s="9"/>
      <c r="MC980" s="9"/>
      <c r="MD980" s="9"/>
      <c r="ME980" s="9"/>
      <c r="MF980" s="9"/>
      <c r="MG980" s="9"/>
      <c r="MH980" s="9"/>
      <c r="MI980" s="9"/>
      <c r="MJ980" s="9"/>
      <c r="MK980" s="9"/>
      <c r="ML980" s="9"/>
      <c r="MM980" s="9"/>
      <c r="MN980" s="9"/>
      <c r="MO980" s="9"/>
      <c r="MP980" s="9"/>
      <c r="MQ980" s="9"/>
      <c r="MR980" s="9"/>
      <c r="MS980" s="9"/>
      <c r="MT980" s="9"/>
      <c r="MU980" s="9"/>
      <c r="MV980" s="9"/>
      <c r="MW980" s="9"/>
      <c r="MX980" s="9"/>
      <c r="MY980" s="9"/>
      <c r="MZ980" s="9"/>
      <c r="NA980" s="9"/>
      <c r="NB980" s="9"/>
      <c r="NC980" s="9"/>
      <c r="ND980" s="9"/>
      <c r="NE980" s="9"/>
      <c r="NF980" s="9"/>
      <c r="NG980" s="9"/>
      <c r="NH980" s="9"/>
      <c r="NI980" s="9"/>
      <c r="NJ980" s="9"/>
      <c r="NK980" s="9"/>
      <c r="NL980" s="9"/>
      <c r="NM980" s="9"/>
      <c r="NN980" s="9"/>
      <c r="NO980" s="9"/>
      <c r="NP980" s="9"/>
      <c r="NQ980" s="9"/>
      <c r="NR980" s="9"/>
      <c r="NS980" s="9"/>
      <c r="NT980" s="9"/>
      <c r="NU980" s="9"/>
      <c r="NV980" s="9"/>
      <c r="NW980" s="9"/>
      <c r="NX980" s="9"/>
      <c r="NY980" s="9"/>
      <c r="NZ980" s="9"/>
      <c r="OA980" s="9"/>
      <c r="OB980" s="9"/>
      <c r="OC980" s="9"/>
      <c r="OD980" s="9"/>
      <c r="OE980" s="9"/>
      <c r="OF980" s="9"/>
      <c r="OG980" s="9"/>
      <c r="OH980" s="9"/>
      <c r="OI980" s="9"/>
      <c r="OJ980" s="9"/>
      <c r="OK980" s="9"/>
      <c r="OL980" s="9"/>
      <c r="OM980" s="9"/>
      <c r="ON980" s="9"/>
      <c r="OO980" s="9"/>
      <c r="OP980" s="9"/>
      <c r="OQ980" s="9"/>
      <c r="OR980" s="9"/>
      <c r="OS980" s="9"/>
      <c r="OT980" s="9"/>
      <c r="OU980" s="9"/>
      <c r="OV980" s="9"/>
      <c r="OW980" s="9"/>
      <c r="OX980" s="9"/>
      <c r="OY980" s="9"/>
      <c r="OZ980" s="9"/>
      <c r="PA980" s="9"/>
      <c r="PB980" s="9"/>
      <c r="PC980" s="9"/>
      <c r="PD980" s="9"/>
      <c r="PE980" s="9"/>
      <c r="PF980" s="9"/>
      <c r="PG980" s="9"/>
      <c r="PH980" s="9"/>
      <c r="PI980" s="9"/>
      <c r="PJ980" s="9"/>
      <c r="PK980" s="9"/>
      <c r="PL980" s="9"/>
      <c r="PM980" s="9"/>
      <c r="PN980" s="9"/>
      <c r="PO980" s="9"/>
      <c r="PP980" s="9"/>
      <c r="PQ980" s="9"/>
      <c r="PR980" s="9"/>
      <c r="PS980" s="9"/>
      <c r="PT980" s="9"/>
      <c r="PU980" s="9"/>
      <c r="PV980" s="9"/>
      <c r="PW980" s="9"/>
      <c r="PX980" s="9"/>
      <c r="PY980" s="9"/>
      <c r="PZ980" s="9"/>
      <c r="QA980" s="9"/>
      <c r="QB980" s="9"/>
      <c r="QC980" s="9"/>
      <c r="QD980" s="9"/>
      <c r="QE980" s="9"/>
      <c r="QF980" s="9"/>
      <c r="QG980" s="9"/>
      <c r="QH980" s="9"/>
      <c r="QI980" s="9"/>
      <c r="QJ980" s="9"/>
      <c r="QK980" s="9"/>
      <c r="QL980" s="9"/>
      <c r="QM980" s="9"/>
      <c r="QN980" s="9"/>
      <c r="QO980" s="9"/>
      <c r="QP980" s="9"/>
      <c r="QQ980" s="9"/>
      <c r="QR980" s="9"/>
      <c r="QS980" s="9"/>
      <c r="QT980" s="9"/>
      <c r="QU980" s="9"/>
      <c r="QV980" s="9"/>
      <c r="QW980" s="9"/>
      <c r="QX980" s="9"/>
      <c r="QY980" s="9"/>
      <c r="QZ980" s="9"/>
      <c r="RA980" s="9"/>
      <c r="RB980" s="9"/>
      <c r="RC980" s="9"/>
      <c r="RD980" s="9"/>
      <c r="RE980" s="9"/>
      <c r="RF980" s="9"/>
      <c r="RG980" s="9"/>
      <c r="RH980" s="9"/>
      <c r="RI980" s="9"/>
      <c r="RJ980" s="9"/>
      <c r="RK980" s="9"/>
      <c r="RL980" s="9"/>
      <c r="RM980" s="9"/>
      <c r="RN980" s="9"/>
      <c r="RO980" s="9"/>
      <c r="RP980" s="9"/>
      <c r="RQ980" s="9"/>
      <c r="RR980" s="9"/>
      <c r="RS980" s="9"/>
      <c r="RT980" s="9"/>
      <c r="RU980" s="9"/>
      <c r="RV980" s="9"/>
      <c r="RW980" s="9"/>
      <c r="RX980" s="9"/>
      <c r="RY980" s="9"/>
      <c r="RZ980" s="9"/>
      <c r="SA980" s="9"/>
      <c r="SB980" s="9"/>
      <c r="SC980" s="9"/>
      <c r="SD980" s="9"/>
      <c r="SE980" s="9"/>
      <c r="SF980" s="9"/>
      <c r="SG980" s="9"/>
      <c r="SH980" s="9"/>
      <c r="SI980" s="9"/>
      <c r="SJ980" s="9"/>
      <c r="SK980" s="9"/>
      <c r="SL980" s="9"/>
      <c r="SM980" s="9"/>
      <c r="SN980" s="9"/>
      <c r="SO980" s="9"/>
      <c r="SP980" s="9"/>
      <c r="SQ980" s="9"/>
      <c r="SR980" s="9"/>
      <c r="SS980" s="9"/>
      <c r="ST980" s="9"/>
      <c r="SU980" s="9"/>
      <c r="SV980" s="9"/>
      <c r="SW980" s="9"/>
      <c r="SX980" s="9"/>
      <c r="SY980" s="9"/>
      <c r="SZ980" s="9"/>
      <c r="TA980" s="9"/>
      <c r="TB980" s="9"/>
      <c r="TC980" s="9"/>
      <c r="TD980" s="9"/>
      <c r="TE980" s="9"/>
      <c r="TF980" s="9"/>
      <c r="TG980" s="9"/>
      <c r="TH980" s="9"/>
      <c r="TI980" s="9"/>
      <c r="TJ980" s="9"/>
      <c r="TK980" s="9"/>
      <c r="TL980" s="9"/>
      <c r="TM980" s="9"/>
      <c r="TN980" s="9"/>
      <c r="TO980" s="9"/>
      <c r="TP980" s="9"/>
      <c r="TQ980" s="9"/>
      <c r="TR980" s="9"/>
      <c r="TS980" s="9"/>
      <c r="TT980" s="9"/>
      <c r="TU980" s="9"/>
      <c r="TV980" s="9"/>
      <c r="TW980" s="9"/>
      <c r="TX980" s="9"/>
      <c r="TY980" s="9"/>
      <c r="TZ980" s="9"/>
      <c r="UA980" s="9"/>
      <c r="UB980" s="9"/>
      <c r="UC980" s="9"/>
      <c r="UD980" s="9"/>
      <c r="UE980" s="9"/>
      <c r="UF980" s="9"/>
      <c r="UG980" s="9"/>
      <c r="UH980" s="9"/>
      <c r="UI980" s="9"/>
      <c r="UJ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  <c r="EW981" s="9"/>
      <c r="EX981" s="9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9"/>
      <c r="FK981" s="9"/>
      <c r="FL981" s="9"/>
      <c r="FM981" s="9"/>
      <c r="FN981" s="9"/>
      <c r="FO981" s="9"/>
      <c r="FP981" s="9"/>
      <c r="FQ981" s="9"/>
      <c r="FR981" s="9"/>
      <c r="FS981" s="9"/>
      <c r="FT981" s="9"/>
      <c r="FU981" s="9"/>
      <c r="FV981" s="9"/>
      <c r="FW981" s="9"/>
      <c r="FX981" s="9"/>
      <c r="FY981" s="9"/>
      <c r="FZ981" s="9"/>
      <c r="GA981" s="9"/>
      <c r="GB981" s="9"/>
      <c r="GC981" s="9"/>
      <c r="GD981" s="9"/>
      <c r="GE981" s="9"/>
      <c r="GF981" s="9"/>
      <c r="GG981" s="9"/>
      <c r="GH981" s="9"/>
      <c r="GI981" s="9"/>
      <c r="GJ981" s="9"/>
      <c r="GK981" s="9"/>
      <c r="GL981" s="9"/>
      <c r="GM981" s="9"/>
      <c r="GN981" s="9"/>
      <c r="GO981" s="9"/>
      <c r="GP981" s="9"/>
      <c r="GQ981" s="9"/>
      <c r="GR981" s="9"/>
      <c r="GS981" s="9"/>
      <c r="GT981" s="9"/>
      <c r="GU981" s="9"/>
      <c r="GV981" s="9"/>
      <c r="GW981" s="9"/>
      <c r="GX981" s="9"/>
      <c r="GY981" s="9"/>
      <c r="GZ981" s="9"/>
      <c r="HA981" s="9"/>
      <c r="HB981" s="9"/>
      <c r="HC981" s="9"/>
      <c r="HD981" s="9"/>
      <c r="HE981" s="9"/>
      <c r="HF981" s="9"/>
      <c r="HG981" s="9"/>
      <c r="HH981" s="9"/>
      <c r="HI981" s="9"/>
      <c r="HJ981" s="9"/>
      <c r="HK981" s="9"/>
      <c r="HL981" s="9"/>
      <c r="HM981" s="9"/>
      <c r="HN981" s="9"/>
      <c r="HO981" s="9"/>
      <c r="HP981" s="9"/>
      <c r="HQ981" s="9"/>
      <c r="HR981" s="9"/>
      <c r="HS981" s="9"/>
      <c r="HT981" s="9"/>
      <c r="HU981" s="9"/>
      <c r="HV981" s="9"/>
      <c r="HW981" s="9"/>
      <c r="HX981" s="9"/>
      <c r="HY981" s="9"/>
      <c r="HZ981" s="9"/>
      <c r="IA981" s="9"/>
      <c r="IB981" s="9"/>
      <c r="IC981" s="9"/>
      <c r="ID981" s="9"/>
      <c r="IE981" s="9"/>
      <c r="IF981" s="9"/>
      <c r="IG981" s="9"/>
      <c r="IH981" s="9"/>
      <c r="II981" s="9"/>
      <c r="IJ981" s="9"/>
      <c r="IK981" s="9"/>
      <c r="IL981" s="9"/>
      <c r="IM981" s="9"/>
      <c r="IN981" s="9"/>
      <c r="IO981" s="9"/>
      <c r="IP981" s="9"/>
      <c r="IQ981" s="9"/>
      <c r="IR981" s="9"/>
      <c r="IS981" s="9"/>
      <c r="IT981" s="9"/>
      <c r="IU981" s="9"/>
      <c r="IV981" s="9"/>
      <c r="IW981" s="9"/>
      <c r="IX981" s="9"/>
      <c r="IY981" s="9"/>
      <c r="IZ981" s="9"/>
      <c r="JA981" s="9"/>
      <c r="JB981" s="9"/>
      <c r="JC981" s="9"/>
      <c r="JD981" s="9"/>
      <c r="JE981" s="9"/>
      <c r="JF981" s="9"/>
      <c r="JG981" s="9"/>
      <c r="JH981" s="9"/>
      <c r="JI981" s="9"/>
      <c r="JJ981" s="9"/>
      <c r="JK981" s="9"/>
      <c r="JL981" s="9"/>
      <c r="JM981" s="9"/>
      <c r="JN981" s="9"/>
      <c r="JO981" s="9"/>
      <c r="JP981" s="9"/>
      <c r="JQ981" s="9"/>
      <c r="JR981" s="9"/>
      <c r="JS981" s="9"/>
      <c r="JT981" s="9"/>
      <c r="JU981" s="9"/>
      <c r="JV981" s="9"/>
      <c r="JW981" s="9"/>
      <c r="JX981" s="9"/>
      <c r="JY981" s="9"/>
      <c r="JZ981" s="9"/>
      <c r="KA981" s="9"/>
      <c r="KB981" s="9"/>
      <c r="KC981" s="9"/>
      <c r="KD981" s="9"/>
      <c r="KE981" s="9"/>
      <c r="KF981" s="9"/>
      <c r="KG981" s="9"/>
      <c r="KH981" s="9"/>
      <c r="KI981" s="9"/>
      <c r="KJ981" s="9"/>
      <c r="KK981" s="9"/>
      <c r="KL981" s="9"/>
      <c r="KM981" s="9"/>
      <c r="KN981" s="9"/>
      <c r="KO981" s="9"/>
      <c r="KP981" s="9"/>
      <c r="KQ981" s="9"/>
      <c r="KR981" s="9"/>
      <c r="KS981" s="9"/>
      <c r="KT981" s="9"/>
      <c r="KU981" s="9"/>
      <c r="KV981" s="9"/>
      <c r="KW981" s="9"/>
      <c r="KX981" s="9"/>
      <c r="KY981" s="9"/>
      <c r="KZ981" s="9"/>
      <c r="LA981" s="9"/>
      <c r="LB981" s="9"/>
      <c r="LC981" s="9"/>
      <c r="LD981" s="9"/>
      <c r="LE981" s="9"/>
      <c r="LF981" s="9"/>
      <c r="LG981" s="9"/>
      <c r="LH981" s="9"/>
      <c r="LI981" s="9"/>
      <c r="LJ981" s="9"/>
      <c r="LK981" s="9"/>
      <c r="LL981" s="9"/>
      <c r="LM981" s="9"/>
      <c r="LN981" s="9"/>
      <c r="LO981" s="9"/>
      <c r="LP981" s="9"/>
      <c r="LQ981" s="9"/>
      <c r="LR981" s="9"/>
      <c r="LS981" s="9"/>
      <c r="LT981" s="9"/>
      <c r="LU981" s="9"/>
      <c r="LV981" s="9"/>
      <c r="LW981" s="9"/>
      <c r="LX981" s="9"/>
      <c r="LY981" s="9"/>
      <c r="LZ981" s="9"/>
      <c r="MA981" s="9"/>
      <c r="MB981" s="9"/>
      <c r="MC981" s="9"/>
      <c r="MD981" s="9"/>
      <c r="ME981" s="9"/>
      <c r="MF981" s="9"/>
      <c r="MG981" s="9"/>
      <c r="MH981" s="9"/>
      <c r="MI981" s="9"/>
      <c r="MJ981" s="9"/>
      <c r="MK981" s="9"/>
      <c r="ML981" s="9"/>
      <c r="MM981" s="9"/>
      <c r="MN981" s="9"/>
      <c r="MO981" s="9"/>
      <c r="MP981" s="9"/>
      <c r="MQ981" s="9"/>
      <c r="MR981" s="9"/>
      <c r="MS981" s="9"/>
      <c r="MT981" s="9"/>
      <c r="MU981" s="9"/>
      <c r="MV981" s="9"/>
      <c r="MW981" s="9"/>
      <c r="MX981" s="9"/>
      <c r="MY981" s="9"/>
      <c r="MZ981" s="9"/>
      <c r="NA981" s="9"/>
      <c r="NB981" s="9"/>
      <c r="NC981" s="9"/>
      <c r="ND981" s="9"/>
      <c r="NE981" s="9"/>
      <c r="NF981" s="9"/>
      <c r="NG981" s="9"/>
      <c r="NH981" s="9"/>
      <c r="NI981" s="9"/>
      <c r="NJ981" s="9"/>
      <c r="NK981" s="9"/>
      <c r="NL981" s="9"/>
      <c r="NM981" s="9"/>
      <c r="NN981" s="9"/>
      <c r="NO981" s="9"/>
      <c r="NP981" s="9"/>
      <c r="NQ981" s="9"/>
      <c r="NR981" s="9"/>
      <c r="NS981" s="9"/>
      <c r="NT981" s="9"/>
      <c r="NU981" s="9"/>
      <c r="NV981" s="9"/>
      <c r="NW981" s="9"/>
      <c r="NX981" s="9"/>
      <c r="NY981" s="9"/>
      <c r="NZ981" s="9"/>
      <c r="OA981" s="9"/>
      <c r="OB981" s="9"/>
      <c r="OC981" s="9"/>
      <c r="OD981" s="9"/>
      <c r="OE981" s="9"/>
      <c r="OF981" s="9"/>
      <c r="OG981" s="9"/>
      <c r="OH981" s="9"/>
      <c r="OI981" s="9"/>
      <c r="OJ981" s="9"/>
      <c r="OK981" s="9"/>
      <c r="OL981" s="9"/>
      <c r="OM981" s="9"/>
      <c r="ON981" s="9"/>
      <c r="OO981" s="9"/>
      <c r="OP981" s="9"/>
      <c r="OQ981" s="9"/>
      <c r="OR981" s="9"/>
      <c r="OS981" s="9"/>
      <c r="OT981" s="9"/>
      <c r="OU981" s="9"/>
      <c r="OV981" s="9"/>
      <c r="OW981" s="9"/>
      <c r="OX981" s="9"/>
      <c r="OY981" s="9"/>
      <c r="OZ981" s="9"/>
      <c r="PA981" s="9"/>
      <c r="PB981" s="9"/>
      <c r="PC981" s="9"/>
      <c r="PD981" s="9"/>
      <c r="PE981" s="9"/>
      <c r="PF981" s="9"/>
      <c r="PG981" s="9"/>
      <c r="PH981" s="9"/>
      <c r="PI981" s="9"/>
      <c r="PJ981" s="9"/>
      <c r="PK981" s="9"/>
      <c r="PL981" s="9"/>
      <c r="PM981" s="9"/>
      <c r="PN981" s="9"/>
      <c r="PO981" s="9"/>
      <c r="PP981" s="9"/>
      <c r="PQ981" s="9"/>
      <c r="PR981" s="9"/>
      <c r="PS981" s="9"/>
      <c r="PT981" s="9"/>
      <c r="PU981" s="9"/>
      <c r="PV981" s="9"/>
      <c r="PW981" s="9"/>
      <c r="PX981" s="9"/>
      <c r="PY981" s="9"/>
      <c r="PZ981" s="9"/>
      <c r="QA981" s="9"/>
      <c r="QB981" s="9"/>
      <c r="QC981" s="9"/>
      <c r="QD981" s="9"/>
      <c r="QE981" s="9"/>
      <c r="QF981" s="9"/>
      <c r="QG981" s="9"/>
      <c r="QH981" s="9"/>
      <c r="QI981" s="9"/>
      <c r="QJ981" s="9"/>
      <c r="QK981" s="9"/>
      <c r="QL981" s="9"/>
      <c r="QM981" s="9"/>
      <c r="QN981" s="9"/>
      <c r="QO981" s="9"/>
      <c r="QP981" s="9"/>
      <c r="QQ981" s="9"/>
      <c r="QR981" s="9"/>
      <c r="QS981" s="9"/>
      <c r="QT981" s="9"/>
      <c r="QU981" s="9"/>
      <c r="QV981" s="9"/>
      <c r="QW981" s="9"/>
      <c r="QX981" s="9"/>
      <c r="QY981" s="9"/>
      <c r="QZ981" s="9"/>
      <c r="RA981" s="9"/>
      <c r="RB981" s="9"/>
      <c r="RC981" s="9"/>
      <c r="RD981" s="9"/>
      <c r="RE981" s="9"/>
      <c r="RF981" s="9"/>
      <c r="RG981" s="9"/>
      <c r="RH981" s="9"/>
      <c r="RI981" s="9"/>
      <c r="RJ981" s="9"/>
      <c r="RK981" s="9"/>
      <c r="RL981" s="9"/>
      <c r="RM981" s="9"/>
      <c r="RN981" s="9"/>
      <c r="RO981" s="9"/>
      <c r="RP981" s="9"/>
      <c r="RQ981" s="9"/>
      <c r="RR981" s="9"/>
      <c r="RS981" s="9"/>
      <c r="RT981" s="9"/>
      <c r="RU981" s="9"/>
      <c r="RV981" s="9"/>
      <c r="RW981" s="9"/>
      <c r="RX981" s="9"/>
      <c r="RY981" s="9"/>
      <c r="RZ981" s="9"/>
      <c r="SA981" s="9"/>
      <c r="SB981" s="9"/>
      <c r="SC981" s="9"/>
      <c r="SD981" s="9"/>
      <c r="SE981" s="9"/>
      <c r="SF981" s="9"/>
      <c r="SG981" s="9"/>
      <c r="SH981" s="9"/>
      <c r="SI981" s="9"/>
      <c r="SJ981" s="9"/>
      <c r="SK981" s="9"/>
      <c r="SL981" s="9"/>
      <c r="SM981" s="9"/>
      <c r="SN981" s="9"/>
      <c r="SO981" s="9"/>
      <c r="SP981" s="9"/>
      <c r="SQ981" s="9"/>
      <c r="SR981" s="9"/>
      <c r="SS981" s="9"/>
      <c r="ST981" s="9"/>
      <c r="SU981" s="9"/>
      <c r="SV981" s="9"/>
      <c r="SW981" s="9"/>
      <c r="SX981" s="9"/>
      <c r="SY981" s="9"/>
      <c r="SZ981" s="9"/>
      <c r="TA981" s="9"/>
      <c r="TB981" s="9"/>
      <c r="TC981" s="9"/>
      <c r="TD981" s="9"/>
      <c r="TE981" s="9"/>
      <c r="TF981" s="9"/>
      <c r="TG981" s="9"/>
      <c r="TH981" s="9"/>
      <c r="TI981" s="9"/>
      <c r="TJ981" s="9"/>
      <c r="TK981" s="9"/>
      <c r="TL981" s="9"/>
      <c r="TM981" s="9"/>
      <c r="TN981" s="9"/>
      <c r="TO981" s="9"/>
      <c r="TP981" s="9"/>
      <c r="TQ981" s="9"/>
      <c r="TR981" s="9"/>
      <c r="TS981" s="9"/>
      <c r="TT981" s="9"/>
      <c r="TU981" s="9"/>
      <c r="TV981" s="9"/>
      <c r="TW981" s="9"/>
      <c r="TX981" s="9"/>
      <c r="TY981" s="9"/>
      <c r="TZ981" s="9"/>
      <c r="UA981" s="9"/>
      <c r="UB981" s="9"/>
      <c r="UC981" s="9"/>
      <c r="UD981" s="9"/>
      <c r="UE981" s="9"/>
      <c r="UF981" s="9"/>
      <c r="UG981" s="9"/>
      <c r="UH981" s="9"/>
      <c r="UI981" s="9"/>
      <c r="UJ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/>
      <c r="FL982" s="9"/>
      <c r="FM982" s="9"/>
      <c r="FN982" s="9"/>
      <c r="FO982" s="9"/>
      <c r="FP982" s="9"/>
      <c r="FQ982" s="9"/>
      <c r="FR982" s="9"/>
      <c r="FS982" s="9"/>
      <c r="FT982" s="9"/>
      <c r="FU982" s="9"/>
      <c r="FV982" s="9"/>
      <c r="FW982" s="9"/>
      <c r="FX982" s="9"/>
      <c r="FY982" s="9"/>
      <c r="FZ982" s="9"/>
      <c r="GA982" s="9"/>
      <c r="GB982" s="9"/>
      <c r="GC982" s="9"/>
      <c r="GD982" s="9"/>
      <c r="GE982" s="9"/>
      <c r="GF982" s="9"/>
      <c r="GG982" s="9"/>
      <c r="GH982" s="9"/>
      <c r="GI982" s="9"/>
      <c r="GJ982" s="9"/>
      <c r="GK982" s="9"/>
      <c r="GL982" s="9"/>
      <c r="GM982" s="9"/>
      <c r="GN982" s="9"/>
      <c r="GO982" s="9"/>
      <c r="GP982" s="9"/>
      <c r="GQ982" s="9"/>
      <c r="GR982" s="9"/>
      <c r="GS982" s="9"/>
      <c r="GT982" s="9"/>
      <c r="GU982" s="9"/>
      <c r="GV982" s="9"/>
      <c r="GW982" s="9"/>
      <c r="GX982" s="9"/>
      <c r="GY982" s="9"/>
      <c r="GZ982" s="9"/>
      <c r="HA982" s="9"/>
      <c r="HB982" s="9"/>
      <c r="HC982" s="9"/>
      <c r="HD982" s="9"/>
      <c r="HE982" s="9"/>
      <c r="HF982" s="9"/>
      <c r="HG982" s="9"/>
      <c r="HH982" s="9"/>
      <c r="HI982" s="9"/>
      <c r="HJ982" s="9"/>
      <c r="HK982" s="9"/>
      <c r="HL982" s="9"/>
      <c r="HM982" s="9"/>
      <c r="HN982" s="9"/>
      <c r="HO982" s="9"/>
      <c r="HP982" s="9"/>
      <c r="HQ982" s="9"/>
      <c r="HR982" s="9"/>
      <c r="HS982" s="9"/>
      <c r="HT982" s="9"/>
      <c r="HU982" s="9"/>
      <c r="HV982" s="9"/>
      <c r="HW982" s="9"/>
      <c r="HX982" s="9"/>
      <c r="HY982" s="9"/>
      <c r="HZ982" s="9"/>
      <c r="IA982" s="9"/>
      <c r="IB982" s="9"/>
      <c r="IC982" s="9"/>
      <c r="ID982" s="9"/>
      <c r="IE982" s="9"/>
      <c r="IF982" s="9"/>
      <c r="IG982" s="9"/>
      <c r="IH982" s="9"/>
      <c r="II982" s="9"/>
      <c r="IJ982" s="9"/>
      <c r="IK982" s="9"/>
      <c r="IL982" s="9"/>
      <c r="IM982" s="9"/>
      <c r="IN982" s="9"/>
      <c r="IO982" s="9"/>
      <c r="IP982" s="9"/>
      <c r="IQ982" s="9"/>
      <c r="IR982" s="9"/>
      <c r="IS982" s="9"/>
      <c r="IT982" s="9"/>
      <c r="IU982" s="9"/>
      <c r="IV982" s="9"/>
      <c r="IW982" s="9"/>
      <c r="IX982" s="9"/>
      <c r="IY982" s="9"/>
      <c r="IZ982" s="9"/>
      <c r="JA982" s="9"/>
      <c r="JB982" s="9"/>
      <c r="JC982" s="9"/>
      <c r="JD982" s="9"/>
      <c r="JE982" s="9"/>
      <c r="JF982" s="9"/>
      <c r="JG982" s="9"/>
      <c r="JH982" s="9"/>
      <c r="JI982" s="9"/>
      <c r="JJ982" s="9"/>
      <c r="JK982" s="9"/>
      <c r="JL982" s="9"/>
      <c r="JM982" s="9"/>
      <c r="JN982" s="9"/>
      <c r="JO982" s="9"/>
      <c r="JP982" s="9"/>
      <c r="JQ982" s="9"/>
      <c r="JR982" s="9"/>
      <c r="JS982" s="9"/>
      <c r="JT982" s="9"/>
      <c r="JU982" s="9"/>
      <c r="JV982" s="9"/>
      <c r="JW982" s="9"/>
      <c r="JX982" s="9"/>
      <c r="JY982" s="9"/>
      <c r="JZ982" s="9"/>
      <c r="KA982" s="9"/>
      <c r="KB982" s="9"/>
      <c r="KC982" s="9"/>
      <c r="KD982" s="9"/>
      <c r="KE982" s="9"/>
      <c r="KF982" s="9"/>
      <c r="KG982" s="9"/>
      <c r="KH982" s="9"/>
      <c r="KI982" s="9"/>
      <c r="KJ982" s="9"/>
      <c r="KK982" s="9"/>
      <c r="KL982" s="9"/>
      <c r="KM982" s="9"/>
      <c r="KN982" s="9"/>
      <c r="KO982" s="9"/>
      <c r="KP982" s="9"/>
      <c r="KQ982" s="9"/>
      <c r="KR982" s="9"/>
      <c r="KS982" s="9"/>
      <c r="KT982" s="9"/>
      <c r="KU982" s="9"/>
      <c r="KV982" s="9"/>
      <c r="KW982" s="9"/>
      <c r="KX982" s="9"/>
      <c r="KY982" s="9"/>
      <c r="KZ982" s="9"/>
      <c r="LA982" s="9"/>
      <c r="LB982" s="9"/>
      <c r="LC982" s="9"/>
      <c r="LD982" s="9"/>
      <c r="LE982" s="9"/>
      <c r="LF982" s="9"/>
      <c r="LG982" s="9"/>
      <c r="LH982" s="9"/>
      <c r="LI982" s="9"/>
      <c r="LJ982" s="9"/>
      <c r="LK982" s="9"/>
      <c r="LL982" s="9"/>
      <c r="LM982" s="9"/>
      <c r="LN982" s="9"/>
      <c r="LO982" s="9"/>
      <c r="LP982" s="9"/>
      <c r="LQ982" s="9"/>
      <c r="LR982" s="9"/>
      <c r="LS982" s="9"/>
      <c r="LT982" s="9"/>
      <c r="LU982" s="9"/>
      <c r="LV982" s="9"/>
      <c r="LW982" s="9"/>
      <c r="LX982" s="9"/>
      <c r="LY982" s="9"/>
      <c r="LZ982" s="9"/>
      <c r="MA982" s="9"/>
      <c r="MB982" s="9"/>
      <c r="MC982" s="9"/>
      <c r="MD982" s="9"/>
      <c r="ME982" s="9"/>
      <c r="MF982" s="9"/>
      <c r="MG982" s="9"/>
      <c r="MH982" s="9"/>
      <c r="MI982" s="9"/>
      <c r="MJ982" s="9"/>
      <c r="MK982" s="9"/>
      <c r="ML982" s="9"/>
      <c r="MM982" s="9"/>
      <c r="MN982" s="9"/>
      <c r="MO982" s="9"/>
      <c r="MP982" s="9"/>
      <c r="MQ982" s="9"/>
      <c r="MR982" s="9"/>
      <c r="MS982" s="9"/>
      <c r="MT982" s="9"/>
      <c r="MU982" s="9"/>
      <c r="MV982" s="9"/>
      <c r="MW982" s="9"/>
      <c r="MX982" s="9"/>
      <c r="MY982" s="9"/>
      <c r="MZ982" s="9"/>
      <c r="NA982" s="9"/>
      <c r="NB982" s="9"/>
      <c r="NC982" s="9"/>
      <c r="ND982" s="9"/>
      <c r="NE982" s="9"/>
      <c r="NF982" s="9"/>
      <c r="NG982" s="9"/>
      <c r="NH982" s="9"/>
      <c r="NI982" s="9"/>
      <c r="NJ982" s="9"/>
      <c r="NK982" s="9"/>
      <c r="NL982" s="9"/>
      <c r="NM982" s="9"/>
      <c r="NN982" s="9"/>
      <c r="NO982" s="9"/>
      <c r="NP982" s="9"/>
      <c r="NQ982" s="9"/>
      <c r="NR982" s="9"/>
      <c r="NS982" s="9"/>
      <c r="NT982" s="9"/>
      <c r="NU982" s="9"/>
      <c r="NV982" s="9"/>
      <c r="NW982" s="9"/>
      <c r="NX982" s="9"/>
      <c r="NY982" s="9"/>
      <c r="NZ982" s="9"/>
      <c r="OA982" s="9"/>
      <c r="OB982" s="9"/>
      <c r="OC982" s="9"/>
      <c r="OD982" s="9"/>
      <c r="OE982" s="9"/>
      <c r="OF982" s="9"/>
      <c r="OG982" s="9"/>
      <c r="OH982" s="9"/>
      <c r="OI982" s="9"/>
      <c r="OJ982" s="9"/>
      <c r="OK982" s="9"/>
      <c r="OL982" s="9"/>
      <c r="OM982" s="9"/>
      <c r="ON982" s="9"/>
      <c r="OO982" s="9"/>
      <c r="OP982" s="9"/>
      <c r="OQ982" s="9"/>
      <c r="OR982" s="9"/>
      <c r="OS982" s="9"/>
      <c r="OT982" s="9"/>
      <c r="OU982" s="9"/>
      <c r="OV982" s="9"/>
      <c r="OW982" s="9"/>
      <c r="OX982" s="9"/>
      <c r="OY982" s="9"/>
      <c r="OZ982" s="9"/>
      <c r="PA982" s="9"/>
      <c r="PB982" s="9"/>
      <c r="PC982" s="9"/>
      <c r="PD982" s="9"/>
      <c r="PE982" s="9"/>
      <c r="PF982" s="9"/>
      <c r="PG982" s="9"/>
      <c r="PH982" s="9"/>
      <c r="PI982" s="9"/>
      <c r="PJ982" s="9"/>
      <c r="PK982" s="9"/>
      <c r="PL982" s="9"/>
      <c r="PM982" s="9"/>
      <c r="PN982" s="9"/>
      <c r="PO982" s="9"/>
      <c r="PP982" s="9"/>
      <c r="PQ982" s="9"/>
      <c r="PR982" s="9"/>
      <c r="PS982" s="9"/>
      <c r="PT982" s="9"/>
      <c r="PU982" s="9"/>
      <c r="PV982" s="9"/>
      <c r="PW982" s="9"/>
      <c r="PX982" s="9"/>
      <c r="PY982" s="9"/>
      <c r="PZ982" s="9"/>
      <c r="QA982" s="9"/>
      <c r="QB982" s="9"/>
      <c r="QC982" s="9"/>
      <c r="QD982" s="9"/>
      <c r="QE982" s="9"/>
      <c r="QF982" s="9"/>
      <c r="QG982" s="9"/>
      <c r="QH982" s="9"/>
      <c r="QI982" s="9"/>
      <c r="QJ982" s="9"/>
      <c r="QK982" s="9"/>
      <c r="QL982" s="9"/>
      <c r="QM982" s="9"/>
      <c r="QN982" s="9"/>
      <c r="QO982" s="9"/>
      <c r="QP982" s="9"/>
      <c r="QQ982" s="9"/>
      <c r="QR982" s="9"/>
      <c r="QS982" s="9"/>
      <c r="QT982" s="9"/>
      <c r="QU982" s="9"/>
      <c r="QV982" s="9"/>
      <c r="QW982" s="9"/>
      <c r="QX982" s="9"/>
      <c r="QY982" s="9"/>
      <c r="QZ982" s="9"/>
      <c r="RA982" s="9"/>
      <c r="RB982" s="9"/>
      <c r="RC982" s="9"/>
      <c r="RD982" s="9"/>
      <c r="RE982" s="9"/>
      <c r="RF982" s="9"/>
      <c r="RG982" s="9"/>
      <c r="RH982" s="9"/>
      <c r="RI982" s="9"/>
      <c r="RJ982" s="9"/>
      <c r="RK982" s="9"/>
      <c r="RL982" s="9"/>
      <c r="RM982" s="9"/>
      <c r="RN982" s="9"/>
      <c r="RO982" s="9"/>
      <c r="RP982" s="9"/>
      <c r="RQ982" s="9"/>
      <c r="RR982" s="9"/>
      <c r="RS982" s="9"/>
      <c r="RT982" s="9"/>
      <c r="RU982" s="9"/>
      <c r="RV982" s="9"/>
      <c r="RW982" s="9"/>
      <c r="RX982" s="9"/>
      <c r="RY982" s="9"/>
      <c r="RZ982" s="9"/>
      <c r="SA982" s="9"/>
      <c r="SB982" s="9"/>
      <c r="SC982" s="9"/>
      <c r="SD982" s="9"/>
      <c r="SE982" s="9"/>
      <c r="SF982" s="9"/>
      <c r="SG982" s="9"/>
      <c r="SH982" s="9"/>
      <c r="SI982" s="9"/>
      <c r="SJ982" s="9"/>
      <c r="SK982" s="9"/>
      <c r="SL982" s="9"/>
      <c r="SM982" s="9"/>
      <c r="SN982" s="9"/>
      <c r="SO982" s="9"/>
      <c r="SP982" s="9"/>
      <c r="SQ982" s="9"/>
      <c r="SR982" s="9"/>
      <c r="SS982" s="9"/>
      <c r="ST982" s="9"/>
      <c r="SU982" s="9"/>
      <c r="SV982" s="9"/>
      <c r="SW982" s="9"/>
      <c r="SX982" s="9"/>
      <c r="SY982" s="9"/>
      <c r="SZ982" s="9"/>
      <c r="TA982" s="9"/>
      <c r="TB982" s="9"/>
      <c r="TC982" s="9"/>
      <c r="TD982" s="9"/>
      <c r="TE982" s="9"/>
      <c r="TF982" s="9"/>
      <c r="TG982" s="9"/>
      <c r="TH982" s="9"/>
      <c r="TI982" s="9"/>
      <c r="TJ982" s="9"/>
      <c r="TK982" s="9"/>
      <c r="TL982" s="9"/>
      <c r="TM982" s="9"/>
      <c r="TN982" s="9"/>
      <c r="TO982" s="9"/>
      <c r="TP982" s="9"/>
      <c r="TQ982" s="9"/>
      <c r="TR982" s="9"/>
      <c r="TS982" s="9"/>
      <c r="TT982" s="9"/>
      <c r="TU982" s="9"/>
      <c r="TV982" s="9"/>
      <c r="TW982" s="9"/>
      <c r="TX982" s="9"/>
      <c r="TY982" s="9"/>
      <c r="TZ982" s="9"/>
      <c r="UA982" s="9"/>
      <c r="UB982" s="9"/>
      <c r="UC982" s="9"/>
      <c r="UD982" s="9"/>
      <c r="UE982" s="9"/>
      <c r="UF982" s="9"/>
      <c r="UG982" s="9"/>
      <c r="UH982" s="9"/>
      <c r="UI982" s="9"/>
      <c r="UJ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/>
      <c r="FL983" s="9"/>
      <c r="FM983" s="9"/>
      <c r="FN983" s="9"/>
      <c r="FO983" s="9"/>
      <c r="FP983" s="9"/>
      <c r="FQ983" s="9"/>
      <c r="FR983" s="9"/>
      <c r="FS983" s="9"/>
      <c r="FT983" s="9"/>
      <c r="FU983" s="9"/>
      <c r="FV983" s="9"/>
      <c r="FW983" s="9"/>
      <c r="FX983" s="9"/>
      <c r="FY983" s="9"/>
      <c r="FZ983" s="9"/>
      <c r="GA983" s="9"/>
      <c r="GB983" s="9"/>
      <c r="GC983" s="9"/>
      <c r="GD983" s="9"/>
      <c r="GE983" s="9"/>
      <c r="GF983" s="9"/>
      <c r="GG983" s="9"/>
      <c r="GH983" s="9"/>
      <c r="GI983" s="9"/>
      <c r="GJ983" s="9"/>
      <c r="GK983" s="9"/>
      <c r="GL983" s="9"/>
      <c r="GM983" s="9"/>
      <c r="GN983" s="9"/>
      <c r="GO983" s="9"/>
      <c r="GP983" s="9"/>
      <c r="GQ983" s="9"/>
      <c r="GR983" s="9"/>
      <c r="GS983" s="9"/>
      <c r="GT983" s="9"/>
      <c r="GU983" s="9"/>
      <c r="GV983" s="9"/>
      <c r="GW983" s="9"/>
      <c r="GX983" s="9"/>
      <c r="GY983" s="9"/>
      <c r="GZ983" s="9"/>
      <c r="HA983" s="9"/>
      <c r="HB983" s="9"/>
      <c r="HC983" s="9"/>
      <c r="HD983" s="9"/>
      <c r="HE983" s="9"/>
      <c r="HF983" s="9"/>
      <c r="HG983" s="9"/>
      <c r="HH983" s="9"/>
      <c r="HI983" s="9"/>
      <c r="HJ983" s="9"/>
      <c r="HK983" s="9"/>
      <c r="HL983" s="9"/>
      <c r="HM983" s="9"/>
      <c r="HN983" s="9"/>
      <c r="HO983" s="9"/>
      <c r="HP983" s="9"/>
      <c r="HQ983" s="9"/>
      <c r="HR983" s="9"/>
      <c r="HS983" s="9"/>
      <c r="HT983" s="9"/>
      <c r="HU983" s="9"/>
      <c r="HV983" s="9"/>
      <c r="HW983" s="9"/>
      <c r="HX983" s="9"/>
      <c r="HY983" s="9"/>
      <c r="HZ983" s="9"/>
      <c r="IA983" s="9"/>
      <c r="IB983" s="9"/>
      <c r="IC983" s="9"/>
      <c r="ID983" s="9"/>
      <c r="IE983" s="9"/>
      <c r="IF983" s="9"/>
      <c r="IG983" s="9"/>
      <c r="IH983" s="9"/>
      <c r="II983" s="9"/>
      <c r="IJ983" s="9"/>
      <c r="IK983" s="9"/>
      <c r="IL983" s="9"/>
      <c r="IM983" s="9"/>
      <c r="IN983" s="9"/>
      <c r="IO983" s="9"/>
      <c r="IP983" s="9"/>
      <c r="IQ983" s="9"/>
      <c r="IR983" s="9"/>
      <c r="IS983" s="9"/>
      <c r="IT983" s="9"/>
      <c r="IU983" s="9"/>
      <c r="IV983" s="9"/>
      <c r="IW983" s="9"/>
      <c r="IX983" s="9"/>
      <c r="IY983" s="9"/>
      <c r="IZ983" s="9"/>
      <c r="JA983" s="9"/>
      <c r="JB983" s="9"/>
      <c r="JC983" s="9"/>
      <c r="JD983" s="9"/>
      <c r="JE983" s="9"/>
      <c r="JF983" s="9"/>
      <c r="JG983" s="9"/>
      <c r="JH983" s="9"/>
      <c r="JI983" s="9"/>
      <c r="JJ983" s="9"/>
      <c r="JK983" s="9"/>
      <c r="JL983" s="9"/>
      <c r="JM983" s="9"/>
      <c r="JN983" s="9"/>
      <c r="JO983" s="9"/>
      <c r="JP983" s="9"/>
      <c r="JQ983" s="9"/>
      <c r="JR983" s="9"/>
      <c r="JS983" s="9"/>
      <c r="JT983" s="9"/>
      <c r="JU983" s="9"/>
      <c r="JV983" s="9"/>
      <c r="JW983" s="9"/>
      <c r="JX983" s="9"/>
      <c r="JY983" s="9"/>
      <c r="JZ983" s="9"/>
      <c r="KA983" s="9"/>
      <c r="KB983" s="9"/>
      <c r="KC983" s="9"/>
      <c r="KD983" s="9"/>
      <c r="KE983" s="9"/>
      <c r="KF983" s="9"/>
      <c r="KG983" s="9"/>
      <c r="KH983" s="9"/>
      <c r="KI983" s="9"/>
      <c r="KJ983" s="9"/>
      <c r="KK983" s="9"/>
      <c r="KL983" s="9"/>
      <c r="KM983" s="9"/>
      <c r="KN983" s="9"/>
      <c r="KO983" s="9"/>
      <c r="KP983" s="9"/>
      <c r="KQ983" s="9"/>
      <c r="KR983" s="9"/>
      <c r="KS983" s="9"/>
      <c r="KT983" s="9"/>
      <c r="KU983" s="9"/>
      <c r="KV983" s="9"/>
      <c r="KW983" s="9"/>
      <c r="KX983" s="9"/>
      <c r="KY983" s="9"/>
      <c r="KZ983" s="9"/>
      <c r="LA983" s="9"/>
      <c r="LB983" s="9"/>
      <c r="LC983" s="9"/>
      <c r="LD983" s="9"/>
      <c r="LE983" s="9"/>
      <c r="LF983" s="9"/>
      <c r="LG983" s="9"/>
      <c r="LH983" s="9"/>
      <c r="LI983" s="9"/>
      <c r="LJ983" s="9"/>
      <c r="LK983" s="9"/>
      <c r="LL983" s="9"/>
      <c r="LM983" s="9"/>
      <c r="LN983" s="9"/>
      <c r="LO983" s="9"/>
      <c r="LP983" s="9"/>
      <c r="LQ983" s="9"/>
      <c r="LR983" s="9"/>
      <c r="LS983" s="9"/>
      <c r="LT983" s="9"/>
      <c r="LU983" s="9"/>
      <c r="LV983" s="9"/>
      <c r="LW983" s="9"/>
      <c r="LX983" s="9"/>
      <c r="LY983" s="9"/>
      <c r="LZ983" s="9"/>
      <c r="MA983" s="9"/>
      <c r="MB983" s="9"/>
      <c r="MC983" s="9"/>
      <c r="MD983" s="9"/>
      <c r="ME983" s="9"/>
      <c r="MF983" s="9"/>
      <c r="MG983" s="9"/>
      <c r="MH983" s="9"/>
      <c r="MI983" s="9"/>
      <c r="MJ983" s="9"/>
      <c r="MK983" s="9"/>
      <c r="ML983" s="9"/>
      <c r="MM983" s="9"/>
      <c r="MN983" s="9"/>
      <c r="MO983" s="9"/>
      <c r="MP983" s="9"/>
      <c r="MQ983" s="9"/>
      <c r="MR983" s="9"/>
      <c r="MS983" s="9"/>
      <c r="MT983" s="9"/>
      <c r="MU983" s="9"/>
      <c r="MV983" s="9"/>
      <c r="MW983" s="9"/>
      <c r="MX983" s="9"/>
      <c r="MY983" s="9"/>
      <c r="MZ983" s="9"/>
      <c r="NA983" s="9"/>
      <c r="NB983" s="9"/>
      <c r="NC983" s="9"/>
      <c r="ND983" s="9"/>
      <c r="NE983" s="9"/>
      <c r="NF983" s="9"/>
      <c r="NG983" s="9"/>
      <c r="NH983" s="9"/>
      <c r="NI983" s="9"/>
      <c r="NJ983" s="9"/>
      <c r="NK983" s="9"/>
      <c r="NL983" s="9"/>
      <c r="NM983" s="9"/>
      <c r="NN983" s="9"/>
      <c r="NO983" s="9"/>
      <c r="NP983" s="9"/>
      <c r="NQ983" s="9"/>
      <c r="NR983" s="9"/>
      <c r="NS983" s="9"/>
      <c r="NT983" s="9"/>
      <c r="NU983" s="9"/>
      <c r="NV983" s="9"/>
      <c r="NW983" s="9"/>
      <c r="NX983" s="9"/>
      <c r="NY983" s="9"/>
      <c r="NZ983" s="9"/>
      <c r="OA983" s="9"/>
      <c r="OB983" s="9"/>
      <c r="OC983" s="9"/>
      <c r="OD983" s="9"/>
      <c r="OE983" s="9"/>
      <c r="OF983" s="9"/>
      <c r="OG983" s="9"/>
      <c r="OH983" s="9"/>
      <c r="OI983" s="9"/>
      <c r="OJ983" s="9"/>
      <c r="OK983" s="9"/>
      <c r="OL983" s="9"/>
      <c r="OM983" s="9"/>
      <c r="ON983" s="9"/>
      <c r="OO983" s="9"/>
      <c r="OP983" s="9"/>
      <c r="OQ983" s="9"/>
      <c r="OR983" s="9"/>
      <c r="OS983" s="9"/>
      <c r="OT983" s="9"/>
      <c r="OU983" s="9"/>
      <c r="OV983" s="9"/>
      <c r="OW983" s="9"/>
      <c r="OX983" s="9"/>
      <c r="OY983" s="9"/>
      <c r="OZ983" s="9"/>
      <c r="PA983" s="9"/>
      <c r="PB983" s="9"/>
      <c r="PC983" s="9"/>
      <c r="PD983" s="9"/>
      <c r="PE983" s="9"/>
      <c r="PF983" s="9"/>
      <c r="PG983" s="9"/>
      <c r="PH983" s="9"/>
      <c r="PI983" s="9"/>
      <c r="PJ983" s="9"/>
      <c r="PK983" s="9"/>
      <c r="PL983" s="9"/>
      <c r="PM983" s="9"/>
      <c r="PN983" s="9"/>
      <c r="PO983" s="9"/>
      <c r="PP983" s="9"/>
      <c r="PQ983" s="9"/>
      <c r="PR983" s="9"/>
      <c r="PS983" s="9"/>
      <c r="PT983" s="9"/>
      <c r="PU983" s="9"/>
      <c r="PV983" s="9"/>
      <c r="PW983" s="9"/>
      <c r="PX983" s="9"/>
      <c r="PY983" s="9"/>
      <c r="PZ983" s="9"/>
      <c r="QA983" s="9"/>
      <c r="QB983" s="9"/>
      <c r="QC983" s="9"/>
      <c r="QD983" s="9"/>
      <c r="QE983" s="9"/>
      <c r="QF983" s="9"/>
      <c r="QG983" s="9"/>
      <c r="QH983" s="9"/>
      <c r="QI983" s="9"/>
      <c r="QJ983" s="9"/>
      <c r="QK983" s="9"/>
      <c r="QL983" s="9"/>
      <c r="QM983" s="9"/>
      <c r="QN983" s="9"/>
      <c r="QO983" s="9"/>
      <c r="QP983" s="9"/>
      <c r="QQ983" s="9"/>
      <c r="QR983" s="9"/>
      <c r="QS983" s="9"/>
      <c r="QT983" s="9"/>
      <c r="QU983" s="9"/>
      <c r="QV983" s="9"/>
      <c r="QW983" s="9"/>
      <c r="QX983" s="9"/>
      <c r="QY983" s="9"/>
      <c r="QZ983" s="9"/>
      <c r="RA983" s="9"/>
      <c r="RB983" s="9"/>
      <c r="RC983" s="9"/>
      <c r="RD983" s="9"/>
      <c r="RE983" s="9"/>
      <c r="RF983" s="9"/>
      <c r="RG983" s="9"/>
      <c r="RH983" s="9"/>
      <c r="RI983" s="9"/>
      <c r="RJ983" s="9"/>
      <c r="RK983" s="9"/>
      <c r="RL983" s="9"/>
      <c r="RM983" s="9"/>
      <c r="RN983" s="9"/>
      <c r="RO983" s="9"/>
      <c r="RP983" s="9"/>
      <c r="RQ983" s="9"/>
      <c r="RR983" s="9"/>
      <c r="RS983" s="9"/>
      <c r="RT983" s="9"/>
      <c r="RU983" s="9"/>
      <c r="RV983" s="9"/>
      <c r="RW983" s="9"/>
      <c r="RX983" s="9"/>
      <c r="RY983" s="9"/>
      <c r="RZ983" s="9"/>
      <c r="SA983" s="9"/>
      <c r="SB983" s="9"/>
      <c r="SC983" s="9"/>
      <c r="SD983" s="9"/>
      <c r="SE983" s="9"/>
      <c r="SF983" s="9"/>
      <c r="SG983" s="9"/>
      <c r="SH983" s="9"/>
      <c r="SI983" s="9"/>
      <c r="SJ983" s="9"/>
      <c r="SK983" s="9"/>
      <c r="SL983" s="9"/>
      <c r="SM983" s="9"/>
      <c r="SN983" s="9"/>
      <c r="SO983" s="9"/>
      <c r="SP983" s="9"/>
      <c r="SQ983" s="9"/>
      <c r="SR983" s="9"/>
      <c r="SS983" s="9"/>
      <c r="ST983" s="9"/>
      <c r="SU983" s="9"/>
      <c r="SV983" s="9"/>
      <c r="SW983" s="9"/>
      <c r="SX983" s="9"/>
      <c r="SY983" s="9"/>
      <c r="SZ983" s="9"/>
      <c r="TA983" s="9"/>
      <c r="TB983" s="9"/>
      <c r="TC983" s="9"/>
      <c r="TD983" s="9"/>
      <c r="TE983" s="9"/>
      <c r="TF983" s="9"/>
      <c r="TG983" s="9"/>
      <c r="TH983" s="9"/>
      <c r="TI983" s="9"/>
      <c r="TJ983" s="9"/>
      <c r="TK983" s="9"/>
      <c r="TL983" s="9"/>
      <c r="TM983" s="9"/>
      <c r="TN983" s="9"/>
      <c r="TO983" s="9"/>
      <c r="TP983" s="9"/>
      <c r="TQ983" s="9"/>
      <c r="TR983" s="9"/>
      <c r="TS983" s="9"/>
      <c r="TT983" s="9"/>
      <c r="TU983" s="9"/>
      <c r="TV983" s="9"/>
      <c r="TW983" s="9"/>
      <c r="TX983" s="9"/>
      <c r="TY983" s="9"/>
      <c r="TZ983" s="9"/>
      <c r="UA983" s="9"/>
      <c r="UB983" s="9"/>
      <c r="UC983" s="9"/>
      <c r="UD983" s="9"/>
      <c r="UE983" s="9"/>
      <c r="UF983" s="9"/>
      <c r="UG983" s="9"/>
      <c r="UH983" s="9"/>
      <c r="UI983" s="9"/>
      <c r="UJ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/>
      <c r="FL984" s="9"/>
      <c r="FM984" s="9"/>
      <c r="FN984" s="9"/>
      <c r="FO984" s="9"/>
      <c r="FP984" s="9"/>
      <c r="FQ984" s="9"/>
      <c r="FR984" s="9"/>
      <c r="FS984" s="9"/>
      <c r="FT984" s="9"/>
      <c r="FU984" s="9"/>
      <c r="FV984" s="9"/>
      <c r="FW984" s="9"/>
      <c r="FX984" s="9"/>
      <c r="FY984" s="9"/>
      <c r="FZ984" s="9"/>
      <c r="GA984" s="9"/>
      <c r="GB984" s="9"/>
      <c r="GC984" s="9"/>
      <c r="GD984" s="9"/>
      <c r="GE984" s="9"/>
      <c r="GF984" s="9"/>
      <c r="GG984" s="9"/>
      <c r="GH984" s="9"/>
      <c r="GI984" s="9"/>
      <c r="GJ984" s="9"/>
      <c r="GK984" s="9"/>
      <c r="GL984" s="9"/>
      <c r="GM984" s="9"/>
      <c r="GN984" s="9"/>
      <c r="GO984" s="9"/>
      <c r="GP984" s="9"/>
      <c r="GQ984" s="9"/>
      <c r="GR984" s="9"/>
      <c r="GS984" s="9"/>
      <c r="GT984" s="9"/>
      <c r="GU984" s="9"/>
      <c r="GV984" s="9"/>
      <c r="GW984" s="9"/>
      <c r="GX984" s="9"/>
      <c r="GY984" s="9"/>
      <c r="GZ984" s="9"/>
      <c r="HA984" s="9"/>
      <c r="HB984" s="9"/>
      <c r="HC984" s="9"/>
      <c r="HD984" s="9"/>
      <c r="HE984" s="9"/>
      <c r="HF984" s="9"/>
      <c r="HG984" s="9"/>
      <c r="HH984" s="9"/>
      <c r="HI984" s="9"/>
      <c r="HJ984" s="9"/>
      <c r="HK984" s="9"/>
      <c r="HL984" s="9"/>
      <c r="HM984" s="9"/>
      <c r="HN984" s="9"/>
      <c r="HO984" s="9"/>
      <c r="HP984" s="9"/>
      <c r="HQ984" s="9"/>
      <c r="HR984" s="9"/>
      <c r="HS984" s="9"/>
      <c r="HT984" s="9"/>
      <c r="HU984" s="9"/>
      <c r="HV984" s="9"/>
      <c r="HW984" s="9"/>
      <c r="HX984" s="9"/>
      <c r="HY984" s="9"/>
      <c r="HZ984" s="9"/>
      <c r="IA984" s="9"/>
      <c r="IB984" s="9"/>
      <c r="IC984" s="9"/>
      <c r="ID984" s="9"/>
      <c r="IE984" s="9"/>
      <c r="IF984" s="9"/>
      <c r="IG984" s="9"/>
      <c r="IH984" s="9"/>
      <c r="II984" s="9"/>
      <c r="IJ984" s="9"/>
      <c r="IK984" s="9"/>
      <c r="IL984" s="9"/>
      <c r="IM984" s="9"/>
      <c r="IN984" s="9"/>
      <c r="IO984" s="9"/>
      <c r="IP984" s="9"/>
      <c r="IQ984" s="9"/>
      <c r="IR984" s="9"/>
      <c r="IS984" s="9"/>
      <c r="IT984" s="9"/>
      <c r="IU984" s="9"/>
      <c r="IV984" s="9"/>
      <c r="IW984" s="9"/>
      <c r="IX984" s="9"/>
      <c r="IY984" s="9"/>
      <c r="IZ984" s="9"/>
      <c r="JA984" s="9"/>
      <c r="JB984" s="9"/>
      <c r="JC984" s="9"/>
      <c r="JD984" s="9"/>
      <c r="JE984" s="9"/>
      <c r="JF984" s="9"/>
      <c r="JG984" s="9"/>
      <c r="JH984" s="9"/>
      <c r="JI984" s="9"/>
      <c r="JJ984" s="9"/>
      <c r="JK984" s="9"/>
      <c r="JL984" s="9"/>
      <c r="JM984" s="9"/>
      <c r="JN984" s="9"/>
      <c r="JO984" s="9"/>
      <c r="JP984" s="9"/>
      <c r="JQ984" s="9"/>
      <c r="JR984" s="9"/>
      <c r="JS984" s="9"/>
      <c r="JT984" s="9"/>
      <c r="JU984" s="9"/>
      <c r="JV984" s="9"/>
      <c r="JW984" s="9"/>
      <c r="JX984" s="9"/>
      <c r="JY984" s="9"/>
      <c r="JZ984" s="9"/>
      <c r="KA984" s="9"/>
      <c r="KB984" s="9"/>
      <c r="KC984" s="9"/>
      <c r="KD984" s="9"/>
      <c r="KE984" s="9"/>
      <c r="KF984" s="9"/>
      <c r="KG984" s="9"/>
      <c r="KH984" s="9"/>
      <c r="KI984" s="9"/>
      <c r="KJ984" s="9"/>
      <c r="KK984" s="9"/>
      <c r="KL984" s="9"/>
      <c r="KM984" s="9"/>
      <c r="KN984" s="9"/>
      <c r="KO984" s="9"/>
      <c r="KP984" s="9"/>
      <c r="KQ984" s="9"/>
      <c r="KR984" s="9"/>
      <c r="KS984" s="9"/>
      <c r="KT984" s="9"/>
      <c r="KU984" s="9"/>
      <c r="KV984" s="9"/>
      <c r="KW984" s="9"/>
      <c r="KX984" s="9"/>
      <c r="KY984" s="9"/>
      <c r="KZ984" s="9"/>
      <c r="LA984" s="9"/>
      <c r="LB984" s="9"/>
      <c r="LC984" s="9"/>
      <c r="LD984" s="9"/>
      <c r="LE984" s="9"/>
      <c r="LF984" s="9"/>
      <c r="LG984" s="9"/>
      <c r="LH984" s="9"/>
      <c r="LI984" s="9"/>
      <c r="LJ984" s="9"/>
      <c r="LK984" s="9"/>
      <c r="LL984" s="9"/>
      <c r="LM984" s="9"/>
      <c r="LN984" s="9"/>
      <c r="LO984" s="9"/>
      <c r="LP984" s="9"/>
      <c r="LQ984" s="9"/>
      <c r="LR984" s="9"/>
      <c r="LS984" s="9"/>
      <c r="LT984" s="9"/>
      <c r="LU984" s="9"/>
      <c r="LV984" s="9"/>
      <c r="LW984" s="9"/>
      <c r="LX984" s="9"/>
      <c r="LY984" s="9"/>
      <c r="LZ984" s="9"/>
      <c r="MA984" s="9"/>
      <c r="MB984" s="9"/>
      <c r="MC984" s="9"/>
      <c r="MD984" s="9"/>
      <c r="ME984" s="9"/>
      <c r="MF984" s="9"/>
      <c r="MG984" s="9"/>
      <c r="MH984" s="9"/>
      <c r="MI984" s="9"/>
      <c r="MJ984" s="9"/>
      <c r="MK984" s="9"/>
      <c r="ML984" s="9"/>
      <c r="MM984" s="9"/>
      <c r="MN984" s="9"/>
      <c r="MO984" s="9"/>
      <c r="MP984" s="9"/>
      <c r="MQ984" s="9"/>
      <c r="MR984" s="9"/>
      <c r="MS984" s="9"/>
      <c r="MT984" s="9"/>
      <c r="MU984" s="9"/>
      <c r="MV984" s="9"/>
      <c r="MW984" s="9"/>
      <c r="MX984" s="9"/>
      <c r="MY984" s="9"/>
      <c r="MZ984" s="9"/>
      <c r="NA984" s="9"/>
      <c r="NB984" s="9"/>
      <c r="NC984" s="9"/>
      <c r="ND984" s="9"/>
      <c r="NE984" s="9"/>
      <c r="NF984" s="9"/>
      <c r="NG984" s="9"/>
      <c r="NH984" s="9"/>
      <c r="NI984" s="9"/>
      <c r="NJ984" s="9"/>
      <c r="NK984" s="9"/>
      <c r="NL984" s="9"/>
      <c r="NM984" s="9"/>
      <c r="NN984" s="9"/>
      <c r="NO984" s="9"/>
      <c r="NP984" s="9"/>
      <c r="NQ984" s="9"/>
      <c r="NR984" s="9"/>
      <c r="NS984" s="9"/>
      <c r="NT984" s="9"/>
      <c r="NU984" s="9"/>
      <c r="NV984" s="9"/>
      <c r="NW984" s="9"/>
      <c r="NX984" s="9"/>
      <c r="NY984" s="9"/>
      <c r="NZ984" s="9"/>
      <c r="OA984" s="9"/>
      <c r="OB984" s="9"/>
      <c r="OC984" s="9"/>
      <c r="OD984" s="9"/>
      <c r="OE984" s="9"/>
      <c r="OF984" s="9"/>
      <c r="OG984" s="9"/>
      <c r="OH984" s="9"/>
      <c r="OI984" s="9"/>
      <c r="OJ984" s="9"/>
      <c r="OK984" s="9"/>
      <c r="OL984" s="9"/>
      <c r="OM984" s="9"/>
      <c r="ON984" s="9"/>
      <c r="OO984" s="9"/>
      <c r="OP984" s="9"/>
      <c r="OQ984" s="9"/>
      <c r="OR984" s="9"/>
      <c r="OS984" s="9"/>
      <c r="OT984" s="9"/>
      <c r="OU984" s="9"/>
      <c r="OV984" s="9"/>
      <c r="OW984" s="9"/>
      <c r="OX984" s="9"/>
      <c r="OY984" s="9"/>
      <c r="OZ984" s="9"/>
      <c r="PA984" s="9"/>
      <c r="PB984" s="9"/>
      <c r="PC984" s="9"/>
      <c r="PD984" s="9"/>
      <c r="PE984" s="9"/>
      <c r="PF984" s="9"/>
      <c r="PG984" s="9"/>
      <c r="PH984" s="9"/>
      <c r="PI984" s="9"/>
      <c r="PJ984" s="9"/>
      <c r="PK984" s="9"/>
      <c r="PL984" s="9"/>
      <c r="PM984" s="9"/>
      <c r="PN984" s="9"/>
      <c r="PO984" s="9"/>
      <c r="PP984" s="9"/>
      <c r="PQ984" s="9"/>
      <c r="PR984" s="9"/>
      <c r="PS984" s="9"/>
      <c r="PT984" s="9"/>
      <c r="PU984" s="9"/>
      <c r="PV984" s="9"/>
      <c r="PW984" s="9"/>
      <c r="PX984" s="9"/>
      <c r="PY984" s="9"/>
      <c r="PZ984" s="9"/>
      <c r="QA984" s="9"/>
      <c r="QB984" s="9"/>
      <c r="QC984" s="9"/>
      <c r="QD984" s="9"/>
      <c r="QE984" s="9"/>
      <c r="QF984" s="9"/>
      <c r="QG984" s="9"/>
      <c r="QH984" s="9"/>
      <c r="QI984" s="9"/>
      <c r="QJ984" s="9"/>
      <c r="QK984" s="9"/>
      <c r="QL984" s="9"/>
      <c r="QM984" s="9"/>
      <c r="QN984" s="9"/>
      <c r="QO984" s="9"/>
      <c r="QP984" s="9"/>
      <c r="QQ984" s="9"/>
      <c r="QR984" s="9"/>
      <c r="QS984" s="9"/>
      <c r="QT984" s="9"/>
      <c r="QU984" s="9"/>
      <c r="QV984" s="9"/>
      <c r="QW984" s="9"/>
      <c r="QX984" s="9"/>
      <c r="QY984" s="9"/>
      <c r="QZ984" s="9"/>
      <c r="RA984" s="9"/>
      <c r="RB984" s="9"/>
      <c r="RC984" s="9"/>
      <c r="RD984" s="9"/>
      <c r="RE984" s="9"/>
      <c r="RF984" s="9"/>
      <c r="RG984" s="9"/>
      <c r="RH984" s="9"/>
      <c r="RI984" s="9"/>
      <c r="RJ984" s="9"/>
      <c r="RK984" s="9"/>
      <c r="RL984" s="9"/>
      <c r="RM984" s="9"/>
      <c r="RN984" s="9"/>
      <c r="RO984" s="9"/>
      <c r="RP984" s="9"/>
      <c r="RQ984" s="9"/>
      <c r="RR984" s="9"/>
      <c r="RS984" s="9"/>
      <c r="RT984" s="9"/>
      <c r="RU984" s="9"/>
      <c r="RV984" s="9"/>
      <c r="RW984" s="9"/>
      <c r="RX984" s="9"/>
      <c r="RY984" s="9"/>
      <c r="RZ984" s="9"/>
      <c r="SA984" s="9"/>
      <c r="SB984" s="9"/>
      <c r="SC984" s="9"/>
      <c r="SD984" s="9"/>
      <c r="SE984" s="9"/>
      <c r="SF984" s="9"/>
      <c r="SG984" s="9"/>
      <c r="SH984" s="9"/>
      <c r="SI984" s="9"/>
      <c r="SJ984" s="9"/>
      <c r="SK984" s="9"/>
      <c r="SL984" s="9"/>
      <c r="SM984" s="9"/>
      <c r="SN984" s="9"/>
      <c r="SO984" s="9"/>
      <c r="SP984" s="9"/>
      <c r="SQ984" s="9"/>
      <c r="SR984" s="9"/>
      <c r="SS984" s="9"/>
      <c r="ST984" s="9"/>
      <c r="SU984" s="9"/>
      <c r="SV984" s="9"/>
      <c r="SW984" s="9"/>
      <c r="SX984" s="9"/>
      <c r="SY984" s="9"/>
      <c r="SZ984" s="9"/>
      <c r="TA984" s="9"/>
      <c r="TB984" s="9"/>
      <c r="TC984" s="9"/>
      <c r="TD984" s="9"/>
      <c r="TE984" s="9"/>
      <c r="TF984" s="9"/>
      <c r="TG984" s="9"/>
      <c r="TH984" s="9"/>
      <c r="TI984" s="9"/>
      <c r="TJ984" s="9"/>
      <c r="TK984" s="9"/>
      <c r="TL984" s="9"/>
      <c r="TM984" s="9"/>
      <c r="TN984" s="9"/>
      <c r="TO984" s="9"/>
      <c r="TP984" s="9"/>
      <c r="TQ984" s="9"/>
      <c r="TR984" s="9"/>
      <c r="TS984" s="9"/>
      <c r="TT984" s="9"/>
      <c r="TU984" s="9"/>
      <c r="TV984" s="9"/>
      <c r="TW984" s="9"/>
      <c r="TX984" s="9"/>
      <c r="TY984" s="9"/>
      <c r="TZ984" s="9"/>
      <c r="UA984" s="9"/>
      <c r="UB984" s="9"/>
      <c r="UC984" s="9"/>
      <c r="UD984" s="9"/>
      <c r="UE984" s="9"/>
      <c r="UF984" s="9"/>
      <c r="UG984" s="9"/>
      <c r="UH984" s="9"/>
      <c r="UI984" s="9"/>
      <c r="UJ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/>
      <c r="FL985" s="9"/>
      <c r="FM985" s="9"/>
      <c r="FN985" s="9"/>
      <c r="FO985" s="9"/>
      <c r="FP985" s="9"/>
      <c r="FQ985" s="9"/>
      <c r="FR985" s="9"/>
      <c r="FS985" s="9"/>
      <c r="FT985" s="9"/>
      <c r="FU985" s="9"/>
      <c r="FV985" s="9"/>
      <c r="FW985" s="9"/>
      <c r="FX985" s="9"/>
      <c r="FY985" s="9"/>
      <c r="FZ985" s="9"/>
      <c r="GA985" s="9"/>
      <c r="GB985" s="9"/>
      <c r="GC985" s="9"/>
      <c r="GD985" s="9"/>
      <c r="GE985" s="9"/>
      <c r="GF985" s="9"/>
      <c r="GG985" s="9"/>
      <c r="GH985" s="9"/>
      <c r="GI985" s="9"/>
      <c r="GJ985" s="9"/>
      <c r="GK985" s="9"/>
      <c r="GL985" s="9"/>
      <c r="GM985" s="9"/>
      <c r="GN985" s="9"/>
      <c r="GO985" s="9"/>
      <c r="GP985" s="9"/>
      <c r="GQ985" s="9"/>
      <c r="GR985" s="9"/>
      <c r="GS985" s="9"/>
      <c r="GT985" s="9"/>
      <c r="GU985" s="9"/>
      <c r="GV985" s="9"/>
      <c r="GW985" s="9"/>
      <c r="GX985" s="9"/>
      <c r="GY985" s="9"/>
      <c r="GZ985" s="9"/>
      <c r="HA985" s="9"/>
      <c r="HB985" s="9"/>
      <c r="HC985" s="9"/>
      <c r="HD985" s="9"/>
      <c r="HE985" s="9"/>
      <c r="HF985" s="9"/>
      <c r="HG985" s="9"/>
      <c r="HH985" s="9"/>
      <c r="HI985" s="9"/>
      <c r="HJ985" s="9"/>
      <c r="HK985" s="9"/>
      <c r="HL985" s="9"/>
      <c r="HM985" s="9"/>
      <c r="HN985" s="9"/>
      <c r="HO985" s="9"/>
      <c r="HP985" s="9"/>
      <c r="HQ985" s="9"/>
      <c r="HR985" s="9"/>
      <c r="HS985" s="9"/>
      <c r="HT985" s="9"/>
      <c r="HU985" s="9"/>
      <c r="HV985" s="9"/>
      <c r="HW985" s="9"/>
      <c r="HX985" s="9"/>
      <c r="HY985" s="9"/>
      <c r="HZ985" s="9"/>
      <c r="IA985" s="9"/>
      <c r="IB985" s="9"/>
      <c r="IC985" s="9"/>
      <c r="ID985" s="9"/>
      <c r="IE985" s="9"/>
      <c r="IF985" s="9"/>
      <c r="IG985" s="9"/>
      <c r="IH985" s="9"/>
      <c r="II985" s="9"/>
      <c r="IJ985" s="9"/>
      <c r="IK985" s="9"/>
      <c r="IL985" s="9"/>
      <c r="IM985" s="9"/>
      <c r="IN985" s="9"/>
      <c r="IO985" s="9"/>
      <c r="IP985" s="9"/>
      <c r="IQ985" s="9"/>
      <c r="IR985" s="9"/>
      <c r="IS985" s="9"/>
      <c r="IT985" s="9"/>
      <c r="IU985" s="9"/>
      <c r="IV985" s="9"/>
      <c r="IW985" s="9"/>
      <c r="IX985" s="9"/>
      <c r="IY985" s="9"/>
      <c r="IZ985" s="9"/>
      <c r="JA985" s="9"/>
      <c r="JB985" s="9"/>
      <c r="JC985" s="9"/>
      <c r="JD985" s="9"/>
      <c r="JE985" s="9"/>
      <c r="JF985" s="9"/>
      <c r="JG985" s="9"/>
      <c r="JH985" s="9"/>
      <c r="JI985" s="9"/>
      <c r="JJ985" s="9"/>
      <c r="JK985" s="9"/>
      <c r="JL985" s="9"/>
      <c r="JM985" s="9"/>
      <c r="JN985" s="9"/>
      <c r="JO985" s="9"/>
      <c r="JP985" s="9"/>
      <c r="JQ985" s="9"/>
      <c r="JR985" s="9"/>
      <c r="JS985" s="9"/>
      <c r="JT985" s="9"/>
      <c r="JU985" s="9"/>
      <c r="JV985" s="9"/>
      <c r="JW985" s="9"/>
      <c r="JX985" s="9"/>
      <c r="JY985" s="9"/>
      <c r="JZ985" s="9"/>
      <c r="KA985" s="9"/>
      <c r="KB985" s="9"/>
      <c r="KC985" s="9"/>
      <c r="KD985" s="9"/>
      <c r="KE985" s="9"/>
      <c r="KF985" s="9"/>
      <c r="KG985" s="9"/>
      <c r="KH985" s="9"/>
      <c r="KI985" s="9"/>
      <c r="KJ985" s="9"/>
      <c r="KK985" s="9"/>
      <c r="KL985" s="9"/>
      <c r="KM985" s="9"/>
      <c r="KN985" s="9"/>
      <c r="KO985" s="9"/>
      <c r="KP985" s="9"/>
      <c r="KQ985" s="9"/>
      <c r="KR985" s="9"/>
      <c r="KS985" s="9"/>
      <c r="KT985" s="9"/>
      <c r="KU985" s="9"/>
      <c r="KV985" s="9"/>
      <c r="KW985" s="9"/>
      <c r="KX985" s="9"/>
      <c r="KY985" s="9"/>
      <c r="KZ985" s="9"/>
      <c r="LA985" s="9"/>
      <c r="LB985" s="9"/>
      <c r="LC985" s="9"/>
      <c r="LD985" s="9"/>
      <c r="LE985" s="9"/>
      <c r="LF985" s="9"/>
      <c r="LG985" s="9"/>
      <c r="LH985" s="9"/>
      <c r="LI985" s="9"/>
      <c r="LJ985" s="9"/>
      <c r="LK985" s="9"/>
      <c r="LL985" s="9"/>
      <c r="LM985" s="9"/>
      <c r="LN985" s="9"/>
      <c r="LO985" s="9"/>
      <c r="LP985" s="9"/>
      <c r="LQ985" s="9"/>
      <c r="LR985" s="9"/>
      <c r="LS985" s="9"/>
      <c r="LT985" s="9"/>
      <c r="LU985" s="9"/>
      <c r="LV985" s="9"/>
      <c r="LW985" s="9"/>
      <c r="LX985" s="9"/>
      <c r="LY985" s="9"/>
      <c r="LZ985" s="9"/>
      <c r="MA985" s="9"/>
      <c r="MB985" s="9"/>
      <c r="MC985" s="9"/>
      <c r="MD985" s="9"/>
      <c r="ME985" s="9"/>
      <c r="MF985" s="9"/>
      <c r="MG985" s="9"/>
      <c r="MH985" s="9"/>
      <c r="MI985" s="9"/>
      <c r="MJ985" s="9"/>
      <c r="MK985" s="9"/>
      <c r="ML985" s="9"/>
      <c r="MM985" s="9"/>
      <c r="MN985" s="9"/>
      <c r="MO985" s="9"/>
      <c r="MP985" s="9"/>
      <c r="MQ985" s="9"/>
      <c r="MR985" s="9"/>
      <c r="MS985" s="9"/>
      <c r="MT985" s="9"/>
      <c r="MU985" s="9"/>
      <c r="MV985" s="9"/>
      <c r="MW985" s="9"/>
      <c r="MX985" s="9"/>
      <c r="MY985" s="9"/>
      <c r="MZ985" s="9"/>
      <c r="NA985" s="9"/>
      <c r="NB985" s="9"/>
      <c r="NC985" s="9"/>
      <c r="ND985" s="9"/>
      <c r="NE985" s="9"/>
      <c r="NF985" s="9"/>
      <c r="NG985" s="9"/>
      <c r="NH985" s="9"/>
      <c r="NI985" s="9"/>
      <c r="NJ985" s="9"/>
      <c r="NK985" s="9"/>
      <c r="NL985" s="9"/>
      <c r="NM985" s="9"/>
      <c r="NN985" s="9"/>
      <c r="NO985" s="9"/>
      <c r="NP985" s="9"/>
      <c r="NQ985" s="9"/>
      <c r="NR985" s="9"/>
      <c r="NS985" s="9"/>
      <c r="NT985" s="9"/>
      <c r="NU985" s="9"/>
      <c r="NV985" s="9"/>
      <c r="NW985" s="9"/>
      <c r="NX985" s="9"/>
      <c r="NY985" s="9"/>
      <c r="NZ985" s="9"/>
      <c r="OA985" s="9"/>
      <c r="OB985" s="9"/>
      <c r="OC985" s="9"/>
      <c r="OD985" s="9"/>
      <c r="OE985" s="9"/>
      <c r="OF985" s="9"/>
      <c r="OG985" s="9"/>
      <c r="OH985" s="9"/>
      <c r="OI985" s="9"/>
      <c r="OJ985" s="9"/>
      <c r="OK985" s="9"/>
      <c r="OL985" s="9"/>
      <c r="OM985" s="9"/>
      <c r="ON985" s="9"/>
      <c r="OO985" s="9"/>
      <c r="OP985" s="9"/>
      <c r="OQ985" s="9"/>
      <c r="OR985" s="9"/>
      <c r="OS985" s="9"/>
      <c r="OT985" s="9"/>
      <c r="OU985" s="9"/>
      <c r="OV985" s="9"/>
      <c r="OW985" s="9"/>
      <c r="OX985" s="9"/>
      <c r="OY985" s="9"/>
      <c r="OZ985" s="9"/>
      <c r="PA985" s="9"/>
      <c r="PB985" s="9"/>
      <c r="PC985" s="9"/>
      <c r="PD985" s="9"/>
      <c r="PE985" s="9"/>
      <c r="PF985" s="9"/>
      <c r="PG985" s="9"/>
      <c r="PH985" s="9"/>
      <c r="PI985" s="9"/>
      <c r="PJ985" s="9"/>
      <c r="PK985" s="9"/>
      <c r="PL985" s="9"/>
      <c r="PM985" s="9"/>
      <c r="PN985" s="9"/>
      <c r="PO985" s="9"/>
      <c r="PP985" s="9"/>
      <c r="PQ985" s="9"/>
      <c r="PR985" s="9"/>
      <c r="PS985" s="9"/>
      <c r="PT985" s="9"/>
      <c r="PU985" s="9"/>
      <c r="PV985" s="9"/>
      <c r="PW985" s="9"/>
      <c r="PX985" s="9"/>
      <c r="PY985" s="9"/>
      <c r="PZ985" s="9"/>
      <c r="QA985" s="9"/>
      <c r="QB985" s="9"/>
      <c r="QC985" s="9"/>
      <c r="QD985" s="9"/>
      <c r="QE985" s="9"/>
      <c r="QF985" s="9"/>
      <c r="QG985" s="9"/>
      <c r="QH985" s="9"/>
      <c r="QI985" s="9"/>
      <c r="QJ985" s="9"/>
      <c r="QK985" s="9"/>
      <c r="QL985" s="9"/>
      <c r="QM985" s="9"/>
      <c r="QN985" s="9"/>
      <c r="QO985" s="9"/>
      <c r="QP985" s="9"/>
      <c r="QQ985" s="9"/>
      <c r="QR985" s="9"/>
      <c r="QS985" s="9"/>
      <c r="QT985" s="9"/>
      <c r="QU985" s="9"/>
      <c r="QV985" s="9"/>
      <c r="QW985" s="9"/>
      <c r="QX985" s="9"/>
      <c r="QY985" s="9"/>
      <c r="QZ985" s="9"/>
      <c r="RA985" s="9"/>
      <c r="RB985" s="9"/>
      <c r="RC985" s="9"/>
      <c r="RD985" s="9"/>
      <c r="RE985" s="9"/>
      <c r="RF985" s="9"/>
      <c r="RG985" s="9"/>
      <c r="RH985" s="9"/>
      <c r="RI985" s="9"/>
      <c r="RJ985" s="9"/>
      <c r="RK985" s="9"/>
      <c r="RL985" s="9"/>
      <c r="RM985" s="9"/>
      <c r="RN985" s="9"/>
      <c r="RO985" s="9"/>
      <c r="RP985" s="9"/>
      <c r="RQ985" s="9"/>
      <c r="RR985" s="9"/>
      <c r="RS985" s="9"/>
      <c r="RT985" s="9"/>
      <c r="RU985" s="9"/>
      <c r="RV985" s="9"/>
      <c r="RW985" s="9"/>
      <c r="RX985" s="9"/>
      <c r="RY985" s="9"/>
      <c r="RZ985" s="9"/>
      <c r="SA985" s="9"/>
      <c r="SB985" s="9"/>
      <c r="SC985" s="9"/>
      <c r="SD985" s="9"/>
      <c r="SE985" s="9"/>
      <c r="SF985" s="9"/>
      <c r="SG985" s="9"/>
      <c r="SH985" s="9"/>
      <c r="SI985" s="9"/>
      <c r="SJ985" s="9"/>
      <c r="SK985" s="9"/>
      <c r="SL985" s="9"/>
      <c r="SM985" s="9"/>
      <c r="SN985" s="9"/>
      <c r="SO985" s="9"/>
      <c r="SP985" s="9"/>
      <c r="SQ985" s="9"/>
      <c r="SR985" s="9"/>
      <c r="SS985" s="9"/>
      <c r="ST985" s="9"/>
      <c r="SU985" s="9"/>
      <c r="SV985" s="9"/>
      <c r="SW985" s="9"/>
      <c r="SX985" s="9"/>
      <c r="SY985" s="9"/>
      <c r="SZ985" s="9"/>
      <c r="TA985" s="9"/>
      <c r="TB985" s="9"/>
      <c r="TC985" s="9"/>
      <c r="TD985" s="9"/>
      <c r="TE985" s="9"/>
      <c r="TF985" s="9"/>
      <c r="TG985" s="9"/>
      <c r="TH985" s="9"/>
      <c r="TI985" s="9"/>
      <c r="TJ985" s="9"/>
      <c r="TK985" s="9"/>
      <c r="TL985" s="9"/>
      <c r="TM985" s="9"/>
      <c r="TN985" s="9"/>
      <c r="TO985" s="9"/>
      <c r="TP985" s="9"/>
      <c r="TQ985" s="9"/>
      <c r="TR985" s="9"/>
      <c r="TS985" s="9"/>
      <c r="TT985" s="9"/>
      <c r="TU985" s="9"/>
      <c r="TV985" s="9"/>
      <c r="TW985" s="9"/>
      <c r="TX985" s="9"/>
      <c r="TY985" s="9"/>
      <c r="TZ985" s="9"/>
      <c r="UA985" s="9"/>
      <c r="UB985" s="9"/>
      <c r="UC985" s="9"/>
      <c r="UD985" s="9"/>
      <c r="UE985" s="9"/>
      <c r="UF985" s="9"/>
      <c r="UG985" s="9"/>
      <c r="UH985" s="9"/>
      <c r="UI985" s="9"/>
      <c r="UJ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9"/>
      <c r="GV986" s="9"/>
      <c r="GW986" s="9"/>
      <c r="GX986" s="9"/>
      <c r="GY986" s="9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  <c r="HO986" s="9"/>
      <c r="HP986" s="9"/>
      <c r="HQ986" s="9"/>
      <c r="HR986" s="9"/>
      <c r="HS986" s="9"/>
      <c r="HT986" s="9"/>
      <c r="HU986" s="9"/>
      <c r="HV986" s="9"/>
      <c r="HW986" s="9"/>
      <c r="HX986" s="9"/>
      <c r="HY986" s="9"/>
      <c r="HZ986" s="9"/>
      <c r="IA986" s="9"/>
      <c r="IB986" s="9"/>
      <c r="IC986" s="9"/>
      <c r="ID986" s="9"/>
      <c r="IE986" s="9"/>
      <c r="IF986" s="9"/>
      <c r="IG986" s="9"/>
      <c r="IH986" s="9"/>
      <c r="II986" s="9"/>
      <c r="IJ986" s="9"/>
      <c r="IK986" s="9"/>
      <c r="IL986" s="9"/>
      <c r="IM986" s="9"/>
      <c r="IN986" s="9"/>
      <c r="IO986" s="9"/>
      <c r="IP986" s="9"/>
      <c r="IQ986" s="9"/>
      <c r="IR986" s="9"/>
      <c r="IS986" s="9"/>
      <c r="IT986" s="9"/>
      <c r="IU986" s="9"/>
      <c r="IV986" s="9"/>
      <c r="IW986" s="9"/>
      <c r="IX986" s="9"/>
      <c r="IY986" s="9"/>
      <c r="IZ986" s="9"/>
      <c r="JA986" s="9"/>
      <c r="JB986" s="9"/>
      <c r="JC986" s="9"/>
      <c r="JD986" s="9"/>
      <c r="JE986" s="9"/>
      <c r="JF986" s="9"/>
      <c r="JG986" s="9"/>
      <c r="JH986" s="9"/>
      <c r="JI986" s="9"/>
      <c r="JJ986" s="9"/>
      <c r="JK986" s="9"/>
      <c r="JL986" s="9"/>
      <c r="JM986" s="9"/>
      <c r="JN986" s="9"/>
      <c r="JO986" s="9"/>
      <c r="JP986" s="9"/>
      <c r="JQ986" s="9"/>
      <c r="JR986" s="9"/>
      <c r="JS986" s="9"/>
      <c r="JT986" s="9"/>
      <c r="JU986" s="9"/>
      <c r="JV986" s="9"/>
      <c r="JW986" s="9"/>
      <c r="JX986" s="9"/>
      <c r="JY986" s="9"/>
      <c r="JZ986" s="9"/>
      <c r="KA986" s="9"/>
      <c r="KB986" s="9"/>
      <c r="KC986" s="9"/>
      <c r="KD986" s="9"/>
      <c r="KE986" s="9"/>
      <c r="KF986" s="9"/>
      <c r="KG986" s="9"/>
      <c r="KH986" s="9"/>
      <c r="KI986" s="9"/>
      <c r="KJ986" s="9"/>
      <c r="KK986" s="9"/>
      <c r="KL986" s="9"/>
      <c r="KM986" s="9"/>
      <c r="KN986" s="9"/>
      <c r="KO986" s="9"/>
      <c r="KP986" s="9"/>
      <c r="KQ986" s="9"/>
      <c r="KR986" s="9"/>
      <c r="KS986" s="9"/>
      <c r="KT986" s="9"/>
      <c r="KU986" s="9"/>
      <c r="KV986" s="9"/>
      <c r="KW986" s="9"/>
      <c r="KX986" s="9"/>
      <c r="KY986" s="9"/>
      <c r="KZ986" s="9"/>
      <c r="LA986" s="9"/>
      <c r="LB986" s="9"/>
      <c r="LC986" s="9"/>
      <c r="LD986" s="9"/>
      <c r="LE986" s="9"/>
      <c r="LF986" s="9"/>
      <c r="LG986" s="9"/>
      <c r="LH986" s="9"/>
      <c r="LI986" s="9"/>
      <c r="LJ986" s="9"/>
      <c r="LK986" s="9"/>
      <c r="LL986" s="9"/>
      <c r="LM986" s="9"/>
      <c r="LN986" s="9"/>
      <c r="LO986" s="9"/>
      <c r="LP986" s="9"/>
      <c r="LQ986" s="9"/>
      <c r="LR986" s="9"/>
      <c r="LS986" s="9"/>
      <c r="LT986" s="9"/>
      <c r="LU986" s="9"/>
      <c r="LV986" s="9"/>
      <c r="LW986" s="9"/>
      <c r="LX986" s="9"/>
      <c r="LY986" s="9"/>
      <c r="LZ986" s="9"/>
      <c r="MA986" s="9"/>
      <c r="MB986" s="9"/>
      <c r="MC986" s="9"/>
      <c r="MD986" s="9"/>
      <c r="ME986" s="9"/>
      <c r="MF986" s="9"/>
      <c r="MG986" s="9"/>
      <c r="MH986" s="9"/>
      <c r="MI986" s="9"/>
      <c r="MJ986" s="9"/>
      <c r="MK986" s="9"/>
      <c r="ML986" s="9"/>
      <c r="MM986" s="9"/>
      <c r="MN986" s="9"/>
      <c r="MO986" s="9"/>
      <c r="MP986" s="9"/>
      <c r="MQ986" s="9"/>
      <c r="MR986" s="9"/>
      <c r="MS986" s="9"/>
      <c r="MT986" s="9"/>
      <c r="MU986" s="9"/>
      <c r="MV986" s="9"/>
      <c r="MW986" s="9"/>
      <c r="MX986" s="9"/>
      <c r="MY986" s="9"/>
      <c r="MZ986" s="9"/>
      <c r="NA986" s="9"/>
      <c r="NB986" s="9"/>
      <c r="NC986" s="9"/>
      <c r="ND986" s="9"/>
      <c r="NE986" s="9"/>
      <c r="NF986" s="9"/>
      <c r="NG986" s="9"/>
      <c r="NH986" s="9"/>
      <c r="NI986" s="9"/>
      <c r="NJ986" s="9"/>
      <c r="NK986" s="9"/>
      <c r="NL986" s="9"/>
      <c r="NM986" s="9"/>
      <c r="NN986" s="9"/>
      <c r="NO986" s="9"/>
      <c r="NP986" s="9"/>
      <c r="NQ986" s="9"/>
      <c r="NR986" s="9"/>
      <c r="NS986" s="9"/>
      <c r="NT986" s="9"/>
      <c r="NU986" s="9"/>
      <c r="NV986" s="9"/>
      <c r="NW986" s="9"/>
      <c r="NX986" s="9"/>
      <c r="NY986" s="9"/>
      <c r="NZ986" s="9"/>
      <c r="OA986" s="9"/>
      <c r="OB986" s="9"/>
      <c r="OC986" s="9"/>
      <c r="OD986" s="9"/>
      <c r="OE986" s="9"/>
      <c r="OF986" s="9"/>
      <c r="OG986" s="9"/>
      <c r="OH986" s="9"/>
      <c r="OI986" s="9"/>
      <c r="OJ986" s="9"/>
      <c r="OK986" s="9"/>
      <c r="OL986" s="9"/>
      <c r="OM986" s="9"/>
      <c r="ON986" s="9"/>
      <c r="OO986" s="9"/>
      <c r="OP986" s="9"/>
      <c r="OQ986" s="9"/>
      <c r="OR986" s="9"/>
      <c r="OS986" s="9"/>
      <c r="OT986" s="9"/>
      <c r="OU986" s="9"/>
      <c r="OV986" s="9"/>
      <c r="OW986" s="9"/>
      <c r="OX986" s="9"/>
      <c r="OY986" s="9"/>
      <c r="OZ986" s="9"/>
      <c r="PA986" s="9"/>
      <c r="PB986" s="9"/>
      <c r="PC986" s="9"/>
      <c r="PD986" s="9"/>
      <c r="PE986" s="9"/>
      <c r="PF986" s="9"/>
      <c r="PG986" s="9"/>
      <c r="PH986" s="9"/>
      <c r="PI986" s="9"/>
      <c r="PJ986" s="9"/>
      <c r="PK986" s="9"/>
      <c r="PL986" s="9"/>
      <c r="PM986" s="9"/>
      <c r="PN986" s="9"/>
      <c r="PO986" s="9"/>
      <c r="PP986" s="9"/>
      <c r="PQ986" s="9"/>
      <c r="PR986" s="9"/>
      <c r="PS986" s="9"/>
      <c r="PT986" s="9"/>
      <c r="PU986" s="9"/>
      <c r="PV986" s="9"/>
      <c r="PW986" s="9"/>
      <c r="PX986" s="9"/>
      <c r="PY986" s="9"/>
      <c r="PZ986" s="9"/>
      <c r="QA986" s="9"/>
      <c r="QB986" s="9"/>
      <c r="QC986" s="9"/>
      <c r="QD986" s="9"/>
      <c r="QE986" s="9"/>
      <c r="QF986" s="9"/>
      <c r="QG986" s="9"/>
      <c r="QH986" s="9"/>
      <c r="QI986" s="9"/>
      <c r="QJ986" s="9"/>
      <c r="QK986" s="9"/>
      <c r="QL986" s="9"/>
      <c r="QM986" s="9"/>
      <c r="QN986" s="9"/>
      <c r="QO986" s="9"/>
      <c r="QP986" s="9"/>
      <c r="QQ986" s="9"/>
      <c r="QR986" s="9"/>
      <c r="QS986" s="9"/>
      <c r="QT986" s="9"/>
      <c r="QU986" s="9"/>
      <c r="QV986" s="9"/>
      <c r="QW986" s="9"/>
      <c r="QX986" s="9"/>
      <c r="QY986" s="9"/>
      <c r="QZ986" s="9"/>
      <c r="RA986" s="9"/>
      <c r="RB986" s="9"/>
      <c r="RC986" s="9"/>
      <c r="RD986" s="9"/>
      <c r="RE986" s="9"/>
      <c r="RF986" s="9"/>
      <c r="RG986" s="9"/>
      <c r="RH986" s="9"/>
      <c r="RI986" s="9"/>
      <c r="RJ986" s="9"/>
      <c r="RK986" s="9"/>
      <c r="RL986" s="9"/>
      <c r="RM986" s="9"/>
      <c r="RN986" s="9"/>
      <c r="RO986" s="9"/>
      <c r="RP986" s="9"/>
      <c r="RQ986" s="9"/>
      <c r="RR986" s="9"/>
      <c r="RS986" s="9"/>
      <c r="RT986" s="9"/>
      <c r="RU986" s="9"/>
      <c r="RV986" s="9"/>
      <c r="RW986" s="9"/>
      <c r="RX986" s="9"/>
      <c r="RY986" s="9"/>
      <c r="RZ986" s="9"/>
      <c r="SA986" s="9"/>
      <c r="SB986" s="9"/>
      <c r="SC986" s="9"/>
      <c r="SD986" s="9"/>
      <c r="SE986" s="9"/>
      <c r="SF986" s="9"/>
      <c r="SG986" s="9"/>
      <c r="SH986" s="9"/>
      <c r="SI986" s="9"/>
      <c r="SJ986" s="9"/>
      <c r="SK986" s="9"/>
      <c r="SL986" s="9"/>
      <c r="SM986" s="9"/>
      <c r="SN986" s="9"/>
      <c r="SO986" s="9"/>
      <c r="SP986" s="9"/>
      <c r="SQ986" s="9"/>
      <c r="SR986" s="9"/>
      <c r="SS986" s="9"/>
      <c r="ST986" s="9"/>
      <c r="SU986" s="9"/>
      <c r="SV986" s="9"/>
      <c r="SW986" s="9"/>
      <c r="SX986" s="9"/>
      <c r="SY986" s="9"/>
      <c r="SZ986" s="9"/>
      <c r="TA986" s="9"/>
      <c r="TB986" s="9"/>
      <c r="TC986" s="9"/>
      <c r="TD986" s="9"/>
      <c r="TE986" s="9"/>
      <c r="TF986" s="9"/>
      <c r="TG986" s="9"/>
      <c r="TH986" s="9"/>
      <c r="TI986" s="9"/>
      <c r="TJ986" s="9"/>
      <c r="TK986" s="9"/>
      <c r="TL986" s="9"/>
      <c r="TM986" s="9"/>
      <c r="TN986" s="9"/>
      <c r="TO986" s="9"/>
      <c r="TP986" s="9"/>
      <c r="TQ986" s="9"/>
      <c r="TR986" s="9"/>
      <c r="TS986" s="9"/>
      <c r="TT986" s="9"/>
      <c r="TU986" s="9"/>
      <c r="TV986" s="9"/>
      <c r="TW986" s="9"/>
      <c r="TX986" s="9"/>
      <c r="TY986" s="9"/>
      <c r="TZ986" s="9"/>
      <c r="UA986" s="9"/>
      <c r="UB986" s="9"/>
      <c r="UC986" s="9"/>
      <c r="UD986" s="9"/>
      <c r="UE986" s="9"/>
      <c r="UF986" s="9"/>
      <c r="UG986" s="9"/>
      <c r="UH986" s="9"/>
      <c r="UI986" s="9"/>
      <c r="UJ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/>
      <c r="ES987" s="9"/>
      <c r="ET987" s="9"/>
      <c r="EU987" s="9"/>
      <c r="EV987" s="9"/>
      <c r="EW987" s="9"/>
      <c r="EX987" s="9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  <c r="GA987" s="9"/>
      <c r="GB987" s="9"/>
      <c r="GC987" s="9"/>
      <c r="GD987" s="9"/>
      <c r="GE987" s="9"/>
      <c r="GF987" s="9"/>
      <c r="GG987" s="9"/>
      <c r="GH987" s="9"/>
      <c r="GI987" s="9"/>
      <c r="GJ987" s="9"/>
      <c r="GK987" s="9"/>
      <c r="GL987" s="9"/>
      <c r="GM987" s="9"/>
      <c r="GN987" s="9"/>
      <c r="GO987" s="9"/>
      <c r="GP987" s="9"/>
      <c r="GQ987" s="9"/>
      <c r="GR987" s="9"/>
      <c r="GS987" s="9"/>
      <c r="GT987" s="9"/>
      <c r="GU987" s="9"/>
      <c r="GV987" s="9"/>
      <c r="GW987" s="9"/>
      <c r="GX987" s="9"/>
      <c r="GY987" s="9"/>
      <c r="GZ987" s="9"/>
      <c r="HA987" s="9"/>
      <c r="HB987" s="9"/>
      <c r="HC987" s="9"/>
      <c r="HD987" s="9"/>
      <c r="HE987" s="9"/>
      <c r="HF987" s="9"/>
      <c r="HG987" s="9"/>
      <c r="HH987" s="9"/>
      <c r="HI987" s="9"/>
      <c r="HJ987" s="9"/>
      <c r="HK987" s="9"/>
      <c r="HL987" s="9"/>
      <c r="HM987" s="9"/>
      <c r="HN987" s="9"/>
      <c r="HO987" s="9"/>
      <c r="HP987" s="9"/>
      <c r="HQ987" s="9"/>
      <c r="HR987" s="9"/>
      <c r="HS987" s="9"/>
      <c r="HT987" s="9"/>
      <c r="HU987" s="9"/>
      <c r="HV987" s="9"/>
      <c r="HW987" s="9"/>
      <c r="HX987" s="9"/>
      <c r="HY987" s="9"/>
      <c r="HZ987" s="9"/>
      <c r="IA987" s="9"/>
      <c r="IB987" s="9"/>
      <c r="IC987" s="9"/>
      <c r="ID987" s="9"/>
      <c r="IE987" s="9"/>
      <c r="IF987" s="9"/>
      <c r="IG987" s="9"/>
      <c r="IH987" s="9"/>
      <c r="II987" s="9"/>
      <c r="IJ987" s="9"/>
      <c r="IK987" s="9"/>
      <c r="IL987" s="9"/>
      <c r="IM987" s="9"/>
      <c r="IN987" s="9"/>
      <c r="IO987" s="9"/>
      <c r="IP987" s="9"/>
      <c r="IQ987" s="9"/>
      <c r="IR987" s="9"/>
      <c r="IS987" s="9"/>
      <c r="IT987" s="9"/>
      <c r="IU987" s="9"/>
      <c r="IV987" s="9"/>
      <c r="IW987" s="9"/>
      <c r="IX987" s="9"/>
      <c r="IY987" s="9"/>
      <c r="IZ987" s="9"/>
      <c r="JA987" s="9"/>
      <c r="JB987" s="9"/>
      <c r="JC987" s="9"/>
      <c r="JD987" s="9"/>
      <c r="JE987" s="9"/>
      <c r="JF987" s="9"/>
      <c r="JG987" s="9"/>
      <c r="JH987" s="9"/>
      <c r="JI987" s="9"/>
      <c r="JJ987" s="9"/>
      <c r="JK987" s="9"/>
      <c r="JL987" s="9"/>
      <c r="JM987" s="9"/>
      <c r="JN987" s="9"/>
      <c r="JO987" s="9"/>
      <c r="JP987" s="9"/>
      <c r="JQ987" s="9"/>
      <c r="JR987" s="9"/>
      <c r="JS987" s="9"/>
      <c r="JT987" s="9"/>
      <c r="JU987" s="9"/>
      <c r="JV987" s="9"/>
      <c r="JW987" s="9"/>
      <c r="JX987" s="9"/>
      <c r="JY987" s="9"/>
      <c r="JZ987" s="9"/>
      <c r="KA987" s="9"/>
      <c r="KB987" s="9"/>
      <c r="KC987" s="9"/>
      <c r="KD987" s="9"/>
      <c r="KE987" s="9"/>
      <c r="KF987" s="9"/>
      <c r="KG987" s="9"/>
      <c r="KH987" s="9"/>
      <c r="KI987" s="9"/>
      <c r="KJ987" s="9"/>
      <c r="KK987" s="9"/>
      <c r="KL987" s="9"/>
      <c r="KM987" s="9"/>
      <c r="KN987" s="9"/>
      <c r="KO987" s="9"/>
      <c r="KP987" s="9"/>
      <c r="KQ987" s="9"/>
      <c r="KR987" s="9"/>
      <c r="KS987" s="9"/>
      <c r="KT987" s="9"/>
      <c r="KU987" s="9"/>
      <c r="KV987" s="9"/>
      <c r="KW987" s="9"/>
      <c r="KX987" s="9"/>
      <c r="KY987" s="9"/>
      <c r="KZ987" s="9"/>
      <c r="LA987" s="9"/>
      <c r="LB987" s="9"/>
      <c r="LC987" s="9"/>
      <c r="LD987" s="9"/>
      <c r="LE987" s="9"/>
      <c r="LF987" s="9"/>
      <c r="LG987" s="9"/>
      <c r="LH987" s="9"/>
      <c r="LI987" s="9"/>
      <c r="LJ987" s="9"/>
      <c r="LK987" s="9"/>
      <c r="LL987" s="9"/>
      <c r="LM987" s="9"/>
      <c r="LN987" s="9"/>
      <c r="LO987" s="9"/>
      <c r="LP987" s="9"/>
      <c r="LQ987" s="9"/>
      <c r="LR987" s="9"/>
      <c r="LS987" s="9"/>
      <c r="LT987" s="9"/>
      <c r="LU987" s="9"/>
      <c r="LV987" s="9"/>
      <c r="LW987" s="9"/>
      <c r="LX987" s="9"/>
      <c r="LY987" s="9"/>
      <c r="LZ987" s="9"/>
      <c r="MA987" s="9"/>
      <c r="MB987" s="9"/>
      <c r="MC987" s="9"/>
      <c r="MD987" s="9"/>
      <c r="ME987" s="9"/>
      <c r="MF987" s="9"/>
      <c r="MG987" s="9"/>
      <c r="MH987" s="9"/>
      <c r="MI987" s="9"/>
      <c r="MJ987" s="9"/>
      <c r="MK987" s="9"/>
      <c r="ML987" s="9"/>
      <c r="MM987" s="9"/>
      <c r="MN987" s="9"/>
      <c r="MO987" s="9"/>
      <c r="MP987" s="9"/>
      <c r="MQ987" s="9"/>
      <c r="MR987" s="9"/>
      <c r="MS987" s="9"/>
      <c r="MT987" s="9"/>
      <c r="MU987" s="9"/>
      <c r="MV987" s="9"/>
      <c r="MW987" s="9"/>
      <c r="MX987" s="9"/>
      <c r="MY987" s="9"/>
      <c r="MZ987" s="9"/>
      <c r="NA987" s="9"/>
      <c r="NB987" s="9"/>
      <c r="NC987" s="9"/>
      <c r="ND987" s="9"/>
      <c r="NE987" s="9"/>
      <c r="NF987" s="9"/>
      <c r="NG987" s="9"/>
      <c r="NH987" s="9"/>
      <c r="NI987" s="9"/>
      <c r="NJ987" s="9"/>
      <c r="NK987" s="9"/>
      <c r="NL987" s="9"/>
      <c r="NM987" s="9"/>
      <c r="NN987" s="9"/>
      <c r="NO987" s="9"/>
      <c r="NP987" s="9"/>
      <c r="NQ987" s="9"/>
      <c r="NR987" s="9"/>
      <c r="NS987" s="9"/>
      <c r="NT987" s="9"/>
      <c r="NU987" s="9"/>
      <c r="NV987" s="9"/>
      <c r="NW987" s="9"/>
      <c r="NX987" s="9"/>
      <c r="NY987" s="9"/>
      <c r="NZ987" s="9"/>
      <c r="OA987" s="9"/>
      <c r="OB987" s="9"/>
      <c r="OC987" s="9"/>
      <c r="OD987" s="9"/>
      <c r="OE987" s="9"/>
      <c r="OF987" s="9"/>
      <c r="OG987" s="9"/>
      <c r="OH987" s="9"/>
      <c r="OI987" s="9"/>
      <c r="OJ987" s="9"/>
      <c r="OK987" s="9"/>
      <c r="OL987" s="9"/>
      <c r="OM987" s="9"/>
      <c r="ON987" s="9"/>
      <c r="OO987" s="9"/>
      <c r="OP987" s="9"/>
      <c r="OQ987" s="9"/>
      <c r="OR987" s="9"/>
      <c r="OS987" s="9"/>
      <c r="OT987" s="9"/>
      <c r="OU987" s="9"/>
      <c r="OV987" s="9"/>
      <c r="OW987" s="9"/>
      <c r="OX987" s="9"/>
      <c r="OY987" s="9"/>
      <c r="OZ987" s="9"/>
      <c r="PA987" s="9"/>
      <c r="PB987" s="9"/>
      <c r="PC987" s="9"/>
      <c r="PD987" s="9"/>
      <c r="PE987" s="9"/>
      <c r="PF987" s="9"/>
      <c r="PG987" s="9"/>
      <c r="PH987" s="9"/>
      <c r="PI987" s="9"/>
      <c r="PJ987" s="9"/>
      <c r="PK987" s="9"/>
      <c r="PL987" s="9"/>
      <c r="PM987" s="9"/>
      <c r="PN987" s="9"/>
      <c r="PO987" s="9"/>
      <c r="PP987" s="9"/>
      <c r="PQ987" s="9"/>
      <c r="PR987" s="9"/>
      <c r="PS987" s="9"/>
      <c r="PT987" s="9"/>
      <c r="PU987" s="9"/>
      <c r="PV987" s="9"/>
      <c r="PW987" s="9"/>
      <c r="PX987" s="9"/>
      <c r="PY987" s="9"/>
      <c r="PZ987" s="9"/>
      <c r="QA987" s="9"/>
      <c r="QB987" s="9"/>
      <c r="QC987" s="9"/>
      <c r="QD987" s="9"/>
      <c r="QE987" s="9"/>
      <c r="QF987" s="9"/>
      <c r="QG987" s="9"/>
      <c r="QH987" s="9"/>
      <c r="QI987" s="9"/>
      <c r="QJ987" s="9"/>
      <c r="QK987" s="9"/>
      <c r="QL987" s="9"/>
      <c r="QM987" s="9"/>
      <c r="QN987" s="9"/>
      <c r="QO987" s="9"/>
      <c r="QP987" s="9"/>
      <c r="QQ987" s="9"/>
      <c r="QR987" s="9"/>
      <c r="QS987" s="9"/>
      <c r="QT987" s="9"/>
      <c r="QU987" s="9"/>
      <c r="QV987" s="9"/>
      <c r="QW987" s="9"/>
      <c r="QX987" s="9"/>
      <c r="QY987" s="9"/>
      <c r="QZ987" s="9"/>
      <c r="RA987" s="9"/>
      <c r="RB987" s="9"/>
      <c r="RC987" s="9"/>
      <c r="RD987" s="9"/>
      <c r="RE987" s="9"/>
      <c r="RF987" s="9"/>
      <c r="RG987" s="9"/>
      <c r="RH987" s="9"/>
      <c r="RI987" s="9"/>
      <c r="RJ987" s="9"/>
      <c r="RK987" s="9"/>
      <c r="RL987" s="9"/>
      <c r="RM987" s="9"/>
      <c r="RN987" s="9"/>
      <c r="RO987" s="9"/>
      <c r="RP987" s="9"/>
      <c r="RQ987" s="9"/>
      <c r="RR987" s="9"/>
      <c r="RS987" s="9"/>
      <c r="RT987" s="9"/>
      <c r="RU987" s="9"/>
      <c r="RV987" s="9"/>
      <c r="RW987" s="9"/>
      <c r="RX987" s="9"/>
      <c r="RY987" s="9"/>
      <c r="RZ987" s="9"/>
      <c r="SA987" s="9"/>
      <c r="SB987" s="9"/>
      <c r="SC987" s="9"/>
      <c r="SD987" s="9"/>
      <c r="SE987" s="9"/>
      <c r="SF987" s="9"/>
      <c r="SG987" s="9"/>
      <c r="SH987" s="9"/>
      <c r="SI987" s="9"/>
      <c r="SJ987" s="9"/>
      <c r="SK987" s="9"/>
      <c r="SL987" s="9"/>
      <c r="SM987" s="9"/>
      <c r="SN987" s="9"/>
      <c r="SO987" s="9"/>
      <c r="SP987" s="9"/>
      <c r="SQ987" s="9"/>
      <c r="SR987" s="9"/>
      <c r="SS987" s="9"/>
      <c r="ST987" s="9"/>
      <c r="SU987" s="9"/>
      <c r="SV987" s="9"/>
      <c r="SW987" s="9"/>
      <c r="SX987" s="9"/>
      <c r="SY987" s="9"/>
      <c r="SZ987" s="9"/>
      <c r="TA987" s="9"/>
      <c r="TB987" s="9"/>
      <c r="TC987" s="9"/>
      <c r="TD987" s="9"/>
      <c r="TE987" s="9"/>
      <c r="TF987" s="9"/>
      <c r="TG987" s="9"/>
      <c r="TH987" s="9"/>
      <c r="TI987" s="9"/>
      <c r="TJ987" s="9"/>
      <c r="TK987" s="9"/>
      <c r="TL987" s="9"/>
      <c r="TM987" s="9"/>
      <c r="TN987" s="9"/>
      <c r="TO987" s="9"/>
      <c r="TP987" s="9"/>
      <c r="TQ987" s="9"/>
      <c r="TR987" s="9"/>
      <c r="TS987" s="9"/>
      <c r="TT987" s="9"/>
      <c r="TU987" s="9"/>
      <c r="TV987" s="9"/>
      <c r="TW987" s="9"/>
      <c r="TX987" s="9"/>
      <c r="TY987" s="9"/>
      <c r="TZ987" s="9"/>
      <c r="UA987" s="9"/>
      <c r="UB987" s="9"/>
      <c r="UC987" s="9"/>
      <c r="UD987" s="9"/>
      <c r="UE987" s="9"/>
      <c r="UF987" s="9"/>
      <c r="UG987" s="9"/>
      <c r="UH987" s="9"/>
      <c r="UI987" s="9"/>
      <c r="UJ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  <c r="FL988" s="9"/>
      <c r="FM988" s="9"/>
      <c r="FN988" s="9"/>
      <c r="FO988" s="9"/>
      <c r="FP988" s="9"/>
      <c r="FQ988" s="9"/>
      <c r="FR988" s="9"/>
      <c r="FS988" s="9"/>
      <c r="FT988" s="9"/>
      <c r="FU988" s="9"/>
      <c r="FV988" s="9"/>
      <c r="FW988" s="9"/>
      <c r="FX988" s="9"/>
      <c r="FY988" s="9"/>
      <c r="FZ988" s="9"/>
      <c r="GA988" s="9"/>
      <c r="GB988" s="9"/>
      <c r="GC988" s="9"/>
      <c r="GD988" s="9"/>
      <c r="GE988" s="9"/>
      <c r="GF988" s="9"/>
      <c r="GG988" s="9"/>
      <c r="GH988" s="9"/>
      <c r="GI988" s="9"/>
      <c r="GJ988" s="9"/>
      <c r="GK988" s="9"/>
      <c r="GL988" s="9"/>
      <c r="GM988" s="9"/>
      <c r="GN988" s="9"/>
      <c r="GO988" s="9"/>
      <c r="GP988" s="9"/>
      <c r="GQ988" s="9"/>
      <c r="GR988" s="9"/>
      <c r="GS988" s="9"/>
      <c r="GT988" s="9"/>
      <c r="GU988" s="9"/>
      <c r="GV988" s="9"/>
      <c r="GW988" s="9"/>
      <c r="GX988" s="9"/>
      <c r="GY988" s="9"/>
      <c r="GZ988" s="9"/>
      <c r="HA988" s="9"/>
      <c r="HB988" s="9"/>
      <c r="HC988" s="9"/>
      <c r="HD988" s="9"/>
      <c r="HE988" s="9"/>
      <c r="HF988" s="9"/>
      <c r="HG988" s="9"/>
      <c r="HH988" s="9"/>
      <c r="HI988" s="9"/>
      <c r="HJ988" s="9"/>
      <c r="HK988" s="9"/>
      <c r="HL988" s="9"/>
      <c r="HM988" s="9"/>
      <c r="HN988" s="9"/>
      <c r="HO988" s="9"/>
      <c r="HP988" s="9"/>
      <c r="HQ988" s="9"/>
      <c r="HR988" s="9"/>
      <c r="HS988" s="9"/>
      <c r="HT988" s="9"/>
      <c r="HU988" s="9"/>
      <c r="HV988" s="9"/>
      <c r="HW988" s="9"/>
      <c r="HX988" s="9"/>
      <c r="HY988" s="9"/>
      <c r="HZ988" s="9"/>
      <c r="IA988" s="9"/>
      <c r="IB988" s="9"/>
      <c r="IC988" s="9"/>
      <c r="ID988" s="9"/>
      <c r="IE988" s="9"/>
      <c r="IF988" s="9"/>
      <c r="IG988" s="9"/>
      <c r="IH988" s="9"/>
      <c r="II988" s="9"/>
      <c r="IJ988" s="9"/>
      <c r="IK988" s="9"/>
      <c r="IL988" s="9"/>
      <c r="IM988" s="9"/>
      <c r="IN988" s="9"/>
      <c r="IO988" s="9"/>
      <c r="IP988" s="9"/>
      <c r="IQ988" s="9"/>
      <c r="IR988" s="9"/>
      <c r="IS988" s="9"/>
      <c r="IT988" s="9"/>
      <c r="IU988" s="9"/>
      <c r="IV988" s="9"/>
      <c r="IW988" s="9"/>
      <c r="IX988" s="9"/>
      <c r="IY988" s="9"/>
      <c r="IZ988" s="9"/>
      <c r="JA988" s="9"/>
      <c r="JB988" s="9"/>
      <c r="JC988" s="9"/>
      <c r="JD988" s="9"/>
      <c r="JE988" s="9"/>
      <c r="JF988" s="9"/>
      <c r="JG988" s="9"/>
      <c r="JH988" s="9"/>
      <c r="JI988" s="9"/>
      <c r="JJ988" s="9"/>
      <c r="JK988" s="9"/>
      <c r="JL988" s="9"/>
      <c r="JM988" s="9"/>
      <c r="JN988" s="9"/>
      <c r="JO988" s="9"/>
      <c r="JP988" s="9"/>
      <c r="JQ988" s="9"/>
      <c r="JR988" s="9"/>
      <c r="JS988" s="9"/>
      <c r="JT988" s="9"/>
      <c r="JU988" s="9"/>
      <c r="JV988" s="9"/>
      <c r="JW988" s="9"/>
      <c r="JX988" s="9"/>
      <c r="JY988" s="9"/>
      <c r="JZ988" s="9"/>
      <c r="KA988" s="9"/>
      <c r="KB988" s="9"/>
      <c r="KC988" s="9"/>
      <c r="KD988" s="9"/>
      <c r="KE988" s="9"/>
      <c r="KF988" s="9"/>
      <c r="KG988" s="9"/>
      <c r="KH988" s="9"/>
      <c r="KI988" s="9"/>
      <c r="KJ988" s="9"/>
      <c r="KK988" s="9"/>
      <c r="KL988" s="9"/>
      <c r="KM988" s="9"/>
      <c r="KN988" s="9"/>
      <c r="KO988" s="9"/>
      <c r="KP988" s="9"/>
      <c r="KQ988" s="9"/>
      <c r="KR988" s="9"/>
      <c r="KS988" s="9"/>
      <c r="KT988" s="9"/>
      <c r="KU988" s="9"/>
      <c r="KV988" s="9"/>
      <c r="KW988" s="9"/>
      <c r="KX988" s="9"/>
      <c r="KY988" s="9"/>
      <c r="KZ988" s="9"/>
      <c r="LA988" s="9"/>
      <c r="LB988" s="9"/>
      <c r="LC988" s="9"/>
      <c r="LD988" s="9"/>
      <c r="LE988" s="9"/>
      <c r="LF988" s="9"/>
      <c r="LG988" s="9"/>
      <c r="LH988" s="9"/>
      <c r="LI988" s="9"/>
      <c r="LJ988" s="9"/>
      <c r="LK988" s="9"/>
      <c r="LL988" s="9"/>
      <c r="LM988" s="9"/>
      <c r="LN988" s="9"/>
      <c r="LO988" s="9"/>
      <c r="LP988" s="9"/>
      <c r="LQ988" s="9"/>
      <c r="LR988" s="9"/>
      <c r="LS988" s="9"/>
      <c r="LT988" s="9"/>
      <c r="LU988" s="9"/>
      <c r="LV988" s="9"/>
      <c r="LW988" s="9"/>
      <c r="LX988" s="9"/>
      <c r="LY988" s="9"/>
      <c r="LZ988" s="9"/>
      <c r="MA988" s="9"/>
      <c r="MB988" s="9"/>
      <c r="MC988" s="9"/>
      <c r="MD988" s="9"/>
      <c r="ME988" s="9"/>
      <c r="MF988" s="9"/>
      <c r="MG988" s="9"/>
      <c r="MH988" s="9"/>
      <c r="MI988" s="9"/>
      <c r="MJ988" s="9"/>
      <c r="MK988" s="9"/>
      <c r="ML988" s="9"/>
      <c r="MM988" s="9"/>
      <c r="MN988" s="9"/>
      <c r="MO988" s="9"/>
      <c r="MP988" s="9"/>
      <c r="MQ988" s="9"/>
      <c r="MR988" s="9"/>
      <c r="MS988" s="9"/>
      <c r="MT988" s="9"/>
      <c r="MU988" s="9"/>
      <c r="MV988" s="9"/>
      <c r="MW988" s="9"/>
      <c r="MX988" s="9"/>
      <c r="MY988" s="9"/>
      <c r="MZ988" s="9"/>
      <c r="NA988" s="9"/>
      <c r="NB988" s="9"/>
      <c r="NC988" s="9"/>
      <c r="ND988" s="9"/>
      <c r="NE988" s="9"/>
      <c r="NF988" s="9"/>
      <c r="NG988" s="9"/>
      <c r="NH988" s="9"/>
      <c r="NI988" s="9"/>
      <c r="NJ988" s="9"/>
      <c r="NK988" s="9"/>
      <c r="NL988" s="9"/>
      <c r="NM988" s="9"/>
      <c r="NN988" s="9"/>
      <c r="NO988" s="9"/>
      <c r="NP988" s="9"/>
      <c r="NQ988" s="9"/>
      <c r="NR988" s="9"/>
      <c r="NS988" s="9"/>
      <c r="NT988" s="9"/>
      <c r="NU988" s="9"/>
      <c r="NV988" s="9"/>
      <c r="NW988" s="9"/>
      <c r="NX988" s="9"/>
      <c r="NY988" s="9"/>
      <c r="NZ988" s="9"/>
      <c r="OA988" s="9"/>
      <c r="OB988" s="9"/>
      <c r="OC988" s="9"/>
      <c r="OD988" s="9"/>
      <c r="OE988" s="9"/>
      <c r="OF988" s="9"/>
      <c r="OG988" s="9"/>
      <c r="OH988" s="9"/>
      <c r="OI988" s="9"/>
      <c r="OJ988" s="9"/>
      <c r="OK988" s="9"/>
      <c r="OL988" s="9"/>
      <c r="OM988" s="9"/>
      <c r="ON988" s="9"/>
      <c r="OO988" s="9"/>
      <c r="OP988" s="9"/>
      <c r="OQ988" s="9"/>
      <c r="OR988" s="9"/>
      <c r="OS988" s="9"/>
      <c r="OT988" s="9"/>
      <c r="OU988" s="9"/>
      <c r="OV988" s="9"/>
      <c r="OW988" s="9"/>
      <c r="OX988" s="9"/>
      <c r="OY988" s="9"/>
      <c r="OZ988" s="9"/>
      <c r="PA988" s="9"/>
      <c r="PB988" s="9"/>
      <c r="PC988" s="9"/>
      <c r="PD988" s="9"/>
      <c r="PE988" s="9"/>
      <c r="PF988" s="9"/>
      <c r="PG988" s="9"/>
      <c r="PH988" s="9"/>
      <c r="PI988" s="9"/>
      <c r="PJ988" s="9"/>
      <c r="PK988" s="9"/>
      <c r="PL988" s="9"/>
      <c r="PM988" s="9"/>
      <c r="PN988" s="9"/>
      <c r="PO988" s="9"/>
      <c r="PP988" s="9"/>
      <c r="PQ988" s="9"/>
      <c r="PR988" s="9"/>
      <c r="PS988" s="9"/>
      <c r="PT988" s="9"/>
      <c r="PU988" s="9"/>
      <c r="PV988" s="9"/>
      <c r="PW988" s="9"/>
      <c r="PX988" s="9"/>
      <c r="PY988" s="9"/>
      <c r="PZ988" s="9"/>
      <c r="QA988" s="9"/>
      <c r="QB988" s="9"/>
      <c r="QC988" s="9"/>
      <c r="QD988" s="9"/>
      <c r="QE988" s="9"/>
      <c r="QF988" s="9"/>
      <c r="QG988" s="9"/>
      <c r="QH988" s="9"/>
      <c r="QI988" s="9"/>
      <c r="QJ988" s="9"/>
      <c r="QK988" s="9"/>
      <c r="QL988" s="9"/>
      <c r="QM988" s="9"/>
      <c r="QN988" s="9"/>
      <c r="QO988" s="9"/>
      <c r="QP988" s="9"/>
      <c r="QQ988" s="9"/>
      <c r="QR988" s="9"/>
      <c r="QS988" s="9"/>
      <c r="QT988" s="9"/>
      <c r="QU988" s="9"/>
      <c r="QV988" s="9"/>
      <c r="QW988" s="9"/>
      <c r="QX988" s="9"/>
      <c r="QY988" s="9"/>
      <c r="QZ988" s="9"/>
      <c r="RA988" s="9"/>
      <c r="RB988" s="9"/>
      <c r="RC988" s="9"/>
      <c r="RD988" s="9"/>
      <c r="RE988" s="9"/>
      <c r="RF988" s="9"/>
      <c r="RG988" s="9"/>
      <c r="RH988" s="9"/>
      <c r="RI988" s="9"/>
      <c r="RJ988" s="9"/>
      <c r="RK988" s="9"/>
      <c r="RL988" s="9"/>
      <c r="RM988" s="9"/>
      <c r="RN988" s="9"/>
      <c r="RO988" s="9"/>
      <c r="RP988" s="9"/>
      <c r="RQ988" s="9"/>
      <c r="RR988" s="9"/>
      <c r="RS988" s="9"/>
      <c r="RT988" s="9"/>
      <c r="RU988" s="9"/>
      <c r="RV988" s="9"/>
      <c r="RW988" s="9"/>
      <c r="RX988" s="9"/>
      <c r="RY988" s="9"/>
      <c r="RZ988" s="9"/>
      <c r="SA988" s="9"/>
      <c r="SB988" s="9"/>
      <c r="SC988" s="9"/>
      <c r="SD988" s="9"/>
      <c r="SE988" s="9"/>
      <c r="SF988" s="9"/>
      <c r="SG988" s="9"/>
      <c r="SH988" s="9"/>
      <c r="SI988" s="9"/>
      <c r="SJ988" s="9"/>
      <c r="SK988" s="9"/>
      <c r="SL988" s="9"/>
      <c r="SM988" s="9"/>
      <c r="SN988" s="9"/>
      <c r="SO988" s="9"/>
      <c r="SP988" s="9"/>
      <c r="SQ988" s="9"/>
      <c r="SR988" s="9"/>
      <c r="SS988" s="9"/>
      <c r="ST988" s="9"/>
      <c r="SU988" s="9"/>
      <c r="SV988" s="9"/>
      <c r="SW988" s="9"/>
      <c r="SX988" s="9"/>
      <c r="SY988" s="9"/>
      <c r="SZ988" s="9"/>
      <c r="TA988" s="9"/>
      <c r="TB988" s="9"/>
      <c r="TC988" s="9"/>
      <c r="TD988" s="9"/>
      <c r="TE988" s="9"/>
      <c r="TF988" s="9"/>
      <c r="TG988" s="9"/>
      <c r="TH988" s="9"/>
      <c r="TI988" s="9"/>
      <c r="TJ988" s="9"/>
      <c r="TK988" s="9"/>
      <c r="TL988" s="9"/>
      <c r="TM988" s="9"/>
      <c r="TN988" s="9"/>
      <c r="TO988" s="9"/>
      <c r="TP988" s="9"/>
      <c r="TQ988" s="9"/>
      <c r="TR988" s="9"/>
      <c r="TS988" s="9"/>
      <c r="TT988" s="9"/>
      <c r="TU988" s="9"/>
      <c r="TV988" s="9"/>
      <c r="TW988" s="9"/>
      <c r="TX988" s="9"/>
      <c r="TY988" s="9"/>
      <c r="TZ988" s="9"/>
      <c r="UA988" s="9"/>
      <c r="UB988" s="9"/>
      <c r="UC988" s="9"/>
      <c r="UD988" s="9"/>
      <c r="UE988" s="9"/>
      <c r="UF988" s="9"/>
      <c r="UG988" s="9"/>
      <c r="UH988" s="9"/>
      <c r="UI988" s="9"/>
      <c r="UJ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9"/>
      <c r="GV989" s="9"/>
      <c r="GW989" s="9"/>
      <c r="GX989" s="9"/>
      <c r="GY989" s="9"/>
      <c r="GZ989" s="9"/>
      <c r="HA989" s="9"/>
      <c r="HB989" s="9"/>
      <c r="HC989" s="9"/>
      <c r="HD989" s="9"/>
      <c r="HE989" s="9"/>
      <c r="HF989" s="9"/>
      <c r="HG989" s="9"/>
      <c r="HH989" s="9"/>
      <c r="HI989" s="9"/>
      <c r="HJ989" s="9"/>
      <c r="HK989" s="9"/>
      <c r="HL989" s="9"/>
      <c r="HM989" s="9"/>
      <c r="HN989" s="9"/>
      <c r="HO989" s="9"/>
      <c r="HP989" s="9"/>
      <c r="HQ989" s="9"/>
      <c r="HR989" s="9"/>
      <c r="HS989" s="9"/>
      <c r="HT989" s="9"/>
      <c r="HU989" s="9"/>
      <c r="HV989" s="9"/>
      <c r="HW989" s="9"/>
      <c r="HX989" s="9"/>
      <c r="HY989" s="9"/>
      <c r="HZ989" s="9"/>
      <c r="IA989" s="9"/>
      <c r="IB989" s="9"/>
      <c r="IC989" s="9"/>
      <c r="ID989" s="9"/>
      <c r="IE989" s="9"/>
      <c r="IF989" s="9"/>
      <c r="IG989" s="9"/>
      <c r="IH989" s="9"/>
      <c r="II989" s="9"/>
      <c r="IJ989" s="9"/>
      <c r="IK989" s="9"/>
      <c r="IL989" s="9"/>
      <c r="IM989" s="9"/>
      <c r="IN989" s="9"/>
      <c r="IO989" s="9"/>
      <c r="IP989" s="9"/>
      <c r="IQ989" s="9"/>
      <c r="IR989" s="9"/>
      <c r="IS989" s="9"/>
      <c r="IT989" s="9"/>
      <c r="IU989" s="9"/>
      <c r="IV989" s="9"/>
      <c r="IW989" s="9"/>
      <c r="IX989" s="9"/>
      <c r="IY989" s="9"/>
      <c r="IZ989" s="9"/>
      <c r="JA989" s="9"/>
      <c r="JB989" s="9"/>
      <c r="JC989" s="9"/>
      <c r="JD989" s="9"/>
      <c r="JE989" s="9"/>
      <c r="JF989" s="9"/>
      <c r="JG989" s="9"/>
      <c r="JH989" s="9"/>
      <c r="JI989" s="9"/>
      <c r="JJ989" s="9"/>
      <c r="JK989" s="9"/>
      <c r="JL989" s="9"/>
      <c r="JM989" s="9"/>
      <c r="JN989" s="9"/>
      <c r="JO989" s="9"/>
      <c r="JP989" s="9"/>
      <c r="JQ989" s="9"/>
      <c r="JR989" s="9"/>
      <c r="JS989" s="9"/>
      <c r="JT989" s="9"/>
      <c r="JU989" s="9"/>
      <c r="JV989" s="9"/>
      <c r="JW989" s="9"/>
      <c r="JX989" s="9"/>
      <c r="JY989" s="9"/>
      <c r="JZ989" s="9"/>
      <c r="KA989" s="9"/>
      <c r="KB989" s="9"/>
      <c r="KC989" s="9"/>
      <c r="KD989" s="9"/>
      <c r="KE989" s="9"/>
      <c r="KF989" s="9"/>
      <c r="KG989" s="9"/>
      <c r="KH989" s="9"/>
      <c r="KI989" s="9"/>
      <c r="KJ989" s="9"/>
      <c r="KK989" s="9"/>
      <c r="KL989" s="9"/>
      <c r="KM989" s="9"/>
      <c r="KN989" s="9"/>
      <c r="KO989" s="9"/>
      <c r="KP989" s="9"/>
      <c r="KQ989" s="9"/>
      <c r="KR989" s="9"/>
      <c r="KS989" s="9"/>
      <c r="KT989" s="9"/>
      <c r="KU989" s="9"/>
      <c r="KV989" s="9"/>
      <c r="KW989" s="9"/>
      <c r="KX989" s="9"/>
      <c r="KY989" s="9"/>
      <c r="KZ989" s="9"/>
      <c r="LA989" s="9"/>
      <c r="LB989" s="9"/>
      <c r="LC989" s="9"/>
      <c r="LD989" s="9"/>
      <c r="LE989" s="9"/>
      <c r="LF989" s="9"/>
      <c r="LG989" s="9"/>
      <c r="LH989" s="9"/>
      <c r="LI989" s="9"/>
      <c r="LJ989" s="9"/>
      <c r="LK989" s="9"/>
      <c r="LL989" s="9"/>
      <c r="LM989" s="9"/>
      <c r="LN989" s="9"/>
      <c r="LO989" s="9"/>
      <c r="LP989" s="9"/>
      <c r="LQ989" s="9"/>
      <c r="LR989" s="9"/>
      <c r="LS989" s="9"/>
      <c r="LT989" s="9"/>
      <c r="LU989" s="9"/>
      <c r="LV989" s="9"/>
      <c r="LW989" s="9"/>
      <c r="LX989" s="9"/>
      <c r="LY989" s="9"/>
      <c r="LZ989" s="9"/>
      <c r="MA989" s="9"/>
      <c r="MB989" s="9"/>
      <c r="MC989" s="9"/>
      <c r="MD989" s="9"/>
      <c r="ME989" s="9"/>
      <c r="MF989" s="9"/>
      <c r="MG989" s="9"/>
      <c r="MH989" s="9"/>
      <c r="MI989" s="9"/>
      <c r="MJ989" s="9"/>
      <c r="MK989" s="9"/>
      <c r="ML989" s="9"/>
      <c r="MM989" s="9"/>
      <c r="MN989" s="9"/>
      <c r="MO989" s="9"/>
      <c r="MP989" s="9"/>
      <c r="MQ989" s="9"/>
      <c r="MR989" s="9"/>
      <c r="MS989" s="9"/>
      <c r="MT989" s="9"/>
      <c r="MU989" s="9"/>
      <c r="MV989" s="9"/>
      <c r="MW989" s="9"/>
      <c r="MX989" s="9"/>
      <c r="MY989" s="9"/>
      <c r="MZ989" s="9"/>
      <c r="NA989" s="9"/>
      <c r="NB989" s="9"/>
      <c r="NC989" s="9"/>
      <c r="ND989" s="9"/>
      <c r="NE989" s="9"/>
      <c r="NF989" s="9"/>
      <c r="NG989" s="9"/>
      <c r="NH989" s="9"/>
      <c r="NI989" s="9"/>
      <c r="NJ989" s="9"/>
      <c r="NK989" s="9"/>
      <c r="NL989" s="9"/>
      <c r="NM989" s="9"/>
      <c r="NN989" s="9"/>
      <c r="NO989" s="9"/>
      <c r="NP989" s="9"/>
      <c r="NQ989" s="9"/>
      <c r="NR989" s="9"/>
      <c r="NS989" s="9"/>
      <c r="NT989" s="9"/>
      <c r="NU989" s="9"/>
      <c r="NV989" s="9"/>
      <c r="NW989" s="9"/>
      <c r="NX989" s="9"/>
      <c r="NY989" s="9"/>
      <c r="NZ989" s="9"/>
      <c r="OA989" s="9"/>
      <c r="OB989" s="9"/>
      <c r="OC989" s="9"/>
      <c r="OD989" s="9"/>
      <c r="OE989" s="9"/>
      <c r="OF989" s="9"/>
      <c r="OG989" s="9"/>
      <c r="OH989" s="9"/>
      <c r="OI989" s="9"/>
      <c r="OJ989" s="9"/>
      <c r="OK989" s="9"/>
      <c r="OL989" s="9"/>
      <c r="OM989" s="9"/>
      <c r="ON989" s="9"/>
      <c r="OO989" s="9"/>
      <c r="OP989" s="9"/>
      <c r="OQ989" s="9"/>
      <c r="OR989" s="9"/>
      <c r="OS989" s="9"/>
      <c r="OT989" s="9"/>
      <c r="OU989" s="9"/>
      <c r="OV989" s="9"/>
      <c r="OW989" s="9"/>
      <c r="OX989" s="9"/>
      <c r="OY989" s="9"/>
      <c r="OZ989" s="9"/>
      <c r="PA989" s="9"/>
      <c r="PB989" s="9"/>
      <c r="PC989" s="9"/>
      <c r="PD989" s="9"/>
      <c r="PE989" s="9"/>
      <c r="PF989" s="9"/>
      <c r="PG989" s="9"/>
      <c r="PH989" s="9"/>
      <c r="PI989" s="9"/>
      <c r="PJ989" s="9"/>
      <c r="PK989" s="9"/>
      <c r="PL989" s="9"/>
      <c r="PM989" s="9"/>
      <c r="PN989" s="9"/>
      <c r="PO989" s="9"/>
      <c r="PP989" s="9"/>
      <c r="PQ989" s="9"/>
      <c r="PR989" s="9"/>
      <c r="PS989" s="9"/>
      <c r="PT989" s="9"/>
      <c r="PU989" s="9"/>
      <c r="PV989" s="9"/>
      <c r="PW989" s="9"/>
      <c r="PX989" s="9"/>
      <c r="PY989" s="9"/>
      <c r="PZ989" s="9"/>
      <c r="QA989" s="9"/>
      <c r="QB989" s="9"/>
      <c r="QC989" s="9"/>
      <c r="QD989" s="9"/>
      <c r="QE989" s="9"/>
      <c r="QF989" s="9"/>
      <c r="QG989" s="9"/>
      <c r="QH989" s="9"/>
      <c r="QI989" s="9"/>
      <c r="QJ989" s="9"/>
      <c r="QK989" s="9"/>
      <c r="QL989" s="9"/>
      <c r="QM989" s="9"/>
      <c r="QN989" s="9"/>
      <c r="QO989" s="9"/>
      <c r="QP989" s="9"/>
      <c r="QQ989" s="9"/>
      <c r="QR989" s="9"/>
      <c r="QS989" s="9"/>
      <c r="QT989" s="9"/>
      <c r="QU989" s="9"/>
      <c r="QV989" s="9"/>
      <c r="QW989" s="9"/>
      <c r="QX989" s="9"/>
      <c r="QY989" s="9"/>
      <c r="QZ989" s="9"/>
      <c r="RA989" s="9"/>
      <c r="RB989" s="9"/>
      <c r="RC989" s="9"/>
      <c r="RD989" s="9"/>
      <c r="RE989" s="9"/>
      <c r="RF989" s="9"/>
      <c r="RG989" s="9"/>
      <c r="RH989" s="9"/>
      <c r="RI989" s="9"/>
      <c r="RJ989" s="9"/>
      <c r="RK989" s="9"/>
      <c r="RL989" s="9"/>
      <c r="RM989" s="9"/>
      <c r="RN989" s="9"/>
      <c r="RO989" s="9"/>
      <c r="RP989" s="9"/>
      <c r="RQ989" s="9"/>
      <c r="RR989" s="9"/>
      <c r="RS989" s="9"/>
      <c r="RT989" s="9"/>
      <c r="RU989" s="9"/>
      <c r="RV989" s="9"/>
      <c r="RW989" s="9"/>
      <c r="RX989" s="9"/>
      <c r="RY989" s="9"/>
      <c r="RZ989" s="9"/>
      <c r="SA989" s="9"/>
      <c r="SB989" s="9"/>
      <c r="SC989" s="9"/>
      <c r="SD989" s="9"/>
      <c r="SE989" s="9"/>
      <c r="SF989" s="9"/>
      <c r="SG989" s="9"/>
      <c r="SH989" s="9"/>
      <c r="SI989" s="9"/>
      <c r="SJ989" s="9"/>
      <c r="SK989" s="9"/>
      <c r="SL989" s="9"/>
      <c r="SM989" s="9"/>
      <c r="SN989" s="9"/>
      <c r="SO989" s="9"/>
      <c r="SP989" s="9"/>
      <c r="SQ989" s="9"/>
      <c r="SR989" s="9"/>
      <c r="SS989" s="9"/>
      <c r="ST989" s="9"/>
      <c r="SU989" s="9"/>
      <c r="SV989" s="9"/>
      <c r="SW989" s="9"/>
      <c r="SX989" s="9"/>
      <c r="SY989" s="9"/>
      <c r="SZ989" s="9"/>
      <c r="TA989" s="9"/>
      <c r="TB989" s="9"/>
      <c r="TC989" s="9"/>
      <c r="TD989" s="9"/>
      <c r="TE989" s="9"/>
      <c r="TF989" s="9"/>
      <c r="TG989" s="9"/>
      <c r="TH989" s="9"/>
      <c r="TI989" s="9"/>
      <c r="TJ989" s="9"/>
      <c r="TK989" s="9"/>
      <c r="TL989" s="9"/>
      <c r="TM989" s="9"/>
      <c r="TN989" s="9"/>
      <c r="TO989" s="9"/>
      <c r="TP989" s="9"/>
      <c r="TQ989" s="9"/>
      <c r="TR989" s="9"/>
      <c r="TS989" s="9"/>
      <c r="TT989" s="9"/>
      <c r="TU989" s="9"/>
      <c r="TV989" s="9"/>
      <c r="TW989" s="9"/>
      <c r="TX989" s="9"/>
      <c r="TY989" s="9"/>
      <c r="TZ989" s="9"/>
      <c r="UA989" s="9"/>
      <c r="UB989" s="9"/>
      <c r="UC989" s="9"/>
      <c r="UD989" s="9"/>
      <c r="UE989" s="9"/>
      <c r="UF989" s="9"/>
      <c r="UG989" s="9"/>
      <c r="UH989" s="9"/>
      <c r="UI989" s="9"/>
      <c r="UJ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/>
      <c r="FL990" s="9"/>
      <c r="FM990" s="9"/>
      <c r="FN990" s="9"/>
      <c r="FO990" s="9"/>
      <c r="FP990" s="9"/>
      <c r="FQ990" s="9"/>
      <c r="FR990" s="9"/>
      <c r="FS990" s="9"/>
      <c r="FT990" s="9"/>
      <c r="FU990" s="9"/>
      <c r="FV990" s="9"/>
      <c r="FW990" s="9"/>
      <c r="FX990" s="9"/>
      <c r="FY990" s="9"/>
      <c r="FZ990" s="9"/>
      <c r="GA990" s="9"/>
      <c r="GB990" s="9"/>
      <c r="GC990" s="9"/>
      <c r="GD990" s="9"/>
      <c r="GE990" s="9"/>
      <c r="GF990" s="9"/>
      <c r="GG990" s="9"/>
      <c r="GH990" s="9"/>
      <c r="GI990" s="9"/>
      <c r="GJ990" s="9"/>
      <c r="GK990" s="9"/>
      <c r="GL990" s="9"/>
      <c r="GM990" s="9"/>
      <c r="GN990" s="9"/>
      <c r="GO990" s="9"/>
      <c r="GP990" s="9"/>
      <c r="GQ990" s="9"/>
      <c r="GR990" s="9"/>
      <c r="GS990" s="9"/>
      <c r="GT990" s="9"/>
      <c r="GU990" s="9"/>
      <c r="GV990" s="9"/>
      <c r="GW990" s="9"/>
      <c r="GX990" s="9"/>
      <c r="GY990" s="9"/>
      <c r="GZ990" s="9"/>
      <c r="HA990" s="9"/>
      <c r="HB990" s="9"/>
      <c r="HC990" s="9"/>
      <c r="HD990" s="9"/>
      <c r="HE990" s="9"/>
      <c r="HF990" s="9"/>
      <c r="HG990" s="9"/>
      <c r="HH990" s="9"/>
      <c r="HI990" s="9"/>
      <c r="HJ990" s="9"/>
      <c r="HK990" s="9"/>
      <c r="HL990" s="9"/>
      <c r="HM990" s="9"/>
      <c r="HN990" s="9"/>
      <c r="HO990" s="9"/>
      <c r="HP990" s="9"/>
      <c r="HQ990" s="9"/>
      <c r="HR990" s="9"/>
      <c r="HS990" s="9"/>
      <c r="HT990" s="9"/>
      <c r="HU990" s="9"/>
      <c r="HV990" s="9"/>
      <c r="HW990" s="9"/>
      <c r="HX990" s="9"/>
      <c r="HY990" s="9"/>
      <c r="HZ990" s="9"/>
      <c r="IA990" s="9"/>
      <c r="IB990" s="9"/>
      <c r="IC990" s="9"/>
      <c r="ID990" s="9"/>
      <c r="IE990" s="9"/>
      <c r="IF990" s="9"/>
      <c r="IG990" s="9"/>
      <c r="IH990" s="9"/>
      <c r="II990" s="9"/>
      <c r="IJ990" s="9"/>
      <c r="IK990" s="9"/>
      <c r="IL990" s="9"/>
      <c r="IM990" s="9"/>
      <c r="IN990" s="9"/>
      <c r="IO990" s="9"/>
      <c r="IP990" s="9"/>
      <c r="IQ990" s="9"/>
      <c r="IR990" s="9"/>
      <c r="IS990" s="9"/>
      <c r="IT990" s="9"/>
      <c r="IU990" s="9"/>
      <c r="IV990" s="9"/>
      <c r="IW990" s="9"/>
      <c r="IX990" s="9"/>
      <c r="IY990" s="9"/>
      <c r="IZ990" s="9"/>
      <c r="JA990" s="9"/>
      <c r="JB990" s="9"/>
      <c r="JC990" s="9"/>
      <c r="JD990" s="9"/>
      <c r="JE990" s="9"/>
      <c r="JF990" s="9"/>
      <c r="JG990" s="9"/>
      <c r="JH990" s="9"/>
      <c r="JI990" s="9"/>
      <c r="JJ990" s="9"/>
      <c r="JK990" s="9"/>
      <c r="JL990" s="9"/>
      <c r="JM990" s="9"/>
      <c r="JN990" s="9"/>
      <c r="JO990" s="9"/>
      <c r="JP990" s="9"/>
      <c r="JQ990" s="9"/>
      <c r="JR990" s="9"/>
      <c r="JS990" s="9"/>
      <c r="JT990" s="9"/>
      <c r="JU990" s="9"/>
      <c r="JV990" s="9"/>
      <c r="JW990" s="9"/>
      <c r="JX990" s="9"/>
      <c r="JY990" s="9"/>
      <c r="JZ990" s="9"/>
      <c r="KA990" s="9"/>
      <c r="KB990" s="9"/>
      <c r="KC990" s="9"/>
      <c r="KD990" s="9"/>
      <c r="KE990" s="9"/>
      <c r="KF990" s="9"/>
      <c r="KG990" s="9"/>
      <c r="KH990" s="9"/>
      <c r="KI990" s="9"/>
      <c r="KJ990" s="9"/>
      <c r="KK990" s="9"/>
      <c r="KL990" s="9"/>
      <c r="KM990" s="9"/>
      <c r="KN990" s="9"/>
      <c r="KO990" s="9"/>
      <c r="KP990" s="9"/>
      <c r="KQ990" s="9"/>
      <c r="KR990" s="9"/>
      <c r="KS990" s="9"/>
      <c r="KT990" s="9"/>
      <c r="KU990" s="9"/>
      <c r="KV990" s="9"/>
      <c r="KW990" s="9"/>
      <c r="KX990" s="9"/>
      <c r="KY990" s="9"/>
      <c r="KZ990" s="9"/>
      <c r="LA990" s="9"/>
      <c r="LB990" s="9"/>
      <c r="LC990" s="9"/>
      <c r="LD990" s="9"/>
      <c r="LE990" s="9"/>
      <c r="LF990" s="9"/>
      <c r="LG990" s="9"/>
      <c r="LH990" s="9"/>
      <c r="LI990" s="9"/>
      <c r="LJ990" s="9"/>
      <c r="LK990" s="9"/>
      <c r="LL990" s="9"/>
      <c r="LM990" s="9"/>
      <c r="LN990" s="9"/>
      <c r="LO990" s="9"/>
      <c r="LP990" s="9"/>
      <c r="LQ990" s="9"/>
      <c r="LR990" s="9"/>
      <c r="LS990" s="9"/>
      <c r="LT990" s="9"/>
      <c r="LU990" s="9"/>
      <c r="LV990" s="9"/>
      <c r="LW990" s="9"/>
      <c r="LX990" s="9"/>
      <c r="LY990" s="9"/>
      <c r="LZ990" s="9"/>
      <c r="MA990" s="9"/>
      <c r="MB990" s="9"/>
      <c r="MC990" s="9"/>
      <c r="MD990" s="9"/>
      <c r="ME990" s="9"/>
      <c r="MF990" s="9"/>
      <c r="MG990" s="9"/>
      <c r="MH990" s="9"/>
      <c r="MI990" s="9"/>
      <c r="MJ990" s="9"/>
      <c r="MK990" s="9"/>
      <c r="ML990" s="9"/>
      <c r="MM990" s="9"/>
      <c r="MN990" s="9"/>
      <c r="MO990" s="9"/>
      <c r="MP990" s="9"/>
      <c r="MQ990" s="9"/>
      <c r="MR990" s="9"/>
      <c r="MS990" s="9"/>
      <c r="MT990" s="9"/>
      <c r="MU990" s="9"/>
      <c r="MV990" s="9"/>
      <c r="MW990" s="9"/>
      <c r="MX990" s="9"/>
      <c r="MY990" s="9"/>
      <c r="MZ990" s="9"/>
      <c r="NA990" s="9"/>
      <c r="NB990" s="9"/>
      <c r="NC990" s="9"/>
      <c r="ND990" s="9"/>
      <c r="NE990" s="9"/>
      <c r="NF990" s="9"/>
      <c r="NG990" s="9"/>
      <c r="NH990" s="9"/>
      <c r="NI990" s="9"/>
      <c r="NJ990" s="9"/>
      <c r="NK990" s="9"/>
      <c r="NL990" s="9"/>
      <c r="NM990" s="9"/>
      <c r="NN990" s="9"/>
      <c r="NO990" s="9"/>
      <c r="NP990" s="9"/>
      <c r="NQ990" s="9"/>
      <c r="NR990" s="9"/>
      <c r="NS990" s="9"/>
      <c r="NT990" s="9"/>
      <c r="NU990" s="9"/>
      <c r="NV990" s="9"/>
      <c r="NW990" s="9"/>
      <c r="NX990" s="9"/>
      <c r="NY990" s="9"/>
      <c r="NZ990" s="9"/>
      <c r="OA990" s="9"/>
      <c r="OB990" s="9"/>
      <c r="OC990" s="9"/>
      <c r="OD990" s="9"/>
      <c r="OE990" s="9"/>
      <c r="OF990" s="9"/>
      <c r="OG990" s="9"/>
      <c r="OH990" s="9"/>
      <c r="OI990" s="9"/>
      <c r="OJ990" s="9"/>
      <c r="OK990" s="9"/>
      <c r="OL990" s="9"/>
      <c r="OM990" s="9"/>
      <c r="ON990" s="9"/>
      <c r="OO990" s="9"/>
      <c r="OP990" s="9"/>
      <c r="OQ990" s="9"/>
      <c r="OR990" s="9"/>
      <c r="OS990" s="9"/>
      <c r="OT990" s="9"/>
      <c r="OU990" s="9"/>
      <c r="OV990" s="9"/>
      <c r="OW990" s="9"/>
      <c r="OX990" s="9"/>
      <c r="OY990" s="9"/>
      <c r="OZ990" s="9"/>
      <c r="PA990" s="9"/>
      <c r="PB990" s="9"/>
      <c r="PC990" s="9"/>
      <c r="PD990" s="9"/>
      <c r="PE990" s="9"/>
      <c r="PF990" s="9"/>
      <c r="PG990" s="9"/>
      <c r="PH990" s="9"/>
      <c r="PI990" s="9"/>
      <c r="PJ990" s="9"/>
      <c r="PK990" s="9"/>
      <c r="PL990" s="9"/>
      <c r="PM990" s="9"/>
      <c r="PN990" s="9"/>
      <c r="PO990" s="9"/>
      <c r="PP990" s="9"/>
      <c r="PQ990" s="9"/>
      <c r="PR990" s="9"/>
      <c r="PS990" s="9"/>
      <c r="PT990" s="9"/>
      <c r="PU990" s="9"/>
      <c r="PV990" s="9"/>
      <c r="PW990" s="9"/>
      <c r="PX990" s="9"/>
      <c r="PY990" s="9"/>
      <c r="PZ990" s="9"/>
      <c r="QA990" s="9"/>
      <c r="QB990" s="9"/>
      <c r="QC990" s="9"/>
      <c r="QD990" s="9"/>
      <c r="QE990" s="9"/>
      <c r="QF990" s="9"/>
      <c r="QG990" s="9"/>
      <c r="QH990" s="9"/>
      <c r="QI990" s="9"/>
      <c r="QJ990" s="9"/>
      <c r="QK990" s="9"/>
      <c r="QL990" s="9"/>
      <c r="QM990" s="9"/>
      <c r="QN990" s="9"/>
      <c r="QO990" s="9"/>
      <c r="QP990" s="9"/>
      <c r="QQ990" s="9"/>
      <c r="QR990" s="9"/>
      <c r="QS990" s="9"/>
      <c r="QT990" s="9"/>
      <c r="QU990" s="9"/>
      <c r="QV990" s="9"/>
      <c r="QW990" s="9"/>
      <c r="QX990" s="9"/>
      <c r="QY990" s="9"/>
      <c r="QZ990" s="9"/>
      <c r="RA990" s="9"/>
      <c r="RB990" s="9"/>
      <c r="RC990" s="9"/>
      <c r="RD990" s="9"/>
      <c r="RE990" s="9"/>
      <c r="RF990" s="9"/>
      <c r="RG990" s="9"/>
      <c r="RH990" s="9"/>
      <c r="RI990" s="9"/>
      <c r="RJ990" s="9"/>
      <c r="RK990" s="9"/>
      <c r="RL990" s="9"/>
      <c r="RM990" s="9"/>
      <c r="RN990" s="9"/>
      <c r="RO990" s="9"/>
      <c r="RP990" s="9"/>
      <c r="RQ990" s="9"/>
      <c r="RR990" s="9"/>
      <c r="RS990" s="9"/>
      <c r="RT990" s="9"/>
      <c r="RU990" s="9"/>
      <c r="RV990" s="9"/>
      <c r="RW990" s="9"/>
      <c r="RX990" s="9"/>
      <c r="RY990" s="9"/>
      <c r="RZ990" s="9"/>
      <c r="SA990" s="9"/>
      <c r="SB990" s="9"/>
      <c r="SC990" s="9"/>
      <c r="SD990" s="9"/>
      <c r="SE990" s="9"/>
      <c r="SF990" s="9"/>
      <c r="SG990" s="9"/>
      <c r="SH990" s="9"/>
      <c r="SI990" s="9"/>
      <c r="SJ990" s="9"/>
      <c r="SK990" s="9"/>
      <c r="SL990" s="9"/>
      <c r="SM990" s="9"/>
      <c r="SN990" s="9"/>
      <c r="SO990" s="9"/>
      <c r="SP990" s="9"/>
      <c r="SQ990" s="9"/>
      <c r="SR990" s="9"/>
      <c r="SS990" s="9"/>
      <c r="ST990" s="9"/>
      <c r="SU990" s="9"/>
      <c r="SV990" s="9"/>
      <c r="SW990" s="9"/>
      <c r="SX990" s="9"/>
      <c r="SY990" s="9"/>
      <c r="SZ990" s="9"/>
      <c r="TA990" s="9"/>
      <c r="TB990" s="9"/>
      <c r="TC990" s="9"/>
      <c r="TD990" s="9"/>
      <c r="TE990" s="9"/>
      <c r="TF990" s="9"/>
      <c r="TG990" s="9"/>
      <c r="TH990" s="9"/>
      <c r="TI990" s="9"/>
      <c r="TJ990" s="9"/>
      <c r="TK990" s="9"/>
      <c r="TL990" s="9"/>
      <c r="TM990" s="9"/>
      <c r="TN990" s="9"/>
      <c r="TO990" s="9"/>
      <c r="TP990" s="9"/>
      <c r="TQ990" s="9"/>
      <c r="TR990" s="9"/>
      <c r="TS990" s="9"/>
      <c r="TT990" s="9"/>
      <c r="TU990" s="9"/>
      <c r="TV990" s="9"/>
      <c r="TW990" s="9"/>
      <c r="TX990" s="9"/>
      <c r="TY990" s="9"/>
      <c r="TZ990" s="9"/>
      <c r="UA990" s="9"/>
      <c r="UB990" s="9"/>
      <c r="UC990" s="9"/>
      <c r="UD990" s="9"/>
      <c r="UE990" s="9"/>
      <c r="UF990" s="9"/>
      <c r="UG990" s="9"/>
      <c r="UH990" s="9"/>
      <c r="UI990" s="9"/>
      <c r="UJ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/>
      <c r="FL991" s="9"/>
      <c r="FM991" s="9"/>
      <c r="FN991" s="9"/>
      <c r="FO991" s="9"/>
      <c r="FP991" s="9"/>
      <c r="FQ991" s="9"/>
      <c r="FR991" s="9"/>
      <c r="FS991" s="9"/>
      <c r="FT991" s="9"/>
      <c r="FU991" s="9"/>
      <c r="FV991" s="9"/>
      <c r="FW991" s="9"/>
      <c r="FX991" s="9"/>
      <c r="FY991" s="9"/>
      <c r="FZ991" s="9"/>
      <c r="GA991" s="9"/>
      <c r="GB991" s="9"/>
      <c r="GC991" s="9"/>
      <c r="GD991" s="9"/>
      <c r="GE991" s="9"/>
      <c r="GF991" s="9"/>
      <c r="GG991" s="9"/>
      <c r="GH991" s="9"/>
      <c r="GI991" s="9"/>
      <c r="GJ991" s="9"/>
      <c r="GK991" s="9"/>
      <c r="GL991" s="9"/>
      <c r="GM991" s="9"/>
      <c r="GN991" s="9"/>
      <c r="GO991" s="9"/>
      <c r="GP991" s="9"/>
      <c r="GQ991" s="9"/>
      <c r="GR991" s="9"/>
      <c r="GS991" s="9"/>
      <c r="GT991" s="9"/>
      <c r="GU991" s="9"/>
      <c r="GV991" s="9"/>
      <c r="GW991" s="9"/>
      <c r="GX991" s="9"/>
      <c r="GY991" s="9"/>
      <c r="GZ991" s="9"/>
      <c r="HA991" s="9"/>
      <c r="HB991" s="9"/>
      <c r="HC991" s="9"/>
      <c r="HD991" s="9"/>
      <c r="HE991" s="9"/>
      <c r="HF991" s="9"/>
      <c r="HG991" s="9"/>
      <c r="HH991" s="9"/>
      <c r="HI991" s="9"/>
      <c r="HJ991" s="9"/>
      <c r="HK991" s="9"/>
      <c r="HL991" s="9"/>
      <c r="HM991" s="9"/>
      <c r="HN991" s="9"/>
      <c r="HO991" s="9"/>
      <c r="HP991" s="9"/>
      <c r="HQ991" s="9"/>
      <c r="HR991" s="9"/>
      <c r="HS991" s="9"/>
      <c r="HT991" s="9"/>
      <c r="HU991" s="9"/>
      <c r="HV991" s="9"/>
      <c r="HW991" s="9"/>
      <c r="HX991" s="9"/>
      <c r="HY991" s="9"/>
      <c r="HZ991" s="9"/>
      <c r="IA991" s="9"/>
      <c r="IB991" s="9"/>
      <c r="IC991" s="9"/>
      <c r="ID991" s="9"/>
      <c r="IE991" s="9"/>
      <c r="IF991" s="9"/>
      <c r="IG991" s="9"/>
      <c r="IH991" s="9"/>
      <c r="II991" s="9"/>
      <c r="IJ991" s="9"/>
      <c r="IK991" s="9"/>
      <c r="IL991" s="9"/>
      <c r="IM991" s="9"/>
      <c r="IN991" s="9"/>
      <c r="IO991" s="9"/>
      <c r="IP991" s="9"/>
      <c r="IQ991" s="9"/>
      <c r="IR991" s="9"/>
      <c r="IS991" s="9"/>
      <c r="IT991" s="9"/>
      <c r="IU991" s="9"/>
      <c r="IV991" s="9"/>
      <c r="IW991" s="9"/>
      <c r="IX991" s="9"/>
      <c r="IY991" s="9"/>
      <c r="IZ991" s="9"/>
      <c r="JA991" s="9"/>
      <c r="JB991" s="9"/>
      <c r="JC991" s="9"/>
      <c r="JD991" s="9"/>
      <c r="JE991" s="9"/>
      <c r="JF991" s="9"/>
      <c r="JG991" s="9"/>
      <c r="JH991" s="9"/>
      <c r="JI991" s="9"/>
      <c r="JJ991" s="9"/>
      <c r="JK991" s="9"/>
      <c r="JL991" s="9"/>
      <c r="JM991" s="9"/>
      <c r="JN991" s="9"/>
      <c r="JO991" s="9"/>
      <c r="JP991" s="9"/>
      <c r="JQ991" s="9"/>
      <c r="JR991" s="9"/>
      <c r="JS991" s="9"/>
      <c r="JT991" s="9"/>
      <c r="JU991" s="9"/>
      <c r="JV991" s="9"/>
      <c r="JW991" s="9"/>
      <c r="JX991" s="9"/>
      <c r="JY991" s="9"/>
      <c r="JZ991" s="9"/>
      <c r="KA991" s="9"/>
      <c r="KB991" s="9"/>
      <c r="KC991" s="9"/>
      <c r="KD991" s="9"/>
      <c r="KE991" s="9"/>
      <c r="KF991" s="9"/>
      <c r="KG991" s="9"/>
      <c r="KH991" s="9"/>
      <c r="KI991" s="9"/>
      <c r="KJ991" s="9"/>
      <c r="KK991" s="9"/>
      <c r="KL991" s="9"/>
      <c r="KM991" s="9"/>
      <c r="KN991" s="9"/>
      <c r="KO991" s="9"/>
      <c r="KP991" s="9"/>
      <c r="KQ991" s="9"/>
      <c r="KR991" s="9"/>
      <c r="KS991" s="9"/>
      <c r="KT991" s="9"/>
      <c r="KU991" s="9"/>
      <c r="KV991" s="9"/>
      <c r="KW991" s="9"/>
      <c r="KX991" s="9"/>
      <c r="KY991" s="9"/>
      <c r="KZ991" s="9"/>
      <c r="LA991" s="9"/>
      <c r="LB991" s="9"/>
      <c r="LC991" s="9"/>
      <c r="LD991" s="9"/>
      <c r="LE991" s="9"/>
      <c r="LF991" s="9"/>
      <c r="LG991" s="9"/>
      <c r="LH991" s="9"/>
      <c r="LI991" s="9"/>
      <c r="LJ991" s="9"/>
      <c r="LK991" s="9"/>
      <c r="LL991" s="9"/>
      <c r="LM991" s="9"/>
      <c r="LN991" s="9"/>
      <c r="LO991" s="9"/>
      <c r="LP991" s="9"/>
      <c r="LQ991" s="9"/>
      <c r="LR991" s="9"/>
      <c r="LS991" s="9"/>
      <c r="LT991" s="9"/>
      <c r="LU991" s="9"/>
      <c r="LV991" s="9"/>
      <c r="LW991" s="9"/>
      <c r="LX991" s="9"/>
      <c r="LY991" s="9"/>
      <c r="LZ991" s="9"/>
      <c r="MA991" s="9"/>
      <c r="MB991" s="9"/>
      <c r="MC991" s="9"/>
      <c r="MD991" s="9"/>
      <c r="ME991" s="9"/>
      <c r="MF991" s="9"/>
      <c r="MG991" s="9"/>
      <c r="MH991" s="9"/>
      <c r="MI991" s="9"/>
      <c r="MJ991" s="9"/>
      <c r="MK991" s="9"/>
      <c r="ML991" s="9"/>
      <c r="MM991" s="9"/>
      <c r="MN991" s="9"/>
      <c r="MO991" s="9"/>
      <c r="MP991" s="9"/>
      <c r="MQ991" s="9"/>
      <c r="MR991" s="9"/>
      <c r="MS991" s="9"/>
      <c r="MT991" s="9"/>
      <c r="MU991" s="9"/>
      <c r="MV991" s="9"/>
      <c r="MW991" s="9"/>
      <c r="MX991" s="9"/>
      <c r="MY991" s="9"/>
      <c r="MZ991" s="9"/>
      <c r="NA991" s="9"/>
      <c r="NB991" s="9"/>
      <c r="NC991" s="9"/>
      <c r="ND991" s="9"/>
      <c r="NE991" s="9"/>
      <c r="NF991" s="9"/>
      <c r="NG991" s="9"/>
      <c r="NH991" s="9"/>
      <c r="NI991" s="9"/>
      <c r="NJ991" s="9"/>
      <c r="NK991" s="9"/>
      <c r="NL991" s="9"/>
      <c r="NM991" s="9"/>
      <c r="NN991" s="9"/>
      <c r="NO991" s="9"/>
      <c r="NP991" s="9"/>
      <c r="NQ991" s="9"/>
      <c r="NR991" s="9"/>
      <c r="NS991" s="9"/>
      <c r="NT991" s="9"/>
      <c r="NU991" s="9"/>
      <c r="NV991" s="9"/>
      <c r="NW991" s="9"/>
      <c r="NX991" s="9"/>
      <c r="NY991" s="9"/>
      <c r="NZ991" s="9"/>
      <c r="OA991" s="9"/>
      <c r="OB991" s="9"/>
      <c r="OC991" s="9"/>
      <c r="OD991" s="9"/>
      <c r="OE991" s="9"/>
      <c r="OF991" s="9"/>
      <c r="OG991" s="9"/>
      <c r="OH991" s="9"/>
      <c r="OI991" s="9"/>
      <c r="OJ991" s="9"/>
      <c r="OK991" s="9"/>
      <c r="OL991" s="9"/>
      <c r="OM991" s="9"/>
      <c r="ON991" s="9"/>
      <c r="OO991" s="9"/>
      <c r="OP991" s="9"/>
      <c r="OQ991" s="9"/>
      <c r="OR991" s="9"/>
      <c r="OS991" s="9"/>
      <c r="OT991" s="9"/>
      <c r="OU991" s="9"/>
      <c r="OV991" s="9"/>
      <c r="OW991" s="9"/>
      <c r="OX991" s="9"/>
      <c r="OY991" s="9"/>
      <c r="OZ991" s="9"/>
      <c r="PA991" s="9"/>
      <c r="PB991" s="9"/>
      <c r="PC991" s="9"/>
      <c r="PD991" s="9"/>
      <c r="PE991" s="9"/>
      <c r="PF991" s="9"/>
      <c r="PG991" s="9"/>
      <c r="PH991" s="9"/>
      <c r="PI991" s="9"/>
      <c r="PJ991" s="9"/>
      <c r="PK991" s="9"/>
      <c r="PL991" s="9"/>
      <c r="PM991" s="9"/>
      <c r="PN991" s="9"/>
      <c r="PO991" s="9"/>
      <c r="PP991" s="9"/>
      <c r="PQ991" s="9"/>
      <c r="PR991" s="9"/>
      <c r="PS991" s="9"/>
      <c r="PT991" s="9"/>
      <c r="PU991" s="9"/>
      <c r="PV991" s="9"/>
      <c r="PW991" s="9"/>
      <c r="PX991" s="9"/>
      <c r="PY991" s="9"/>
      <c r="PZ991" s="9"/>
      <c r="QA991" s="9"/>
      <c r="QB991" s="9"/>
      <c r="QC991" s="9"/>
      <c r="QD991" s="9"/>
      <c r="QE991" s="9"/>
      <c r="QF991" s="9"/>
      <c r="QG991" s="9"/>
      <c r="QH991" s="9"/>
      <c r="QI991" s="9"/>
      <c r="QJ991" s="9"/>
      <c r="QK991" s="9"/>
      <c r="QL991" s="9"/>
      <c r="QM991" s="9"/>
      <c r="QN991" s="9"/>
      <c r="QO991" s="9"/>
      <c r="QP991" s="9"/>
      <c r="QQ991" s="9"/>
      <c r="QR991" s="9"/>
      <c r="QS991" s="9"/>
      <c r="QT991" s="9"/>
      <c r="QU991" s="9"/>
      <c r="QV991" s="9"/>
      <c r="QW991" s="9"/>
      <c r="QX991" s="9"/>
      <c r="QY991" s="9"/>
      <c r="QZ991" s="9"/>
      <c r="RA991" s="9"/>
      <c r="RB991" s="9"/>
      <c r="RC991" s="9"/>
      <c r="RD991" s="9"/>
      <c r="RE991" s="9"/>
      <c r="RF991" s="9"/>
      <c r="RG991" s="9"/>
      <c r="RH991" s="9"/>
      <c r="RI991" s="9"/>
      <c r="RJ991" s="9"/>
      <c r="RK991" s="9"/>
      <c r="RL991" s="9"/>
      <c r="RM991" s="9"/>
      <c r="RN991" s="9"/>
      <c r="RO991" s="9"/>
      <c r="RP991" s="9"/>
      <c r="RQ991" s="9"/>
      <c r="RR991" s="9"/>
      <c r="RS991" s="9"/>
      <c r="RT991" s="9"/>
      <c r="RU991" s="9"/>
      <c r="RV991" s="9"/>
      <c r="RW991" s="9"/>
      <c r="RX991" s="9"/>
      <c r="RY991" s="9"/>
      <c r="RZ991" s="9"/>
      <c r="SA991" s="9"/>
      <c r="SB991" s="9"/>
      <c r="SC991" s="9"/>
      <c r="SD991" s="9"/>
      <c r="SE991" s="9"/>
      <c r="SF991" s="9"/>
      <c r="SG991" s="9"/>
      <c r="SH991" s="9"/>
      <c r="SI991" s="9"/>
      <c r="SJ991" s="9"/>
      <c r="SK991" s="9"/>
      <c r="SL991" s="9"/>
      <c r="SM991" s="9"/>
      <c r="SN991" s="9"/>
      <c r="SO991" s="9"/>
      <c r="SP991" s="9"/>
      <c r="SQ991" s="9"/>
      <c r="SR991" s="9"/>
      <c r="SS991" s="9"/>
      <c r="ST991" s="9"/>
      <c r="SU991" s="9"/>
      <c r="SV991" s="9"/>
      <c r="SW991" s="9"/>
      <c r="SX991" s="9"/>
      <c r="SY991" s="9"/>
      <c r="SZ991" s="9"/>
      <c r="TA991" s="9"/>
      <c r="TB991" s="9"/>
      <c r="TC991" s="9"/>
      <c r="TD991" s="9"/>
      <c r="TE991" s="9"/>
      <c r="TF991" s="9"/>
      <c r="TG991" s="9"/>
      <c r="TH991" s="9"/>
      <c r="TI991" s="9"/>
      <c r="TJ991" s="9"/>
      <c r="TK991" s="9"/>
      <c r="TL991" s="9"/>
      <c r="TM991" s="9"/>
      <c r="TN991" s="9"/>
      <c r="TO991" s="9"/>
      <c r="TP991" s="9"/>
      <c r="TQ991" s="9"/>
      <c r="TR991" s="9"/>
      <c r="TS991" s="9"/>
      <c r="TT991" s="9"/>
      <c r="TU991" s="9"/>
      <c r="TV991" s="9"/>
      <c r="TW991" s="9"/>
      <c r="TX991" s="9"/>
      <c r="TY991" s="9"/>
      <c r="TZ991" s="9"/>
      <c r="UA991" s="9"/>
      <c r="UB991" s="9"/>
      <c r="UC991" s="9"/>
      <c r="UD991" s="9"/>
      <c r="UE991" s="9"/>
      <c r="UF991" s="9"/>
      <c r="UG991" s="9"/>
      <c r="UH991" s="9"/>
      <c r="UI991" s="9"/>
      <c r="UJ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9"/>
      <c r="GV992" s="9"/>
      <c r="GW992" s="9"/>
      <c r="GX992" s="9"/>
      <c r="GY992" s="9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  <c r="HO992" s="9"/>
      <c r="HP992" s="9"/>
      <c r="HQ992" s="9"/>
      <c r="HR992" s="9"/>
      <c r="HS992" s="9"/>
      <c r="HT992" s="9"/>
      <c r="HU992" s="9"/>
      <c r="HV992" s="9"/>
      <c r="HW992" s="9"/>
      <c r="HX992" s="9"/>
      <c r="HY992" s="9"/>
      <c r="HZ992" s="9"/>
      <c r="IA992" s="9"/>
      <c r="IB992" s="9"/>
      <c r="IC992" s="9"/>
      <c r="ID992" s="9"/>
      <c r="IE992" s="9"/>
      <c r="IF992" s="9"/>
      <c r="IG992" s="9"/>
      <c r="IH992" s="9"/>
      <c r="II992" s="9"/>
      <c r="IJ992" s="9"/>
      <c r="IK992" s="9"/>
      <c r="IL992" s="9"/>
      <c r="IM992" s="9"/>
      <c r="IN992" s="9"/>
      <c r="IO992" s="9"/>
      <c r="IP992" s="9"/>
      <c r="IQ992" s="9"/>
      <c r="IR992" s="9"/>
      <c r="IS992" s="9"/>
      <c r="IT992" s="9"/>
      <c r="IU992" s="9"/>
      <c r="IV992" s="9"/>
      <c r="IW992" s="9"/>
      <c r="IX992" s="9"/>
      <c r="IY992" s="9"/>
      <c r="IZ992" s="9"/>
      <c r="JA992" s="9"/>
      <c r="JB992" s="9"/>
      <c r="JC992" s="9"/>
      <c r="JD992" s="9"/>
      <c r="JE992" s="9"/>
      <c r="JF992" s="9"/>
      <c r="JG992" s="9"/>
      <c r="JH992" s="9"/>
      <c r="JI992" s="9"/>
      <c r="JJ992" s="9"/>
      <c r="JK992" s="9"/>
      <c r="JL992" s="9"/>
      <c r="JM992" s="9"/>
      <c r="JN992" s="9"/>
      <c r="JO992" s="9"/>
      <c r="JP992" s="9"/>
      <c r="JQ992" s="9"/>
      <c r="JR992" s="9"/>
      <c r="JS992" s="9"/>
      <c r="JT992" s="9"/>
      <c r="JU992" s="9"/>
      <c r="JV992" s="9"/>
      <c r="JW992" s="9"/>
      <c r="JX992" s="9"/>
      <c r="JY992" s="9"/>
      <c r="JZ992" s="9"/>
      <c r="KA992" s="9"/>
      <c r="KB992" s="9"/>
      <c r="KC992" s="9"/>
      <c r="KD992" s="9"/>
      <c r="KE992" s="9"/>
      <c r="KF992" s="9"/>
      <c r="KG992" s="9"/>
      <c r="KH992" s="9"/>
      <c r="KI992" s="9"/>
      <c r="KJ992" s="9"/>
      <c r="KK992" s="9"/>
      <c r="KL992" s="9"/>
      <c r="KM992" s="9"/>
      <c r="KN992" s="9"/>
      <c r="KO992" s="9"/>
      <c r="KP992" s="9"/>
      <c r="KQ992" s="9"/>
      <c r="KR992" s="9"/>
      <c r="KS992" s="9"/>
      <c r="KT992" s="9"/>
      <c r="KU992" s="9"/>
      <c r="KV992" s="9"/>
      <c r="KW992" s="9"/>
      <c r="KX992" s="9"/>
      <c r="KY992" s="9"/>
      <c r="KZ992" s="9"/>
      <c r="LA992" s="9"/>
      <c r="LB992" s="9"/>
      <c r="LC992" s="9"/>
      <c r="LD992" s="9"/>
      <c r="LE992" s="9"/>
      <c r="LF992" s="9"/>
      <c r="LG992" s="9"/>
      <c r="LH992" s="9"/>
      <c r="LI992" s="9"/>
      <c r="LJ992" s="9"/>
      <c r="LK992" s="9"/>
      <c r="LL992" s="9"/>
      <c r="LM992" s="9"/>
      <c r="LN992" s="9"/>
      <c r="LO992" s="9"/>
      <c r="LP992" s="9"/>
      <c r="LQ992" s="9"/>
      <c r="LR992" s="9"/>
      <c r="LS992" s="9"/>
      <c r="LT992" s="9"/>
      <c r="LU992" s="9"/>
      <c r="LV992" s="9"/>
      <c r="LW992" s="9"/>
      <c r="LX992" s="9"/>
      <c r="LY992" s="9"/>
      <c r="LZ992" s="9"/>
      <c r="MA992" s="9"/>
      <c r="MB992" s="9"/>
      <c r="MC992" s="9"/>
      <c r="MD992" s="9"/>
      <c r="ME992" s="9"/>
      <c r="MF992" s="9"/>
      <c r="MG992" s="9"/>
      <c r="MH992" s="9"/>
      <c r="MI992" s="9"/>
      <c r="MJ992" s="9"/>
      <c r="MK992" s="9"/>
      <c r="ML992" s="9"/>
      <c r="MM992" s="9"/>
      <c r="MN992" s="9"/>
      <c r="MO992" s="9"/>
      <c r="MP992" s="9"/>
      <c r="MQ992" s="9"/>
      <c r="MR992" s="9"/>
      <c r="MS992" s="9"/>
      <c r="MT992" s="9"/>
      <c r="MU992" s="9"/>
      <c r="MV992" s="9"/>
      <c r="MW992" s="9"/>
      <c r="MX992" s="9"/>
      <c r="MY992" s="9"/>
      <c r="MZ992" s="9"/>
      <c r="NA992" s="9"/>
      <c r="NB992" s="9"/>
      <c r="NC992" s="9"/>
      <c r="ND992" s="9"/>
      <c r="NE992" s="9"/>
      <c r="NF992" s="9"/>
      <c r="NG992" s="9"/>
      <c r="NH992" s="9"/>
      <c r="NI992" s="9"/>
      <c r="NJ992" s="9"/>
      <c r="NK992" s="9"/>
      <c r="NL992" s="9"/>
      <c r="NM992" s="9"/>
      <c r="NN992" s="9"/>
      <c r="NO992" s="9"/>
      <c r="NP992" s="9"/>
      <c r="NQ992" s="9"/>
      <c r="NR992" s="9"/>
      <c r="NS992" s="9"/>
      <c r="NT992" s="9"/>
      <c r="NU992" s="9"/>
      <c r="NV992" s="9"/>
      <c r="NW992" s="9"/>
      <c r="NX992" s="9"/>
      <c r="NY992" s="9"/>
      <c r="NZ992" s="9"/>
      <c r="OA992" s="9"/>
      <c r="OB992" s="9"/>
      <c r="OC992" s="9"/>
      <c r="OD992" s="9"/>
      <c r="OE992" s="9"/>
      <c r="OF992" s="9"/>
      <c r="OG992" s="9"/>
      <c r="OH992" s="9"/>
      <c r="OI992" s="9"/>
      <c r="OJ992" s="9"/>
      <c r="OK992" s="9"/>
      <c r="OL992" s="9"/>
      <c r="OM992" s="9"/>
      <c r="ON992" s="9"/>
      <c r="OO992" s="9"/>
      <c r="OP992" s="9"/>
      <c r="OQ992" s="9"/>
      <c r="OR992" s="9"/>
      <c r="OS992" s="9"/>
      <c r="OT992" s="9"/>
      <c r="OU992" s="9"/>
      <c r="OV992" s="9"/>
      <c r="OW992" s="9"/>
      <c r="OX992" s="9"/>
      <c r="OY992" s="9"/>
      <c r="OZ992" s="9"/>
      <c r="PA992" s="9"/>
      <c r="PB992" s="9"/>
      <c r="PC992" s="9"/>
      <c r="PD992" s="9"/>
      <c r="PE992" s="9"/>
      <c r="PF992" s="9"/>
      <c r="PG992" s="9"/>
      <c r="PH992" s="9"/>
      <c r="PI992" s="9"/>
      <c r="PJ992" s="9"/>
      <c r="PK992" s="9"/>
      <c r="PL992" s="9"/>
      <c r="PM992" s="9"/>
      <c r="PN992" s="9"/>
      <c r="PO992" s="9"/>
      <c r="PP992" s="9"/>
      <c r="PQ992" s="9"/>
      <c r="PR992" s="9"/>
      <c r="PS992" s="9"/>
      <c r="PT992" s="9"/>
      <c r="PU992" s="9"/>
      <c r="PV992" s="9"/>
      <c r="PW992" s="9"/>
      <c r="PX992" s="9"/>
      <c r="PY992" s="9"/>
      <c r="PZ992" s="9"/>
      <c r="QA992" s="9"/>
      <c r="QB992" s="9"/>
      <c r="QC992" s="9"/>
      <c r="QD992" s="9"/>
      <c r="QE992" s="9"/>
      <c r="QF992" s="9"/>
      <c r="QG992" s="9"/>
      <c r="QH992" s="9"/>
      <c r="QI992" s="9"/>
      <c r="QJ992" s="9"/>
      <c r="QK992" s="9"/>
      <c r="QL992" s="9"/>
      <c r="QM992" s="9"/>
      <c r="QN992" s="9"/>
      <c r="QO992" s="9"/>
      <c r="QP992" s="9"/>
      <c r="QQ992" s="9"/>
      <c r="QR992" s="9"/>
      <c r="QS992" s="9"/>
      <c r="QT992" s="9"/>
      <c r="QU992" s="9"/>
      <c r="QV992" s="9"/>
      <c r="QW992" s="9"/>
      <c r="QX992" s="9"/>
      <c r="QY992" s="9"/>
      <c r="QZ992" s="9"/>
      <c r="RA992" s="9"/>
      <c r="RB992" s="9"/>
      <c r="RC992" s="9"/>
      <c r="RD992" s="9"/>
      <c r="RE992" s="9"/>
      <c r="RF992" s="9"/>
      <c r="RG992" s="9"/>
      <c r="RH992" s="9"/>
      <c r="RI992" s="9"/>
      <c r="RJ992" s="9"/>
      <c r="RK992" s="9"/>
      <c r="RL992" s="9"/>
      <c r="RM992" s="9"/>
      <c r="RN992" s="9"/>
      <c r="RO992" s="9"/>
      <c r="RP992" s="9"/>
      <c r="RQ992" s="9"/>
      <c r="RR992" s="9"/>
      <c r="RS992" s="9"/>
      <c r="RT992" s="9"/>
      <c r="RU992" s="9"/>
      <c r="RV992" s="9"/>
      <c r="RW992" s="9"/>
      <c r="RX992" s="9"/>
      <c r="RY992" s="9"/>
      <c r="RZ992" s="9"/>
      <c r="SA992" s="9"/>
      <c r="SB992" s="9"/>
      <c r="SC992" s="9"/>
      <c r="SD992" s="9"/>
      <c r="SE992" s="9"/>
      <c r="SF992" s="9"/>
      <c r="SG992" s="9"/>
      <c r="SH992" s="9"/>
      <c r="SI992" s="9"/>
      <c r="SJ992" s="9"/>
      <c r="SK992" s="9"/>
      <c r="SL992" s="9"/>
      <c r="SM992" s="9"/>
      <c r="SN992" s="9"/>
      <c r="SO992" s="9"/>
      <c r="SP992" s="9"/>
      <c r="SQ992" s="9"/>
      <c r="SR992" s="9"/>
      <c r="SS992" s="9"/>
      <c r="ST992" s="9"/>
      <c r="SU992" s="9"/>
      <c r="SV992" s="9"/>
      <c r="SW992" s="9"/>
      <c r="SX992" s="9"/>
      <c r="SY992" s="9"/>
      <c r="SZ992" s="9"/>
      <c r="TA992" s="9"/>
      <c r="TB992" s="9"/>
      <c r="TC992" s="9"/>
      <c r="TD992" s="9"/>
      <c r="TE992" s="9"/>
      <c r="TF992" s="9"/>
      <c r="TG992" s="9"/>
      <c r="TH992" s="9"/>
      <c r="TI992" s="9"/>
      <c r="TJ992" s="9"/>
      <c r="TK992" s="9"/>
      <c r="TL992" s="9"/>
      <c r="TM992" s="9"/>
      <c r="TN992" s="9"/>
      <c r="TO992" s="9"/>
      <c r="TP992" s="9"/>
      <c r="TQ992" s="9"/>
      <c r="TR992" s="9"/>
      <c r="TS992" s="9"/>
      <c r="TT992" s="9"/>
      <c r="TU992" s="9"/>
      <c r="TV992" s="9"/>
      <c r="TW992" s="9"/>
      <c r="TX992" s="9"/>
      <c r="TY992" s="9"/>
      <c r="TZ992" s="9"/>
      <c r="UA992" s="9"/>
      <c r="UB992" s="9"/>
      <c r="UC992" s="9"/>
      <c r="UD992" s="9"/>
      <c r="UE992" s="9"/>
      <c r="UF992" s="9"/>
      <c r="UG992" s="9"/>
      <c r="UH992" s="9"/>
      <c r="UI992" s="9"/>
      <c r="UJ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9"/>
      <c r="GV993" s="9"/>
      <c r="GW993" s="9"/>
      <c r="GX993" s="9"/>
      <c r="GY993" s="9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  <c r="HO993" s="9"/>
      <c r="HP993" s="9"/>
      <c r="HQ993" s="9"/>
      <c r="HR993" s="9"/>
      <c r="HS993" s="9"/>
      <c r="HT993" s="9"/>
      <c r="HU993" s="9"/>
      <c r="HV993" s="9"/>
      <c r="HW993" s="9"/>
      <c r="HX993" s="9"/>
      <c r="HY993" s="9"/>
      <c r="HZ993" s="9"/>
      <c r="IA993" s="9"/>
      <c r="IB993" s="9"/>
      <c r="IC993" s="9"/>
      <c r="ID993" s="9"/>
      <c r="IE993" s="9"/>
      <c r="IF993" s="9"/>
      <c r="IG993" s="9"/>
      <c r="IH993" s="9"/>
      <c r="II993" s="9"/>
      <c r="IJ993" s="9"/>
      <c r="IK993" s="9"/>
      <c r="IL993" s="9"/>
      <c r="IM993" s="9"/>
      <c r="IN993" s="9"/>
      <c r="IO993" s="9"/>
      <c r="IP993" s="9"/>
      <c r="IQ993" s="9"/>
      <c r="IR993" s="9"/>
      <c r="IS993" s="9"/>
      <c r="IT993" s="9"/>
      <c r="IU993" s="9"/>
      <c r="IV993" s="9"/>
      <c r="IW993" s="9"/>
      <c r="IX993" s="9"/>
      <c r="IY993" s="9"/>
      <c r="IZ993" s="9"/>
      <c r="JA993" s="9"/>
      <c r="JB993" s="9"/>
      <c r="JC993" s="9"/>
      <c r="JD993" s="9"/>
      <c r="JE993" s="9"/>
      <c r="JF993" s="9"/>
      <c r="JG993" s="9"/>
      <c r="JH993" s="9"/>
      <c r="JI993" s="9"/>
      <c r="JJ993" s="9"/>
      <c r="JK993" s="9"/>
      <c r="JL993" s="9"/>
      <c r="JM993" s="9"/>
      <c r="JN993" s="9"/>
      <c r="JO993" s="9"/>
      <c r="JP993" s="9"/>
      <c r="JQ993" s="9"/>
      <c r="JR993" s="9"/>
      <c r="JS993" s="9"/>
      <c r="JT993" s="9"/>
      <c r="JU993" s="9"/>
      <c r="JV993" s="9"/>
      <c r="JW993" s="9"/>
      <c r="JX993" s="9"/>
      <c r="JY993" s="9"/>
      <c r="JZ993" s="9"/>
      <c r="KA993" s="9"/>
      <c r="KB993" s="9"/>
      <c r="KC993" s="9"/>
      <c r="KD993" s="9"/>
      <c r="KE993" s="9"/>
      <c r="KF993" s="9"/>
      <c r="KG993" s="9"/>
      <c r="KH993" s="9"/>
      <c r="KI993" s="9"/>
      <c r="KJ993" s="9"/>
      <c r="KK993" s="9"/>
      <c r="KL993" s="9"/>
      <c r="KM993" s="9"/>
      <c r="KN993" s="9"/>
      <c r="KO993" s="9"/>
      <c r="KP993" s="9"/>
      <c r="KQ993" s="9"/>
      <c r="KR993" s="9"/>
      <c r="KS993" s="9"/>
      <c r="KT993" s="9"/>
      <c r="KU993" s="9"/>
      <c r="KV993" s="9"/>
      <c r="KW993" s="9"/>
      <c r="KX993" s="9"/>
      <c r="KY993" s="9"/>
      <c r="KZ993" s="9"/>
      <c r="LA993" s="9"/>
      <c r="LB993" s="9"/>
      <c r="LC993" s="9"/>
      <c r="LD993" s="9"/>
      <c r="LE993" s="9"/>
      <c r="LF993" s="9"/>
      <c r="LG993" s="9"/>
      <c r="LH993" s="9"/>
      <c r="LI993" s="9"/>
      <c r="LJ993" s="9"/>
      <c r="LK993" s="9"/>
      <c r="LL993" s="9"/>
      <c r="LM993" s="9"/>
      <c r="LN993" s="9"/>
      <c r="LO993" s="9"/>
      <c r="LP993" s="9"/>
      <c r="LQ993" s="9"/>
      <c r="LR993" s="9"/>
      <c r="LS993" s="9"/>
      <c r="LT993" s="9"/>
      <c r="LU993" s="9"/>
      <c r="LV993" s="9"/>
      <c r="LW993" s="9"/>
      <c r="LX993" s="9"/>
      <c r="LY993" s="9"/>
      <c r="LZ993" s="9"/>
      <c r="MA993" s="9"/>
      <c r="MB993" s="9"/>
      <c r="MC993" s="9"/>
      <c r="MD993" s="9"/>
      <c r="ME993" s="9"/>
      <c r="MF993" s="9"/>
      <c r="MG993" s="9"/>
      <c r="MH993" s="9"/>
      <c r="MI993" s="9"/>
      <c r="MJ993" s="9"/>
      <c r="MK993" s="9"/>
      <c r="ML993" s="9"/>
      <c r="MM993" s="9"/>
      <c r="MN993" s="9"/>
      <c r="MO993" s="9"/>
      <c r="MP993" s="9"/>
      <c r="MQ993" s="9"/>
      <c r="MR993" s="9"/>
      <c r="MS993" s="9"/>
      <c r="MT993" s="9"/>
      <c r="MU993" s="9"/>
      <c r="MV993" s="9"/>
      <c r="MW993" s="9"/>
      <c r="MX993" s="9"/>
      <c r="MY993" s="9"/>
      <c r="MZ993" s="9"/>
      <c r="NA993" s="9"/>
      <c r="NB993" s="9"/>
      <c r="NC993" s="9"/>
      <c r="ND993" s="9"/>
      <c r="NE993" s="9"/>
      <c r="NF993" s="9"/>
      <c r="NG993" s="9"/>
      <c r="NH993" s="9"/>
      <c r="NI993" s="9"/>
      <c r="NJ993" s="9"/>
      <c r="NK993" s="9"/>
      <c r="NL993" s="9"/>
      <c r="NM993" s="9"/>
      <c r="NN993" s="9"/>
      <c r="NO993" s="9"/>
      <c r="NP993" s="9"/>
      <c r="NQ993" s="9"/>
      <c r="NR993" s="9"/>
      <c r="NS993" s="9"/>
      <c r="NT993" s="9"/>
      <c r="NU993" s="9"/>
      <c r="NV993" s="9"/>
      <c r="NW993" s="9"/>
      <c r="NX993" s="9"/>
      <c r="NY993" s="9"/>
      <c r="NZ993" s="9"/>
      <c r="OA993" s="9"/>
      <c r="OB993" s="9"/>
      <c r="OC993" s="9"/>
      <c r="OD993" s="9"/>
      <c r="OE993" s="9"/>
      <c r="OF993" s="9"/>
      <c r="OG993" s="9"/>
      <c r="OH993" s="9"/>
      <c r="OI993" s="9"/>
      <c r="OJ993" s="9"/>
      <c r="OK993" s="9"/>
      <c r="OL993" s="9"/>
      <c r="OM993" s="9"/>
      <c r="ON993" s="9"/>
      <c r="OO993" s="9"/>
      <c r="OP993" s="9"/>
      <c r="OQ993" s="9"/>
      <c r="OR993" s="9"/>
      <c r="OS993" s="9"/>
      <c r="OT993" s="9"/>
      <c r="OU993" s="9"/>
      <c r="OV993" s="9"/>
      <c r="OW993" s="9"/>
      <c r="OX993" s="9"/>
      <c r="OY993" s="9"/>
      <c r="OZ993" s="9"/>
      <c r="PA993" s="9"/>
      <c r="PB993" s="9"/>
      <c r="PC993" s="9"/>
      <c r="PD993" s="9"/>
      <c r="PE993" s="9"/>
      <c r="PF993" s="9"/>
      <c r="PG993" s="9"/>
      <c r="PH993" s="9"/>
      <c r="PI993" s="9"/>
      <c r="PJ993" s="9"/>
      <c r="PK993" s="9"/>
      <c r="PL993" s="9"/>
      <c r="PM993" s="9"/>
      <c r="PN993" s="9"/>
      <c r="PO993" s="9"/>
      <c r="PP993" s="9"/>
      <c r="PQ993" s="9"/>
      <c r="PR993" s="9"/>
      <c r="PS993" s="9"/>
      <c r="PT993" s="9"/>
      <c r="PU993" s="9"/>
      <c r="PV993" s="9"/>
      <c r="PW993" s="9"/>
      <c r="PX993" s="9"/>
      <c r="PY993" s="9"/>
      <c r="PZ993" s="9"/>
      <c r="QA993" s="9"/>
      <c r="QB993" s="9"/>
      <c r="QC993" s="9"/>
      <c r="QD993" s="9"/>
      <c r="QE993" s="9"/>
      <c r="QF993" s="9"/>
      <c r="QG993" s="9"/>
      <c r="QH993" s="9"/>
      <c r="QI993" s="9"/>
      <c r="QJ993" s="9"/>
      <c r="QK993" s="9"/>
      <c r="QL993" s="9"/>
      <c r="QM993" s="9"/>
      <c r="QN993" s="9"/>
      <c r="QO993" s="9"/>
      <c r="QP993" s="9"/>
      <c r="QQ993" s="9"/>
      <c r="QR993" s="9"/>
      <c r="QS993" s="9"/>
      <c r="QT993" s="9"/>
      <c r="QU993" s="9"/>
      <c r="QV993" s="9"/>
      <c r="QW993" s="9"/>
      <c r="QX993" s="9"/>
      <c r="QY993" s="9"/>
      <c r="QZ993" s="9"/>
      <c r="RA993" s="9"/>
      <c r="RB993" s="9"/>
      <c r="RC993" s="9"/>
      <c r="RD993" s="9"/>
      <c r="RE993" s="9"/>
      <c r="RF993" s="9"/>
      <c r="RG993" s="9"/>
      <c r="RH993" s="9"/>
      <c r="RI993" s="9"/>
      <c r="RJ993" s="9"/>
      <c r="RK993" s="9"/>
      <c r="RL993" s="9"/>
      <c r="RM993" s="9"/>
      <c r="RN993" s="9"/>
      <c r="RO993" s="9"/>
      <c r="RP993" s="9"/>
      <c r="RQ993" s="9"/>
      <c r="RR993" s="9"/>
      <c r="RS993" s="9"/>
      <c r="RT993" s="9"/>
      <c r="RU993" s="9"/>
      <c r="RV993" s="9"/>
      <c r="RW993" s="9"/>
      <c r="RX993" s="9"/>
      <c r="RY993" s="9"/>
      <c r="RZ993" s="9"/>
      <c r="SA993" s="9"/>
      <c r="SB993" s="9"/>
      <c r="SC993" s="9"/>
      <c r="SD993" s="9"/>
      <c r="SE993" s="9"/>
      <c r="SF993" s="9"/>
      <c r="SG993" s="9"/>
      <c r="SH993" s="9"/>
      <c r="SI993" s="9"/>
      <c r="SJ993" s="9"/>
      <c r="SK993" s="9"/>
      <c r="SL993" s="9"/>
      <c r="SM993" s="9"/>
      <c r="SN993" s="9"/>
      <c r="SO993" s="9"/>
      <c r="SP993" s="9"/>
      <c r="SQ993" s="9"/>
      <c r="SR993" s="9"/>
      <c r="SS993" s="9"/>
      <c r="ST993" s="9"/>
      <c r="SU993" s="9"/>
      <c r="SV993" s="9"/>
      <c r="SW993" s="9"/>
      <c r="SX993" s="9"/>
      <c r="SY993" s="9"/>
      <c r="SZ993" s="9"/>
      <c r="TA993" s="9"/>
      <c r="TB993" s="9"/>
      <c r="TC993" s="9"/>
      <c r="TD993" s="9"/>
      <c r="TE993" s="9"/>
      <c r="TF993" s="9"/>
      <c r="TG993" s="9"/>
      <c r="TH993" s="9"/>
      <c r="TI993" s="9"/>
      <c r="TJ993" s="9"/>
      <c r="TK993" s="9"/>
      <c r="TL993" s="9"/>
      <c r="TM993" s="9"/>
      <c r="TN993" s="9"/>
      <c r="TO993" s="9"/>
      <c r="TP993" s="9"/>
      <c r="TQ993" s="9"/>
      <c r="TR993" s="9"/>
      <c r="TS993" s="9"/>
      <c r="TT993" s="9"/>
      <c r="TU993" s="9"/>
      <c r="TV993" s="9"/>
      <c r="TW993" s="9"/>
      <c r="TX993" s="9"/>
      <c r="TY993" s="9"/>
      <c r="TZ993" s="9"/>
      <c r="UA993" s="9"/>
      <c r="UB993" s="9"/>
      <c r="UC993" s="9"/>
      <c r="UD993" s="9"/>
      <c r="UE993" s="9"/>
      <c r="UF993" s="9"/>
      <c r="UG993" s="9"/>
      <c r="UH993" s="9"/>
      <c r="UI993" s="9"/>
      <c r="UJ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  <c r="FL994" s="9"/>
      <c r="FM994" s="9"/>
      <c r="FN994" s="9"/>
      <c r="FO994" s="9"/>
      <c r="FP994" s="9"/>
      <c r="FQ994" s="9"/>
      <c r="FR994" s="9"/>
      <c r="FS994" s="9"/>
      <c r="FT994" s="9"/>
      <c r="FU994" s="9"/>
      <c r="FV994" s="9"/>
      <c r="FW994" s="9"/>
      <c r="FX994" s="9"/>
      <c r="FY994" s="9"/>
      <c r="FZ994" s="9"/>
      <c r="GA994" s="9"/>
      <c r="GB994" s="9"/>
      <c r="GC994" s="9"/>
      <c r="GD994" s="9"/>
      <c r="GE994" s="9"/>
      <c r="GF994" s="9"/>
      <c r="GG994" s="9"/>
      <c r="GH994" s="9"/>
      <c r="GI994" s="9"/>
      <c r="GJ994" s="9"/>
      <c r="GK994" s="9"/>
      <c r="GL994" s="9"/>
      <c r="GM994" s="9"/>
      <c r="GN994" s="9"/>
      <c r="GO994" s="9"/>
      <c r="GP994" s="9"/>
      <c r="GQ994" s="9"/>
      <c r="GR994" s="9"/>
      <c r="GS994" s="9"/>
      <c r="GT994" s="9"/>
      <c r="GU994" s="9"/>
      <c r="GV994" s="9"/>
      <c r="GW994" s="9"/>
      <c r="GX994" s="9"/>
      <c r="GY994" s="9"/>
      <c r="GZ994" s="9"/>
      <c r="HA994" s="9"/>
      <c r="HB994" s="9"/>
      <c r="HC994" s="9"/>
      <c r="HD994" s="9"/>
      <c r="HE994" s="9"/>
      <c r="HF994" s="9"/>
      <c r="HG994" s="9"/>
      <c r="HH994" s="9"/>
      <c r="HI994" s="9"/>
      <c r="HJ994" s="9"/>
      <c r="HK994" s="9"/>
      <c r="HL994" s="9"/>
      <c r="HM994" s="9"/>
      <c r="HN994" s="9"/>
      <c r="HO994" s="9"/>
      <c r="HP994" s="9"/>
      <c r="HQ994" s="9"/>
      <c r="HR994" s="9"/>
      <c r="HS994" s="9"/>
      <c r="HT994" s="9"/>
      <c r="HU994" s="9"/>
      <c r="HV994" s="9"/>
      <c r="HW994" s="9"/>
      <c r="HX994" s="9"/>
      <c r="HY994" s="9"/>
      <c r="HZ994" s="9"/>
      <c r="IA994" s="9"/>
      <c r="IB994" s="9"/>
      <c r="IC994" s="9"/>
      <c r="ID994" s="9"/>
      <c r="IE994" s="9"/>
      <c r="IF994" s="9"/>
      <c r="IG994" s="9"/>
      <c r="IH994" s="9"/>
      <c r="II994" s="9"/>
      <c r="IJ994" s="9"/>
      <c r="IK994" s="9"/>
      <c r="IL994" s="9"/>
      <c r="IM994" s="9"/>
      <c r="IN994" s="9"/>
      <c r="IO994" s="9"/>
      <c r="IP994" s="9"/>
      <c r="IQ994" s="9"/>
      <c r="IR994" s="9"/>
      <c r="IS994" s="9"/>
      <c r="IT994" s="9"/>
      <c r="IU994" s="9"/>
      <c r="IV994" s="9"/>
      <c r="IW994" s="9"/>
      <c r="IX994" s="9"/>
      <c r="IY994" s="9"/>
      <c r="IZ994" s="9"/>
      <c r="JA994" s="9"/>
      <c r="JB994" s="9"/>
      <c r="JC994" s="9"/>
      <c r="JD994" s="9"/>
      <c r="JE994" s="9"/>
      <c r="JF994" s="9"/>
      <c r="JG994" s="9"/>
      <c r="JH994" s="9"/>
      <c r="JI994" s="9"/>
      <c r="JJ994" s="9"/>
      <c r="JK994" s="9"/>
      <c r="JL994" s="9"/>
      <c r="JM994" s="9"/>
      <c r="JN994" s="9"/>
      <c r="JO994" s="9"/>
      <c r="JP994" s="9"/>
      <c r="JQ994" s="9"/>
      <c r="JR994" s="9"/>
      <c r="JS994" s="9"/>
      <c r="JT994" s="9"/>
      <c r="JU994" s="9"/>
      <c r="JV994" s="9"/>
      <c r="JW994" s="9"/>
      <c r="JX994" s="9"/>
      <c r="JY994" s="9"/>
      <c r="JZ994" s="9"/>
      <c r="KA994" s="9"/>
      <c r="KB994" s="9"/>
      <c r="KC994" s="9"/>
      <c r="KD994" s="9"/>
      <c r="KE994" s="9"/>
      <c r="KF994" s="9"/>
      <c r="KG994" s="9"/>
      <c r="KH994" s="9"/>
      <c r="KI994" s="9"/>
      <c r="KJ994" s="9"/>
      <c r="KK994" s="9"/>
      <c r="KL994" s="9"/>
      <c r="KM994" s="9"/>
      <c r="KN994" s="9"/>
      <c r="KO994" s="9"/>
      <c r="KP994" s="9"/>
      <c r="KQ994" s="9"/>
      <c r="KR994" s="9"/>
      <c r="KS994" s="9"/>
      <c r="KT994" s="9"/>
      <c r="KU994" s="9"/>
      <c r="KV994" s="9"/>
      <c r="KW994" s="9"/>
      <c r="KX994" s="9"/>
      <c r="KY994" s="9"/>
      <c r="KZ994" s="9"/>
      <c r="LA994" s="9"/>
      <c r="LB994" s="9"/>
      <c r="LC994" s="9"/>
      <c r="LD994" s="9"/>
      <c r="LE994" s="9"/>
      <c r="LF994" s="9"/>
      <c r="LG994" s="9"/>
      <c r="LH994" s="9"/>
      <c r="LI994" s="9"/>
      <c r="LJ994" s="9"/>
      <c r="LK994" s="9"/>
      <c r="LL994" s="9"/>
      <c r="LM994" s="9"/>
      <c r="LN994" s="9"/>
      <c r="LO994" s="9"/>
      <c r="LP994" s="9"/>
      <c r="LQ994" s="9"/>
      <c r="LR994" s="9"/>
      <c r="LS994" s="9"/>
      <c r="LT994" s="9"/>
      <c r="LU994" s="9"/>
      <c r="LV994" s="9"/>
      <c r="LW994" s="9"/>
      <c r="LX994" s="9"/>
      <c r="LY994" s="9"/>
      <c r="LZ994" s="9"/>
      <c r="MA994" s="9"/>
      <c r="MB994" s="9"/>
      <c r="MC994" s="9"/>
      <c r="MD994" s="9"/>
      <c r="ME994" s="9"/>
      <c r="MF994" s="9"/>
      <c r="MG994" s="9"/>
      <c r="MH994" s="9"/>
      <c r="MI994" s="9"/>
      <c r="MJ994" s="9"/>
      <c r="MK994" s="9"/>
      <c r="ML994" s="9"/>
      <c r="MM994" s="9"/>
      <c r="MN994" s="9"/>
      <c r="MO994" s="9"/>
      <c r="MP994" s="9"/>
      <c r="MQ994" s="9"/>
      <c r="MR994" s="9"/>
      <c r="MS994" s="9"/>
      <c r="MT994" s="9"/>
      <c r="MU994" s="9"/>
      <c r="MV994" s="9"/>
      <c r="MW994" s="9"/>
      <c r="MX994" s="9"/>
      <c r="MY994" s="9"/>
      <c r="MZ994" s="9"/>
      <c r="NA994" s="9"/>
      <c r="NB994" s="9"/>
      <c r="NC994" s="9"/>
      <c r="ND994" s="9"/>
      <c r="NE994" s="9"/>
      <c r="NF994" s="9"/>
      <c r="NG994" s="9"/>
      <c r="NH994" s="9"/>
      <c r="NI994" s="9"/>
      <c r="NJ994" s="9"/>
      <c r="NK994" s="9"/>
      <c r="NL994" s="9"/>
      <c r="NM994" s="9"/>
      <c r="NN994" s="9"/>
      <c r="NO994" s="9"/>
      <c r="NP994" s="9"/>
      <c r="NQ994" s="9"/>
      <c r="NR994" s="9"/>
      <c r="NS994" s="9"/>
      <c r="NT994" s="9"/>
      <c r="NU994" s="9"/>
      <c r="NV994" s="9"/>
      <c r="NW994" s="9"/>
      <c r="NX994" s="9"/>
      <c r="NY994" s="9"/>
      <c r="NZ994" s="9"/>
      <c r="OA994" s="9"/>
      <c r="OB994" s="9"/>
      <c r="OC994" s="9"/>
      <c r="OD994" s="9"/>
      <c r="OE994" s="9"/>
      <c r="OF994" s="9"/>
      <c r="OG994" s="9"/>
      <c r="OH994" s="9"/>
      <c r="OI994" s="9"/>
      <c r="OJ994" s="9"/>
      <c r="OK994" s="9"/>
      <c r="OL994" s="9"/>
      <c r="OM994" s="9"/>
      <c r="ON994" s="9"/>
      <c r="OO994" s="9"/>
      <c r="OP994" s="9"/>
      <c r="OQ994" s="9"/>
      <c r="OR994" s="9"/>
      <c r="OS994" s="9"/>
      <c r="OT994" s="9"/>
      <c r="OU994" s="9"/>
      <c r="OV994" s="9"/>
      <c r="OW994" s="9"/>
      <c r="OX994" s="9"/>
      <c r="OY994" s="9"/>
      <c r="OZ994" s="9"/>
      <c r="PA994" s="9"/>
      <c r="PB994" s="9"/>
      <c r="PC994" s="9"/>
      <c r="PD994" s="9"/>
      <c r="PE994" s="9"/>
      <c r="PF994" s="9"/>
      <c r="PG994" s="9"/>
      <c r="PH994" s="9"/>
      <c r="PI994" s="9"/>
      <c r="PJ994" s="9"/>
      <c r="PK994" s="9"/>
      <c r="PL994" s="9"/>
      <c r="PM994" s="9"/>
      <c r="PN994" s="9"/>
      <c r="PO994" s="9"/>
      <c r="PP994" s="9"/>
      <c r="PQ994" s="9"/>
      <c r="PR994" s="9"/>
      <c r="PS994" s="9"/>
      <c r="PT994" s="9"/>
      <c r="PU994" s="9"/>
      <c r="PV994" s="9"/>
      <c r="PW994" s="9"/>
      <c r="PX994" s="9"/>
      <c r="PY994" s="9"/>
      <c r="PZ994" s="9"/>
      <c r="QA994" s="9"/>
      <c r="QB994" s="9"/>
      <c r="QC994" s="9"/>
      <c r="QD994" s="9"/>
      <c r="QE994" s="9"/>
      <c r="QF994" s="9"/>
      <c r="QG994" s="9"/>
      <c r="QH994" s="9"/>
      <c r="QI994" s="9"/>
      <c r="QJ994" s="9"/>
      <c r="QK994" s="9"/>
      <c r="QL994" s="9"/>
      <c r="QM994" s="9"/>
      <c r="QN994" s="9"/>
      <c r="QO994" s="9"/>
      <c r="QP994" s="9"/>
      <c r="QQ994" s="9"/>
      <c r="QR994" s="9"/>
      <c r="QS994" s="9"/>
      <c r="QT994" s="9"/>
      <c r="QU994" s="9"/>
      <c r="QV994" s="9"/>
      <c r="QW994" s="9"/>
      <c r="QX994" s="9"/>
      <c r="QY994" s="9"/>
      <c r="QZ994" s="9"/>
      <c r="RA994" s="9"/>
      <c r="RB994" s="9"/>
      <c r="RC994" s="9"/>
      <c r="RD994" s="9"/>
      <c r="RE994" s="9"/>
      <c r="RF994" s="9"/>
      <c r="RG994" s="9"/>
      <c r="RH994" s="9"/>
      <c r="RI994" s="9"/>
      <c r="RJ994" s="9"/>
      <c r="RK994" s="9"/>
      <c r="RL994" s="9"/>
      <c r="RM994" s="9"/>
      <c r="RN994" s="9"/>
      <c r="RO994" s="9"/>
      <c r="RP994" s="9"/>
      <c r="RQ994" s="9"/>
      <c r="RR994" s="9"/>
      <c r="RS994" s="9"/>
      <c r="RT994" s="9"/>
      <c r="RU994" s="9"/>
      <c r="RV994" s="9"/>
      <c r="RW994" s="9"/>
      <c r="RX994" s="9"/>
      <c r="RY994" s="9"/>
      <c r="RZ994" s="9"/>
      <c r="SA994" s="9"/>
      <c r="SB994" s="9"/>
      <c r="SC994" s="9"/>
      <c r="SD994" s="9"/>
      <c r="SE994" s="9"/>
      <c r="SF994" s="9"/>
      <c r="SG994" s="9"/>
      <c r="SH994" s="9"/>
      <c r="SI994" s="9"/>
      <c r="SJ994" s="9"/>
      <c r="SK994" s="9"/>
      <c r="SL994" s="9"/>
      <c r="SM994" s="9"/>
      <c r="SN994" s="9"/>
      <c r="SO994" s="9"/>
      <c r="SP994" s="9"/>
      <c r="SQ994" s="9"/>
      <c r="SR994" s="9"/>
      <c r="SS994" s="9"/>
      <c r="ST994" s="9"/>
      <c r="SU994" s="9"/>
      <c r="SV994" s="9"/>
      <c r="SW994" s="9"/>
      <c r="SX994" s="9"/>
      <c r="SY994" s="9"/>
      <c r="SZ994" s="9"/>
      <c r="TA994" s="9"/>
      <c r="TB994" s="9"/>
      <c r="TC994" s="9"/>
      <c r="TD994" s="9"/>
      <c r="TE994" s="9"/>
      <c r="TF994" s="9"/>
      <c r="TG994" s="9"/>
      <c r="TH994" s="9"/>
      <c r="TI994" s="9"/>
      <c r="TJ994" s="9"/>
      <c r="TK994" s="9"/>
      <c r="TL994" s="9"/>
      <c r="TM994" s="9"/>
      <c r="TN994" s="9"/>
      <c r="TO994" s="9"/>
      <c r="TP994" s="9"/>
      <c r="TQ994" s="9"/>
      <c r="TR994" s="9"/>
      <c r="TS994" s="9"/>
      <c r="TT994" s="9"/>
      <c r="TU994" s="9"/>
      <c r="TV994" s="9"/>
      <c r="TW994" s="9"/>
      <c r="TX994" s="9"/>
      <c r="TY994" s="9"/>
      <c r="TZ994" s="9"/>
      <c r="UA994" s="9"/>
      <c r="UB994" s="9"/>
      <c r="UC994" s="9"/>
      <c r="UD994" s="9"/>
      <c r="UE994" s="9"/>
      <c r="UF994" s="9"/>
      <c r="UG994" s="9"/>
      <c r="UH994" s="9"/>
      <c r="UI994" s="9"/>
      <c r="UJ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  <c r="EL995" s="9"/>
      <c r="EM995" s="9"/>
      <c r="EN995" s="9"/>
      <c r="EO995" s="9"/>
      <c r="EP995" s="9"/>
      <c r="EQ995" s="9"/>
      <c r="ER995" s="9"/>
      <c r="ES995" s="9"/>
      <c r="ET995" s="9"/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9"/>
      <c r="FS995" s="9"/>
      <c r="FT995" s="9"/>
      <c r="FU995" s="9"/>
      <c r="FV995" s="9"/>
      <c r="FW995" s="9"/>
      <c r="FX995" s="9"/>
      <c r="FY995" s="9"/>
      <c r="FZ995" s="9"/>
      <c r="GA995" s="9"/>
      <c r="GB995" s="9"/>
      <c r="GC995" s="9"/>
      <c r="GD995" s="9"/>
      <c r="GE995" s="9"/>
      <c r="GF995" s="9"/>
      <c r="GG995" s="9"/>
      <c r="GH995" s="9"/>
      <c r="GI995" s="9"/>
      <c r="GJ995" s="9"/>
      <c r="GK995" s="9"/>
      <c r="GL995" s="9"/>
      <c r="GM995" s="9"/>
      <c r="GN995" s="9"/>
      <c r="GO995" s="9"/>
      <c r="GP995" s="9"/>
      <c r="GQ995" s="9"/>
      <c r="GR995" s="9"/>
      <c r="GS995" s="9"/>
      <c r="GT995" s="9"/>
      <c r="GU995" s="9"/>
      <c r="GV995" s="9"/>
      <c r="GW995" s="9"/>
      <c r="GX995" s="9"/>
      <c r="GY995" s="9"/>
      <c r="GZ995" s="9"/>
      <c r="HA995" s="9"/>
      <c r="HB995" s="9"/>
      <c r="HC995" s="9"/>
      <c r="HD995" s="9"/>
      <c r="HE995" s="9"/>
      <c r="HF995" s="9"/>
      <c r="HG995" s="9"/>
      <c r="HH995" s="9"/>
      <c r="HI995" s="9"/>
      <c r="HJ995" s="9"/>
      <c r="HK995" s="9"/>
      <c r="HL995" s="9"/>
      <c r="HM995" s="9"/>
      <c r="HN995" s="9"/>
      <c r="HO995" s="9"/>
      <c r="HP995" s="9"/>
      <c r="HQ995" s="9"/>
      <c r="HR995" s="9"/>
      <c r="HS995" s="9"/>
      <c r="HT995" s="9"/>
      <c r="HU995" s="9"/>
      <c r="HV995" s="9"/>
      <c r="HW995" s="9"/>
      <c r="HX995" s="9"/>
      <c r="HY995" s="9"/>
      <c r="HZ995" s="9"/>
      <c r="IA995" s="9"/>
      <c r="IB995" s="9"/>
      <c r="IC995" s="9"/>
      <c r="ID995" s="9"/>
      <c r="IE995" s="9"/>
      <c r="IF995" s="9"/>
      <c r="IG995" s="9"/>
      <c r="IH995" s="9"/>
      <c r="II995" s="9"/>
      <c r="IJ995" s="9"/>
      <c r="IK995" s="9"/>
      <c r="IL995" s="9"/>
      <c r="IM995" s="9"/>
      <c r="IN995" s="9"/>
      <c r="IO995" s="9"/>
      <c r="IP995" s="9"/>
      <c r="IQ995" s="9"/>
      <c r="IR995" s="9"/>
      <c r="IS995" s="9"/>
      <c r="IT995" s="9"/>
      <c r="IU995" s="9"/>
      <c r="IV995" s="9"/>
      <c r="IW995" s="9"/>
      <c r="IX995" s="9"/>
      <c r="IY995" s="9"/>
      <c r="IZ995" s="9"/>
      <c r="JA995" s="9"/>
      <c r="JB995" s="9"/>
      <c r="JC995" s="9"/>
      <c r="JD995" s="9"/>
      <c r="JE995" s="9"/>
      <c r="JF995" s="9"/>
      <c r="JG995" s="9"/>
      <c r="JH995" s="9"/>
      <c r="JI995" s="9"/>
      <c r="JJ995" s="9"/>
      <c r="JK995" s="9"/>
      <c r="JL995" s="9"/>
      <c r="JM995" s="9"/>
      <c r="JN995" s="9"/>
      <c r="JO995" s="9"/>
      <c r="JP995" s="9"/>
      <c r="JQ995" s="9"/>
      <c r="JR995" s="9"/>
      <c r="JS995" s="9"/>
      <c r="JT995" s="9"/>
      <c r="JU995" s="9"/>
      <c r="JV995" s="9"/>
      <c r="JW995" s="9"/>
      <c r="JX995" s="9"/>
      <c r="JY995" s="9"/>
      <c r="JZ995" s="9"/>
      <c r="KA995" s="9"/>
      <c r="KB995" s="9"/>
      <c r="KC995" s="9"/>
      <c r="KD995" s="9"/>
      <c r="KE995" s="9"/>
      <c r="KF995" s="9"/>
      <c r="KG995" s="9"/>
      <c r="KH995" s="9"/>
      <c r="KI995" s="9"/>
      <c r="KJ995" s="9"/>
      <c r="KK995" s="9"/>
      <c r="KL995" s="9"/>
      <c r="KM995" s="9"/>
      <c r="KN995" s="9"/>
      <c r="KO995" s="9"/>
      <c r="KP995" s="9"/>
      <c r="KQ995" s="9"/>
      <c r="KR995" s="9"/>
      <c r="KS995" s="9"/>
      <c r="KT995" s="9"/>
      <c r="KU995" s="9"/>
      <c r="KV995" s="9"/>
      <c r="KW995" s="9"/>
      <c r="KX995" s="9"/>
      <c r="KY995" s="9"/>
      <c r="KZ995" s="9"/>
      <c r="LA995" s="9"/>
      <c r="LB995" s="9"/>
      <c r="LC995" s="9"/>
      <c r="LD995" s="9"/>
      <c r="LE995" s="9"/>
      <c r="LF995" s="9"/>
      <c r="LG995" s="9"/>
      <c r="LH995" s="9"/>
      <c r="LI995" s="9"/>
      <c r="LJ995" s="9"/>
      <c r="LK995" s="9"/>
      <c r="LL995" s="9"/>
      <c r="LM995" s="9"/>
      <c r="LN995" s="9"/>
      <c r="LO995" s="9"/>
      <c r="LP995" s="9"/>
      <c r="LQ995" s="9"/>
      <c r="LR995" s="9"/>
      <c r="LS995" s="9"/>
      <c r="LT995" s="9"/>
      <c r="LU995" s="9"/>
      <c r="LV995" s="9"/>
      <c r="LW995" s="9"/>
      <c r="LX995" s="9"/>
      <c r="LY995" s="9"/>
      <c r="LZ995" s="9"/>
      <c r="MA995" s="9"/>
      <c r="MB995" s="9"/>
      <c r="MC995" s="9"/>
      <c r="MD995" s="9"/>
      <c r="ME995" s="9"/>
      <c r="MF995" s="9"/>
      <c r="MG995" s="9"/>
      <c r="MH995" s="9"/>
      <c r="MI995" s="9"/>
      <c r="MJ995" s="9"/>
      <c r="MK995" s="9"/>
      <c r="ML995" s="9"/>
      <c r="MM995" s="9"/>
      <c r="MN995" s="9"/>
      <c r="MO995" s="9"/>
      <c r="MP995" s="9"/>
      <c r="MQ995" s="9"/>
      <c r="MR995" s="9"/>
      <c r="MS995" s="9"/>
      <c r="MT995" s="9"/>
      <c r="MU995" s="9"/>
      <c r="MV995" s="9"/>
      <c r="MW995" s="9"/>
      <c r="MX995" s="9"/>
      <c r="MY995" s="9"/>
      <c r="MZ995" s="9"/>
      <c r="NA995" s="9"/>
      <c r="NB995" s="9"/>
      <c r="NC995" s="9"/>
      <c r="ND995" s="9"/>
      <c r="NE995" s="9"/>
      <c r="NF995" s="9"/>
      <c r="NG995" s="9"/>
      <c r="NH995" s="9"/>
      <c r="NI995" s="9"/>
      <c r="NJ995" s="9"/>
      <c r="NK995" s="9"/>
      <c r="NL995" s="9"/>
      <c r="NM995" s="9"/>
      <c r="NN995" s="9"/>
      <c r="NO995" s="9"/>
      <c r="NP995" s="9"/>
      <c r="NQ995" s="9"/>
      <c r="NR995" s="9"/>
      <c r="NS995" s="9"/>
      <c r="NT995" s="9"/>
      <c r="NU995" s="9"/>
      <c r="NV995" s="9"/>
      <c r="NW995" s="9"/>
      <c r="NX995" s="9"/>
      <c r="NY995" s="9"/>
      <c r="NZ995" s="9"/>
      <c r="OA995" s="9"/>
      <c r="OB995" s="9"/>
      <c r="OC995" s="9"/>
      <c r="OD995" s="9"/>
      <c r="OE995" s="9"/>
      <c r="OF995" s="9"/>
      <c r="OG995" s="9"/>
      <c r="OH995" s="9"/>
      <c r="OI995" s="9"/>
      <c r="OJ995" s="9"/>
      <c r="OK995" s="9"/>
      <c r="OL995" s="9"/>
      <c r="OM995" s="9"/>
      <c r="ON995" s="9"/>
      <c r="OO995" s="9"/>
      <c r="OP995" s="9"/>
      <c r="OQ995" s="9"/>
      <c r="OR995" s="9"/>
      <c r="OS995" s="9"/>
      <c r="OT995" s="9"/>
      <c r="OU995" s="9"/>
      <c r="OV995" s="9"/>
      <c r="OW995" s="9"/>
      <c r="OX995" s="9"/>
      <c r="OY995" s="9"/>
      <c r="OZ995" s="9"/>
      <c r="PA995" s="9"/>
      <c r="PB995" s="9"/>
      <c r="PC995" s="9"/>
      <c r="PD995" s="9"/>
      <c r="PE995" s="9"/>
      <c r="PF995" s="9"/>
      <c r="PG995" s="9"/>
      <c r="PH995" s="9"/>
      <c r="PI995" s="9"/>
      <c r="PJ995" s="9"/>
      <c r="PK995" s="9"/>
      <c r="PL995" s="9"/>
      <c r="PM995" s="9"/>
      <c r="PN995" s="9"/>
      <c r="PO995" s="9"/>
      <c r="PP995" s="9"/>
      <c r="PQ995" s="9"/>
      <c r="PR995" s="9"/>
      <c r="PS995" s="9"/>
      <c r="PT995" s="9"/>
      <c r="PU995" s="9"/>
      <c r="PV995" s="9"/>
      <c r="PW995" s="9"/>
      <c r="PX995" s="9"/>
      <c r="PY995" s="9"/>
      <c r="PZ995" s="9"/>
      <c r="QA995" s="9"/>
      <c r="QB995" s="9"/>
      <c r="QC995" s="9"/>
      <c r="QD995" s="9"/>
      <c r="QE995" s="9"/>
      <c r="QF995" s="9"/>
      <c r="QG995" s="9"/>
      <c r="QH995" s="9"/>
      <c r="QI995" s="9"/>
      <c r="QJ995" s="9"/>
      <c r="QK995" s="9"/>
      <c r="QL995" s="9"/>
      <c r="QM995" s="9"/>
      <c r="QN995" s="9"/>
      <c r="QO995" s="9"/>
      <c r="QP995" s="9"/>
      <c r="QQ995" s="9"/>
      <c r="QR995" s="9"/>
      <c r="QS995" s="9"/>
      <c r="QT995" s="9"/>
      <c r="QU995" s="9"/>
      <c r="QV995" s="9"/>
      <c r="QW995" s="9"/>
      <c r="QX995" s="9"/>
      <c r="QY995" s="9"/>
      <c r="QZ995" s="9"/>
      <c r="RA995" s="9"/>
      <c r="RB995" s="9"/>
      <c r="RC995" s="9"/>
      <c r="RD995" s="9"/>
      <c r="RE995" s="9"/>
      <c r="RF995" s="9"/>
      <c r="RG995" s="9"/>
      <c r="RH995" s="9"/>
      <c r="RI995" s="9"/>
      <c r="RJ995" s="9"/>
      <c r="RK995" s="9"/>
      <c r="RL995" s="9"/>
      <c r="RM995" s="9"/>
      <c r="RN995" s="9"/>
      <c r="RO995" s="9"/>
      <c r="RP995" s="9"/>
      <c r="RQ995" s="9"/>
      <c r="RR995" s="9"/>
      <c r="RS995" s="9"/>
      <c r="RT995" s="9"/>
      <c r="RU995" s="9"/>
      <c r="RV995" s="9"/>
      <c r="RW995" s="9"/>
      <c r="RX995" s="9"/>
      <c r="RY995" s="9"/>
      <c r="RZ995" s="9"/>
      <c r="SA995" s="9"/>
      <c r="SB995" s="9"/>
      <c r="SC995" s="9"/>
      <c r="SD995" s="9"/>
      <c r="SE995" s="9"/>
      <c r="SF995" s="9"/>
      <c r="SG995" s="9"/>
      <c r="SH995" s="9"/>
      <c r="SI995" s="9"/>
      <c r="SJ995" s="9"/>
      <c r="SK995" s="9"/>
      <c r="SL995" s="9"/>
      <c r="SM995" s="9"/>
      <c r="SN995" s="9"/>
      <c r="SO995" s="9"/>
      <c r="SP995" s="9"/>
      <c r="SQ995" s="9"/>
      <c r="SR995" s="9"/>
      <c r="SS995" s="9"/>
      <c r="ST995" s="9"/>
      <c r="SU995" s="9"/>
      <c r="SV995" s="9"/>
      <c r="SW995" s="9"/>
      <c r="SX995" s="9"/>
      <c r="SY995" s="9"/>
      <c r="SZ995" s="9"/>
      <c r="TA995" s="9"/>
      <c r="TB995" s="9"/>
      <c r="TC995" s="9"/>
      <c r="TD995" s="9"/>
      <c r="TE995" s="9"/>
      <c r="TF995" s="9"/>
      <c r="TG995" s="9"/>
      <c r="TH995" s="9"/>
      <c r="TI995" s="9"/>
      <c r="TJ995" s="9"/>
      <c r="TK995" s="9"/>
      <c r="TL995" s="9"/>
      <c r="TM995" s="9"/>
      <c r="TN995" s="9"/>
      <c r="TO995" s="9"/>
      <c r="TP995" s="9"/>
      <c r="TQ995" s="9"/>
      <c r="TR995" s="9"/>
      <c r="TS995" s="9"/>
      <c r="TT995" s="9"/>
      <c r="TU995" s="9"/>
      <c r="TV995" s="9"/>
      <c r="TW995" s="9"/>
      <c r="TX995" s="9"/>
      <c r="TY995" s="9"/>
      <c r="TZ995" s="9"/>
      <c r="UA995" s="9"/>
      <c r="UB995" s="9"/>
      <c r="UC995" s="9"/>
      <c r="UD995" s="9"/>
      <c r="UE995" s="9"/>
      <c r="UF995" s="9"/>
      <c r="UG995" s="9"/>
      <c r="UH995" s="9"/>
      <c r="UI995" s="9"/>
      <c r="UJ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9"/>
      <c r="GV996" s="9"/>
      <c r="GW996" s="9"/>
      <c r="GX996" s="9"/>
      <c r="GY996" s="9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  <c r="HO996" s="9"/>
      <c r="HP996" s="9"/>
      <c r="HQ996" s="9"/>
      <c r="HR996" s="9"/>
      <c r="HS996" s="9"/>
      <c r="HT996" s="9"/>
      <c r="HU996" s="9"/>
      <c r="HV996" s="9"/>
      <c r="HW996" s="9"/>
      <c r="HX996" s="9"/>
      <c r="HY996" s="9"/>
      <c r="HZ996" s="9"/>
      <c r="IA996" s="9"/>
      <c r="IB996" s="9"/>
      <c r="IC996" s="9"/>
      <c r="ID996" s="9"/>
      <c r="IE996" s="9"/>
      <c r="IF996" s="9"/>
      <c r="IG996" s="9"/>
      <c r="IH996" s="9"/>
      <c r="II996" s="9"/>
      <c r="IJ996" s="9"/>
      <c r="IK996" s="9"/>
      <c r="IL996" s="9"/>
      <c r="IM996" s="9"/>
      <c r="IN996" s="9"/>
      <c r="IO996" s="9"/>
      <c r="IP996" s="9"/>
      <c r="IQ996" s="9"/>
      <c r="IR996" s="9"/>
      <c r="IS996" s="9"/>
      <c r="IT996" s="9"/>
      <c r="IU996" s="9"/>
      <c r="IV996" s="9"/>
      <c r="IW996" s="9"/>
      <c r="IX996" s="9"/>
      <c r="IY996" s="9"/>
      <c r="IZ996" s="9"/>
      <c r="JA996" s="9"/>
      <c r="JB996" s="9"/>
      <c r="JC996" s="9"/>
      <c r="JD996" s="9"/>
      <c r="JE996" s="9"/>
      <c r="JF996" s="9"/>
      <c r="JG996" s="9"/>
      <c r="JH996" s="9"/>
      <c r="JI996" s="9"/>
      <c r="JJ996" s="9"/>
      <c r="JK996" s="9"/>
      <c r="JL996" s="9"/>
      <c r="JM996" s="9"/>
      <c r="JN996" s="9"/>
      <c r="JO996" s="9"/>
      <c r="JP996" s="9"/>
      <c r="JQ996" s="9"/>
      <c r="JR996" s="9"/>
      <c r="JS996" s="9"/>
      <c r="JT996" s="9"/>
      <c r="JU996" s="9"/>
      <c r="JV996" s="9"/>
      <c r="JW996" s="9"/>
      <c r="JX996" s="9"/>
      <c r="JY996" s="9"/>
      <c r="JZ996" s="9"/>
      <c r="KA996" s="9"/>
      <c r="KB996" s="9"/>
      <c r="KC996" s="9"/>
      <c r="KD996" s="9"/>
      <c r="KE996" s="9"/>
      <c r="KF996" s="9"/>
      <c r="KG996" s="9"/>
      <c r="KH996" s="9"/>
      <c r="KI996" s="9"/>
      <c r="KJ996" s="9"/>
      <c r="KK996" s="9"/>
      <c r="KL996" s="9"/>
      <c r="KM996" s="9"/>
      <c r="KN996" s="9"/>
      <c r="KO996" s="9"/>
      <c r="KP996" s="9"/>
      <c r="KQ996" s="9"/>
      <c r="KR996" s="9"/>
      <c r="KS996" s="9"/>
      <c r="KT996" s="9"/>
      <c r="KU996" s="9"/>
      <c r="KV996" s="9"/>
      <c r="KW996" s="9"/>
      <c r="KX996" s="9"/>
      <c r="KY996" s="9"/>
      <c r="KZ996" s="9"/>
      <c r="LA996" s="9"/>
      <c r="LB996" s="9"/>
      <c r="LC996" s="9"/>
      <c r="LD996" s="9"/>
      <c r="LE996" s="9"/>
      <c r="LF996" s="9"/>
      <c r="LG996" s="9"/>
      <c r="LH996" s="9"/>
      <c r="LI996" s="9"/>
      <c r="LJ996" s="9"/>
      <c r="LK996" s="9"/>
      <c r="LL996" s="9"/>
      <c r="LM996" s="9"/>
      <c r="LN996" s="9"/>
      <c r="LO996" s="9"/>
      <c r="LP996" s="9"/>
      <c r="LQ996" s="9"/>
      <c r="LR996" s="9"/>
      <c r="LS996" s="9"/>
      <c r="LT996" s="9"/>
      <c r="LU996" s="9"/>
      <c r="LV996" s="9"/>
      <c r="LW996" s="9"/>
      <c r="LX996" s="9"/>
      <c r="LY996" s="9"/>
      <c r="LZ996" s="9"/>
      <c r="MA996" s="9"/>
      <c r="MB996" s="9"/>
      <c r="MC996" s="9"/>
      <c r="MD996" s="9"/>
      <c r="ME996" s="9"/>
      <c r="MF996" s="9"/>
      <c r="MG996" s="9"/>
      <c r="MH996" s="9"/>
      <c r="MI996" s="9"/>
      <c r="MJ996" s="9"/>
      <c r="MK996" s="9"/>
      <c r="ML996" s="9"/>
      <c r="MM996" s="9"/>
      <c r="MN996" s="9"/>
      <c r="MO996" s="9"/>
      <c r="MP996" s="9"/>
      <c r="MQ996" s="9"/>
      <c r="MR996" s="9"/>
      <c r="MS996" s="9"/>
      <c r="MT996" s="9"/>
      <c r="MU996" s="9"/>
      <c r="MV996" s="9"/>
      <c r="MW996" s="9"/>
      <c r="MX996" s="9"/>
      <c r="MY996" s="9"/>
      <c r="MZ996" s="9"/>
      <c r="NA996" s="9"/>
      <c r="NB996" s="9"/>
      <c r="NC996" s="9"/>
      <c r="ND996" s="9"/>
      <c r="NE996" s="9"/>
      <c r="NF996" s="9"/>
      <c r="NG996" s="9"/>
      <c r="NH996" s="9"/>
      <c r="NI996" s="9"/>
      <c r="NJ996" s="9"/>
      <c r="NK996" s="9"/>
      <c r="NL996" s="9"/>
      <c r="NM996" s="9"/>
      <c r="NN996" s="9"/>
      <c r="NO996" s="9"/>
      <c r="NP996" s="9"/>
      <c r="NQ996" s="9"/>
      <c r="NR996" s="9"/>
      <c r="NS996" s="9"/>
      <c r="NT996" s="9"/>
      <c r="NU996" s="9"/>
      <c r="NV996" s="9"/>
      <c r="NW996" s="9"/>
      <c r="NX996" s="9"/>
      <c r="NY996" s="9"/>
      <c r="NZ996" s="9"/>
      <c r="OA996" s="9"/>
      <c r="OB996" s="9"/>
      <c r="OC996" s="9"/>
      <c r="OD996" s="9"/>
      <c r="OE996" s="9"/>
      <c r="OF996" s="9"/>
      <c r="OG996" s="9"/>
      <c r="OH996" s="9"/>
      <c r="OI996" s="9"/>
      <c r="OJ996" s="9"/>
      <c r="OK996" s="9"/>
      <c r="OL996" s="9"/>
      <c r="OM996" s="9"/>
      <c r="ON996" s="9"/>
      <c r="OO996" s="9"/>
      <c r="OP996" s="9"/>
      <c r="OQ996" s="9"/>
      <c r="OR996" s="9"/>
      <c r="OS996" s="9"/>
      <c r="OT996" s="9"/>
      <c r="OU996" s="9"/>
      <c r="OV996" s="9"/>
      <c r="OW996" s="9"/>
      <c r="OX996" s="9"/>
      <c r="OY996" s="9"/>
      <c r="OZ996" s="9"/>
      <c r="PA996" s="9"/>
      <c r="PB996" s="9"/>
      <c r="PC996" s="9"/>
      <c r="PD996" s="9"/>
      <c r="PE996" s="9"/>
      <c r="PF996" s="9"/>
      <c r="PG996" s="9"/>
      <c r="PH996" s="9"/>
      <c r="PI996" s="9"/>
      <c r="PJ996" s="9"/>
      <c r="PK996" s="9"/>
      <c r="PL996" s="9"/>
      <c r="PM996" s="9"/>
      <c r="PN996" s="9"/>
      <c r="PO996" s="9"/>
      <c r="PP996" s="9"/>
      <c r="PQ996" s="9"/>
      <c r="PR996" s="9"/>
      <c r="PS996" s="9"/>
      <c r="PT996" s="9"/>
      <c r="PU996" s="9"/>
      <c r="PV996" s="9"/>
      <c r="PW996" s="9"/>
      <c r="PX996" s="9"/>
      <c r="PY996" s="9"/>
      <c r="PZ996" s="9"/>
      <c r="QA996" s="9"/>
      <c r="QB996" s="9"/>
      <c r="QC996" s="9"/>
      <c r="QD996" s="9"/>
      <c r="QE996" s="9"/>
      <c r="QF996" s="9"/>
      <c r="QG996" s="9"/>
      <c r="QH996" s="9"/>
      <c r="QI996" s="9"/>
      <c r="QJ996" s="9"/>
      <c r="QK996" s="9"/>
      <c r="QL996" s="9"/>
      <c r="QM996" s="9"/>
      <c r="QN996" s="9"/>
      <c r="QO996" s="9"/>
      <c r="QP996" s="9"/>
      <c r="QQ996" s="9"/>
      <c r="QR996" s="9"/>
      <c r="QS996" s="9"/>
      <c r="QT996" s="9"/>
      <c r="QU996" s="9"/>
      <c r="QV996" s="9"/>
      <c r="QW996" s="9"/>
      <c r="QX996" s="9"/>
      <c r="QY996" s="9"/>
      <c r="QZ996" s="9"/>
      <c r="RA996" s="9"/>
      <c r="RB996" s="9"/>
      <c r="RC996" s="9"/>
      <c r="RD996" s="9"/>
      <c r="RE996" s="9"/>
      <c r="RF996" s="9"/>
      <c r="RG996" s="9"/>
      <c r="RH996" s="9"/>
      <c r="RI996" s="9"/>
      <c r="RJ996" s="9"/>
      <c r="RK996" s="9"/>
      <c r="RL996" s="9"/>
      <c r="RM996" s="9"/>
      <c r="RN996" s="9"/>
      <c r="RO996" s="9"/>
      <c r="RP996" s="9"/>
      <c r="RQ996" s="9"/>
      <c r="RR996" s="9"/>
      <c r="RS996" s="9"/>
      <c r="RT996" s="9"/>
      <c r="RU996" s="9"/>
      <c r="RV996" s="9"/>
      <c r="RW996" s="9"/>
      <c r="RX996" s="9"/>
      <c r="RY996" s="9"/>
      <c r="RZ996" s="9"/>
      <c r="SA996" s="9"/>
      <c r="SB996" s="9"/>
      <c r="SC996" s="9"/>
      <c r="SD996" s="9"/>
      <c r="SE996" s="9"/>
      <c r="SF996" s="9"/>
      <c r="SG996" s="9"/>
      <c r="SH996" s="9"/>
      <c r="SI996" s="9"/>
      <c r="SJ996" s="9"/>
      <c r="SK996" s="9"/>
      <c r="SL996" s="9"/>
      <c r="SM996" s="9"/>
      <c r="SN996" s="9"/>
      <c r="SO996" s="9"/>
      <c r="SP996" s="9"/>
      <c r="SQ996" s="9"/>
      <c r="SR996" s="9"/>
      <c r="SS996" s="9"/>
      <c r="ST996" s="9"/>
      <c r="SU996" s="9"/>
      <c r="SV996" s="9"/>
      <c r="SW996" s="9"/>
      <c r="SX996" s="9"/>
      <c r="SY996" s="9"/>
      <c r="SZ996" s="9"/>
      <c r="TA996" s="9"/>
      <c r="TB996" s="9"/>
      <c r="TC996" s="9"/>
      <c r="TD996" s="9"/>
      <c r="TE996" s="9"/>
      <c r="TF996" s="9"/>
      <c r="TG996" s="9"/>
      <c r="TH996" s="9"/>
      <c r="TI996" s="9"/>
      <c r="TJ996" s="9"/>
      <c r="TK996" s="9"/>
      <c r="TL996" s="9"/>
      <c r="TM996" s="9"/>
      <c r="TN996" s="9"/>
      <c r="TO996" s="9"/>
      <c r="TP996" s="9"/>
      <c r="TQ996" s="9"/>
      <c r="TR996" s="9"/>
      <c r="TS996" s="9"/>
      <c r="TT996" s="9"/>
      <c r="TU996" s="9"/>
      <c r="TV996" s="9"/>
      <c r="TW996" s="9"/>
      <c r="TX996" s="9"/>
      <c r="TY996" s="9"/>
      <c r="TZ996" s="9"/>
      <c r="UA996" s="9"/>
      <c r="UB996" s="9"/>
      <c r="UC996" s="9"/>
      <c r="UD996" s="9"/>
      <c r="UE996" s="9"/>
      <c r="UF996" s="9"/>
      <c r="UG996" s="9"/>
      <c r="UH996" s="9"/>
      <c r="UI996" s="9"/>
      <c r="UJ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9"/>
      <c r="GV997" s="9"/>
      <c r="GW997" s="9"/>
      <c r="GX997" s="9"/>
      <c r="GY997" s="9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  <c r="HO997" s="9"/>
      <c r="HP997" s="9"/>
      <c r="HQ997" s="9"/>
      <c r="HR997" s="9"/>
      <c r="HS997" s="9"/>
      <c r="HT997" s="9"/>
      <c r="HU997" s="9"/>
      <c r="HV997" s="9"/>
      <c r="HW997" s="9"/>
      <c r="HX997" s="9"/>
      <c r="HY997" s="9"/>
      <c r="HZ997" s="9"/>
      <c r="IA997" s="9"/>
      <c r="IB997" s="9"/>
      <c r="IC997" s="9"/>
      <c r="ID997" s="9"/>
      <c r="IE997" s="9"/>
      <c r="IF997" s="9"/>
      <c r="IG997" s="9"/>
      <c r="IH997" s="9"/>
      <c r="II997" s="9"/>
      <c r="IJ997" s="9"/>
      <c r="IK997" s="9"/>
      <c r="IL997" s="9"/>
      <c r="IM997" s="9"/>
      <c r="IN997" s="9"/>
      <c r="IO997" s="9"/>
      <c r="IP997" s="9"/>
      <c r="IQ997" s="9"/>
      <c r="IR997" s="9"/>
      <c r="IS997" s="9"/>
      <c r="IT997" s="9"/>
      <c r="IU997" s="9"/>
      <c r="IV997" s="9"/>
      <c r="IW997" s="9"/>
      <c r="IX997" s="9"/>
      <c r="IY997" s="9"/>
      <c r="IZ997" s="9"/>
      <c r="JA997" s="9"/>
      <c r="JB997" s="9"/>
      <c r="JC997" s="9"/>
      <c r="JD997" s="9"/>
      <c r="JE997" s="9"/>
      <c r="JF997" s="9"/>
      <c r="JG997" s="9"/>
      <c r="JH997" s="9"/>
      <c r="JI997" s="9"/>
      <c r="JJ997" s="9"/>
      <c r="JK997" s="9"/>
      <c r="JL997" s="9"/>
      <c r="JM997" s="9"/>
      <c r="JN997" s="9"/>
      <c r="JO997" s="9"/>
      <c r="JP997" s="9"/>
      <c r="JQ997" s="9"/>
      <c r="JR997" s="9"/>
      <c r="JS997" s="9"/>
      <c r="JT997" s="9"/>
      <c r="JU997" s="9"/>
      <c r="JV997" s="9"/>
      <c r="JW997" s="9"/>
      <c r="JX997" s="9"/>
      <c r="JY997" s="9"/>
      <c r="JZ997" s="9"/>
      <c r="KA997" s="9"/>
      <c r="KB997" s="9"/>
      <c r="KC997" s="9"/>
      <c r="KD997" s="9"/>
      <c r="KE997" s="9"/>
      <c r="KF997" s="9"/>
      <c r="KG997" s="9"/>
      <c r="KH997" s="9"/>
      <c r="KI997" s="9"/>
      <c r="KJ997" s="9"/>
      <c r="KK997" s="9"/>
      <c r="KL997" s="9"/>
      <c r="KM997" s="9"/>
      <c r="KN997" s="9"/>
      <c r="KO997" s="9"/>
      <c r="KP997" s="9"/>
      <c r="KQ997" s="9"/>
      <c r="KR997" s="9"/>
      <c r="KS997" s="9"/>
      <c r="KT997" s="9"/>
      <c r="KU997" s="9"/>
      <c r="KV997" s="9"/>
      <c r="KW997" s="9"/>
      <c r="KX997" s="9"/>
      <c r="KY997" s="9"/>
      <c r="KZ997" s="9"/>
      <c r="LA997" s="9"/>
      <c r="LB997" s="9"/>
      <c r="LC997" s="9"/>
      <c r="LD997" s="9"/>
      <c r="LE997" s="9"/>
      <c r="LF997" s="9"/>
      <c r="LG997" s="9"/>
      <c r="LH997" s="9"/>
      <c r="LI997" s="9"/>
      <c r="LJ997" s="9"/>
      <c r="LK997" s="9"/>
      <c r="LL997" s="9"/>
      <c r="LM997" s="9"/>
      <c r="LN997" s="9"/>
      <c r="LO997" s="9"/>
      <c r="LP997" s="9"/>
      <c r="LQ997" s="9"/>
      <c r="LR997" s="9"/>
      <c r="LS997" s="9"/>
      <c r="LT997" s="9"/>
      <c r="LU997" s="9"/>
      <c r="LV997" s="9"/>
      <c r="LW997" s="9"/>
      <c r="LX997" s="9"/>
      <c r="LY997" s="9"/>
      <c r="LZ997" s="9"/>
      <c r="MA997" s="9"/>
      <c r="MB997" s="9"/>
      <c r="MC997" s="9"/>
      <c r="MD997" s="9"/>
      <c r="ME997" s="9"/>
      <c r="MF997" s="9"/>
      <c r="MG997" s="9"/>
      <c r="MH997" s="9"/>
      <c r="MI997" s="9"/>
      <c r="MJ997" s="9"/>
      <c r="MK997" s="9"/>
      <c r="ML997" s="9"/>
      <c r="MM997" s="9"/>
      <c r="MN997" s="9"/>
      <c r="MO997" s="9"/>
      <c r="MP997" s="9"/>
      <c r="MQ997" s="9"/>
      <c r="MR997" s="9"/>
      <c r="MS997" s="9"/>
      <c r="MT997" s="9"/>
      <c r="MU997" s="9"/>
      <c r="MV997" s="9"/>
      <c r="MW997" s="9"/>
      <c r="MX997" s="9"/>
      <c r="MY997" s="9"/>
      <c r="MZ997" s="9"/>
      <c r="NA997" s="9"/>
      <c r="NB997" s="9"/>
      <c r="NC997" s="9"/>
      <c r="ND997" s="9"/>
      <c r="NE997" s="9"/>
      <c r="NF997" s="9"/>
      <c r="NG997" s="9"/>
      <c r="NH997" s="9"/>
      <c r="NI997" s="9"/>
      <c r="NJ997" s="9"/>
      <c r="NK997" s="9"/>
      <c r="NL997" s="9"/>
      <c r="NM997" s="9"/>
      <c r="NN997" s="9"/>
      <c r="NO997" s="9"/>
      <c r="NP997" s="9"/>
      <c r="NQ997" s="9"/>
      <c r="NR997" s="9"/>
      <c r="NS997" s="9"/>
      <c r="NT997" s="9"/>
      <c r="NU997" s="9"/>
      <c r="NV997" s="9"/>
      <c r="NW997" s="9"/>
      <c r="NX997" s="9"/>
      <c r="NY997" s="9"/>
      <c r="NZ997" s="9"/>
      <c r="OA997" s="9"/>
      <c r="OB997" s="9"/>
      <c r="OC997" s="9"/>
      <c r="OD997" s="9"/>
      <c r="OE997" s="9"/>
      <c r="OF997" s="9"/>
      <c r="OG997" s="9"/>
      <c r="OH997" s="9"/>
      <c r="OI997" s="9"/>
      <c r="OJ997" s="9"/>
      <c r="OK997" s="9"/>
      <c r="OL997" s="9"/>
      <c r="OM997" s="9"/>
      <c r="ON997" s="9"/>
      <c r="OO997" s="9"/>
      <c r="OP997" s="9"/>
      <c r="OQ997" s="9"/>
      <c r="OR997" s="9"/>
      <c r="OS997" s="9"/>
      <c r="OT997" s="9"/>
      <c r="OU997" s="9"/>
      <c r="OV997" s="9"/>
      <c r="OW997" s="9"/>
      <c r="OX997" s="9"/>
      <c r="OY997" s="9"/>
      <c r="OZ997" s="9"/>
      <c r="PA997" s="9"/>
      <c r="PB997" s="9"/>
      <c r="PC997" s="9"/>
      <c r="PD997" s="9"/>
      <c r="PE997" s="9"/>
      <c r="PF997" s="9"/>
      <c r="PG997" s="9"/>
      <c r="PH997" s="9"/>
      <c r="PI997" s="9"/>
      <c r="PJ997" s="9"/>
      <c r="PK997" s="9"/>
      <c r="PL997" s="9"/>
      <c r="PM997" s="9"/>
      <c r="PN997" s="9"/>
      <c r="PO997" s="9"/>
      <c r="PP997" s="9"/>
      <c r="PQ997" s="9"/>
      <c r="PR997" s="9"/>
      <c r="PS997" s="9"/>
      <c r="PT997" s="9"/>
      <c r="PU997" s="9"/>
      <c r="PV997" s="9"/>
      <c r="PW997" s="9"/>
      <c r="PX997" s="9"/>
      <c r="PY997" s="9"/>
      <c r="PZ997" s="9"/>
      <c r="QA997" s="9"/>
      <c r="QB997" s="9"/>
      <c r="QC997" s="9"/>
      <c r="QD997" s="9"/>
      <c r="QE997" s="9"/>
      <c r="QF997" s="9"/>
      <c r="QG997" s="9"/>
      <c r="QH997" s="9"/>
      <c r="QI997" s="9"/>
      <c r="QJ997" s="9"/>
      <c r="QK997" s="9"/>
      <c r="QL997" s="9"/>
      <c r="QM997" s="9"/>
      <c r="QN997" s="9"/>
      <c r="QO997" s="9"/>
      <c r="QP997" s="9"/>
      <c r="QQ997" s="9"/>
      <c r="QR997" s="9"/>
      <c r="QS997" s="9"/>
      <c r="QT997" s="9"/>
      <c r="QU997" s="9"/>
      <c r="QV997" s="9"/>
      <c r="QW997" s="9"/>
      <c r="QX997" s="9"/>
      <c r="QY997" s="9"/>
      <c r="QZ997" s="9"/>
      <c r="RA997" s="9"/>
      <c r="RB997" s="9"/>
      <c r="RC997" s="9"/>
      <c r="RD997" s="9"/>
      <c r="RE997" s="9"/>
      <c r="RF997" s="9"/>
      <c r="RG997" s="9"/>
      <c r="RH997" s="9"/>
      <c r="RI997" s="9"/>
      <c r="RJ997" s="9"/>
      <c r="RK997" s="9"/>
      <c r="RL997" s="9"/>
      <c r="RM997" s="9"/>
      <c r="RN997" s="9"/>
      <c r="RO997" s="9"/>
      <c r="RP997" s="9"/>
      <c r="RQ997" s="9"/>
      <c r="RR997" s="9"/>
      <c r="RS997" s="9"/>
      <c r="RT997" s="9"/>
      <c r="RU997" s="9"/>
      <c r="RV997" s="9"/>
      <c r="RW997" s="9"/>
      <c r="RX997" s="9"/>
      <c r="RY997" s="9"/>
      <c r="RZ997" s="9"/>
      <c r="SA997" s="9"/>
      <c r="SB997" s="9"/>
      <c r="SC997" s="9"/>
      <c r="SD997" s="9"/>
      <c r="SE997" s="9"/>
      <c r="SF997" s="9"/>
      <c r="SG997" s="9"/>
      <c r="SH997" s="9"/>
      <c r="SI997" s="9"/>
      <c r="SJ997" s="9"/>
      <c r="SK997" s="9"/>
      <c r="SL997" s="9"/>
      <c r="SM997" s="9"/>
      <c r="SN997" s="9"/>
      <c r="SO997" s="9"/>
      <c r="SP997" s="9"/>
      <c r="SQ997" s="9"/>
      <c r="SR997" s="9"/>
      <c r="SS997" s="9"/>
      <c r="ST997" s="9"/>
      <c r="SU997" s="9"/>
      <c r="SV997" s="9"/>
      <c r="SW997" s="9"/>
      <c r="SX997" s="9"/>
      <c r="SY997" s="9"/>
      <c r="SZ997" s="9"/>
      <c r="TA997" s="9"/>
      <c r="TB997" s="9"/>
      <c r="TC997" s="9"/>
      <c r="TD997" s="9"/>
      <c r="TE997" s="9"/>
      <c r="TF997" s="9"/>
      <c r="TG997" s="9"/>
      <c r="TH997" s="9"/>
      <c r="TI997" s="9"/>
      <c r="TJ997" s="9"/>
      <c r="TK997" s="9"/>
      <c r="TL997" s="9"/>
      <c r="TM997" s="9"/>
      <c r="TN997" s="9"/>
      <c r="TO997" s="9"/>
      <c r="TP997" s="9"/>
      <c r="TQ997" s="9"/>
      <c r="TR997" s="9"/>
      <c r="TS997" s="9"/>
      <c r="TT997" s="9"/>
      <c r="TU997" s="9"/>
      <c r="TV997" s="9"/>
      <c r="TW997" s="9"/>
      <c r="TX997" s="9"/>
      <c r="TY997" s="9"/>
      <c r="TZ997" s="9"/>
      <c r="UA997" s="9"/>
      <c r="UB997" s="9"/>
      <c r="UC997" s="9"/>
      <c r="UD997" s="9"/>
      <c r="UE997" s="9"/>
      <c r="UF997" s="9"/>
      <c r="UG997" s="9"/>
      <c r="UH997" s="9"/>
      <c r="UI997" s="9"/>
      <c r="UJ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9"/>
      <c r="FT998" s="9"/>
      <c r="FU998" s="9"/>
      <c r="FV998" s="9"/>
      <c r="FW998" s="9"/>
      <c r="FX998" s="9"/>
      <c r="FY998" s="9"/>
      <c r="FZ998" s="9"/>
      <c r="GA998" s="9"/>
      <c r="GB998" s="9"/>
      <c r="GC998" s="9"/>
      <c r="GD998" s="9"/>
      <c r="GE998" s="9"/>
      <c r="GF998" s="9"/>
      <c r="GG998" s="9"/>
      <c r="GH998" s="9"/>
      <c r="GI998" s="9"/>
      <c r="GJ998" s="9"/>
      <c r="GK998" s="9"/>
      <c r="GL998" s="9"/>
      <c r="GM998" s="9"/>
      <c r="GN998" s="9"/>
      <c r="GO998" s="9"/>
      <c r="GP998" s="9"/>
      <c r="GQ998" s="9"/>
      <c r="GR998" s="9"/>
      <c r="GS998" s="9"/>
      <c r="GT998" s="9"/>
      <c r="GU998" s="9"/>
      <c r="GV998" s="9"/>
      <c r="GW998" s="9"/>
      <c r="GX998" s="9"/>
      <c r="GY998" s="9"/>
      <c r="GZ998" s="9"/>
      <c r="HA998" s="9"/>
      <c r="HB998" s="9"/>
      <c r="HC998" s="9"/>
      <c r="HD998" s="9"/>
      <c r="HE998" s="9"/>
      <c r="HF998" s="9"/>
      <c r="HG998" s="9"/>
      <c r="HH998" s="9"/>
      <c r="HI998" s="9"/>
      <c r="HJ998" s="9"/>
      <c r="HK998" s="9"/>
      <c r="HL998" s="9"/>
      <c r="HM998" s="9"/>
      <c r="HN998" s="9"/>
      <c r="HO998" s="9"/>
      <c r="HP998" s="9"/>
      <c r="HQ998" s="9"/>
      <c r="HR998" s="9"/>
      <c r="HS998" s="9"/>
      <c r="HT998" s="9"/>
      <c r="HU998" s="9"/>
      <c r="HV998" s="9"/>
      <c r="HW998" s="9"/>
      <c r="HX998" s="9"/>
      <c r="HY998" s="9"/>
      <c r="HZ998" s="9"/>
      <c r="IA998" s="9"/>
      <c r="IB998" s="9"/>
      <c r="IC998" s="9"/>
      <c r="ID998" s="9"/>
      <c r="IE998" s="9"/>
      <c r="IF998" s="9"/>
      <c r="IG998" s="9"/>
      <c r="IH998" s="9"/>
      <c r="II998" s="9"/>
      <c r="IJ998" s="9"/>
      <c r="IK998" s="9"/>
      <c r="IL998" s="9"/>
      <c r="IM998" s="9"/>
      <c r="IN998" s="9"/>
      <c r="IO998" s="9"/>
      <c r="IP998" s="9"/>
      <c r="IQ998" s="9"/>
      <c r="IR998" s="9"/>
      <c r="IS998" s="9"/>
      <c r="IT998" s="9"/>
      <c r="IU998" s="9"/>
      <c r="IV998" s="9"/>
      <c r="IW998" s="9"/>
      <c r="IX998" s="9"/>
      <c r="IY998" s="9"/>
      <c r="IZ998" s="9"/>
      <c r="JA998" s="9"/>
      <c r="JB998" s="9"/>
      <c r="JC998" s="9"/>
      <c r="JD998" s="9"/>
      <c r="JE998" s="9"/>
      <c r="JF998" s="9"/>
      <c r="JG998" s="9"/>
      <c r="JH998" s="9"/>
      <c r="JI998" s="9"/>
      <c r="JJ998" s="9"/>
      <c r="JK998" s="9"/>
      <c r="JL998" s="9"/>
      <c r="JM998" s="9"/>
      <c r="JN998" s="9"/>
      <c r="JO998" s="9"/>
      <c r="JP998" s="9"/>
      <c r="JQ998" s="9"/>
      <c r="JR998" s="9"/>
      <c r="JS998" s="9"/>
      <c r="JT998" s="9"/>
      <c r="JU998" s="9"/>
      <c r="JV998" s="9"/>
      <c r="JW998" s="9"/>
      <c r="JX998" s="9"/>
      <c r="JY998" s="9"/>
      <c r="JZ998" s="9"/>
      <c r="KA998" s="9"/>
      <c r="KB998" s="9"/>
      <c r="KC998" s="9"/>
      <c r="KD998" s="9"/>
      <c r="KE998" s="9"/>
      <c r="KF998" s="9"/>
      <c r="KG998" s="9"/>
      <c r="KH998" s="9"/>
      <c r="KI998" s="9"/>
      <c r="KJ998" s="9"/>
      <c r="KK998" s="9"/>
      <c r="KL998" s="9"/>
      <c r="KM998" s="9"/>
      <c r="KN998" s="9"/>
      <c r="KO998" s="9"/>
      <c r="KP998" s="9"/>
      <c r="KQ998" s="9"/>
      <c r="KR998" s="9"/>
      <c r="KS998" s="9"/>
      <c r="KT998" s="9"/>
      <c r="KU998" s="9"/>
      <c r="KV998" s="9"/>
      <c r="KW998" s="9"/>
      <c r="KX998" s="9"/>
      <c r="KY998" s="9"/>
      <c r="KZ998" s="9"/>
      <c r="LA998" s="9"/>
      <c r="LB998" s="9"/>
      <c r="LC998" s="9"/>
      <c r="LD998" s="9"/>
      <c r="LE998" s="9"/>
      <c r="LF998" s="9"/>
      <c r="LG998" s="9"/>
      <c r="LH998" s="9"/>
      <c r="LI998" s="9"/>
      <c r="LJ998" s="9"/>
      <c r="LK998" s="9"/>
      <c r="LL998" s="9"/>
      <c r="LM998" s="9"/>
      <c r="LN998" s="9"/>
      <c r="LO998" s="9"/>
      <c r="LP998" s="9"/>
      <c r="LQ998" s="9"/>
      <c r="LR998" s="9"/>
      <c r="LS998" s="9"/>
      <c r="LT998" s="9"/>
      <c r="LU998" s="9"/>
      <c r="LV998" s="9"/>
      <c r="LW998" s="9"/>
      <c r="LX998" s="9"/>
      <c r="LY998" s="9"/>
      <c r="LZ998" s="9"/>
      <c r="MA998" s="9"/>
      <c r="MB998" s="9"/>
      <c r="MC998" s="9"/>
      <c r="MD998" s="9"/>
      <c r="ME998" s="9"/>
      <c r="MF998" s="9"/>
      <c r="MG998" s="9"/>
      <c r="MH998" s="9"/>
      <c r="MI998" s="9"/>
      <c r="MJ998" s="9"/>
      <c r="MK998" s="9"/>
      <c r="ML998" s="9"/>
      <c r="MM998" s="9"/>
      <c r="MN998" s="9"/>
      <c r="MO998" s="9"/>
      <c r="MP998" s="9"/>
      <c r="MQ998" s="9"/>
      <c r="MR998" s="9"/>
      <c r="MS998" s="9"/>
      <c r="MT998" s="9"/>
      <c r="MU998" s="9"/>
      <c r="MV998" s="9"/>
      <c r="MW998" s="9"/>
      <c r="MX998" s="9"/>
      <c r="MY998" s="9"/>
      <c r="MZ998" s="9"/>
      <c r="NA998" s="9"/>
      <c r="NB998" s="9"/>
      <c r="NC998" s="9"/>
      <c r="ND998" s="9"/>
      <c r="NE998" s="9"/>
      <c r="NF998" s="9"/>
      <c r="NG998" s="9"/>
      <c r="NH998" s="9"/>
      <c r="NI998" s="9"/>
      <c r="NJ998" s="9"/>
      <c r="NK998" s="9"/>
      <c r="NL998" s="9"/>
      <c r="NM998" s="9"/>
      <c r="NN998" s="9"/>
      <c r="NO998" s="9"/>
      <c r="NP998" s="9"/>
      <c r="NQ998" s="9"/>
      <c r="NR998" s="9"/>
      <c r="NS998" s="9"/>
      <c r="NT998" s="9"/>
      <c r="NU998" s="9"/>
      <c r="NV998" s="9"/>
      <c r="NW998" s="9"/>
      <c r="NX998" s="9"/>
      <c r="NY998" s="9"/>
      <c r="NZ998" s="9"/>
      <c r="OA998" s="9"/>
      <c r="OB998" s="9"/>
      <c r="OC998" s="9"/>
      <c r="OD998" s="9"/>
      <c r="OE998" s="9"/>
      <c r="OF998" s="9"/>
      <c r="OG998" s="9"/>
      <c r="OH998" s="9"/>
      <c r="OI998" s="9"/>
      <c r="OJ998" s="9"/>
      <c r="OK998" s="9"/>
      <c r="OL998" s="9"/>
      <c r="OM998" s="9"/>
      <c r="ON998" s="9"/>
      <c r="OO998" s="9"/>
      <c r="OP998" s="9"/>
      <c r="OQ998" s="9"/>
      <c r="OR998" s="9"/>
      <c r="OS998" s="9"/>
      <c r="OT998" s="9"/>
      <c r="OU998" s="9"/>
      <c r="OV998" s="9"/>
      <c r="OW998" s="9"/>
      <c r="OX998" s="9"/>
      <c r="OY998" s="9"/>
      <c r="OZ998" s="9"/>
      <c r="PA998" s="9"/>
      <c r="PB998" s="9"/>
      <c r="PC998" s="9"/>
      <c r="PD998" s="9"/>
      <c r="PE998" s="9"/>
      <c r="PF998" s="9"/>
      <c r="PG998" s="9"/>
      <c r="PH998" s="9"/>
      <c r="PI998" s="9"/>
      <c r="PJ998" s="9"/>
      <c r="PK998" s="9"/>
      <c r="PL998" s="9"/>
      <c r="PM998" s="9"/>
      <c r="PN998" s="9"/>
      <c r="PO998" s="9"/>
      <c r="PP998" s="9"/>
      <c r="PQ998" s="9"/>
      <c r="PR998" s="9"/>
      <c r="PS998" s="9"/>
      <c r="PT998" s="9"/>
      <c r="PU998" s="9"/>
      <c r="PV998" s="9"/>
      <c r="PW998" s="9"/>
      <c r="PX998" s="9"/>
      <c r="PY998" s="9"/>
      <c r="PZ998" s="9"/>
      <c r="QA998" s="9"/>
      <c r="QB998" s="9"/>
      <c r="QC998" s="9"/>
      <c r="QD998" s="9"/>
      <c r="QE998" s="9"/>
      <c r="QF998" s="9"/>
      <c r="QG998" s="9"/>
      <c r="QH998" s="9"/>
      <c r="QI998" s="9"/>
      <c r="QJ998" s="9"/>
      <c r="QK998" s="9"/>
      <c r="QL998" s="9"/>
      <c r="QM998" s="9"/>
      <c r="QN998" s="9"/>
      <c r="QO998" s="9"/>
      <c r="QP998" s="9"/>
      <c r="QQ998" s="9"/>
      <c r="QR998" s="9"/>
      <c r="QS998" s="9"/>
      <c r="QT998" s="9"/>
      <c r="QU998" s="9"/>
      <c r="QV998" s="9"/>
      <c r="QW998" s="9"/>
      <c r="QX998" s="9"/>
      <c r="QY998" s="9"/>
      <c r="QZ998" s="9"/>
      <c r="RA998" s="9"/>
      <c r="RB998" s="9"/>
      <c r="RC998" s="9"/>
      <c r="RD998" s="9"/>
      <c r="RE998" s="9"/>
      <c r="RF998" s="9"/>
      <c r="RG998" s="9"/>
      <c r="RH998" s="9"/>
      <c r="RI998" s="9"/>
      <c r="RJ998" s="9"/>
      <c r="RK998" s="9"/>
      <c r="RL998" s="9"/>
      <c r="RM998" s="9"/>
      <c r="RN998" s="9"/>
      <c r="RO998" s="9"/>
      <c r="RP998" s="9"/>
      <c r="RQ998" s="9"/>
      <c r="RR998" s="9"/>
      <c r="RS998" s="9"/>
      <c r="RT998" s="9"/>
      <c r="RU998" s="9"/>
      <c r="RV998" s="9"/>
      <c r="RW998" s="9"/>
      <c r="RX998" s="9"/>
      <c r="RY998" s="9"/>
      <c r="RZ998" s="9"/>
      <c r="SA998" s="9"/>
      <c r="SB998" s="9"/>
      <c r="SC998" s="9"/>
      <c r="SD998" s="9"/>
      <c r="SE998" s="9"/>
      <c r="SF998" s="9"/>
      <c r="SG998" s="9"/>
      <c r="SH998" s="9"/>
      <c r="SI998" s="9"/>
      <c r="SJ998" s="9"/>
      <c r="SK998" s="9"/>
      <c r="SL998" s="9"/>
      <c r="SM998" s="9"/>
      <c r="SN998" s="9"/>
      <c r="SO998" s="9"/>
      <c r="SP998" s="9"/>
      <c r="SQ998" s="9"/>
      <c r="SR998" s="9"/>
      <c r="SS998" s="9"/>
      <c r="ST998" s="9"/>
      <c r="SU998" s="9"/>
      <c r="SV998" s="9"/>
      <c r="SW998" s="9"/>
      <c r="SX998" s="9"/>
      <c r="SY998" s="9"/>
      <c r="SZ998" s="9"/>
      <c r="TA998" s="9"/>
      <c r="TB998" s="9"/>
      <c r="TC998" s="9"/>
      <c r="TD998" s="9"/>
      <c r="TE998" s="9"/>
      <c r="TF998" s="9"/>
      <c r="TG998" s="9"/>
      <c r="TH998" s="9"/>
      <c r="TI998" s="9"/>
      <c r="TJ998" s="9"/>
      <c r="TK998" s="9"/>
      <c r="TL998" s="9"/>
      <c r="TM998" s="9"/>
      <c r="TN998" s="9"/>
      <c r="TO998" s="9"/>
      <c r="TP998" s="9"/>
      <c r="TQ998" s="9"/>
      <c r="TR998" s="9"/>
      <c r="TS998" s="9"/>
      <c r="TT998" s="9"/>
      <c r="TU998" s="9"/>
      <c r="TV998" s="9"/>
      <c r="TW998" s="9"/>
      <c r="TX998" s="9"/>
      <c r="TY998" s="9"/>
      <c r="TZ998" s="9"/>
      <c r="UA998" s="9"/>
      <c r="UB998" s="9"/>
      <c r="UC998" s="9"/>
      <c r="UD998" s="9"/>
      <c r="UE998" s="9"/>
      <c r="UF998" s="9"/>
      <c r="UG998" s="9"/>
      <c r="UH998" s="9"/>
      <c r="UI998" s="9"/>
      <c r="UJ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/>
      <c r="FJ999" s="9"/>
      <c r="FK999" s="9"/>
      <c r="FL999" s="9"/>
      <c r="FM999" s="9"/>
      <c r="FN999" s="9"/>
      <c r="FO999" s="9"/>
      <c r="FP999" s="9"/>
      <c r="FQ999" s="9"/>
      <c r="FR999" s="9"/>
      <c r="FS999" s="9"/>
      <c r="FT999" s="9"/>
      <c r="FU999" s="9"/>
      <c r="FV999" s="9"/>
      <c r="FW999" s="9"/>
      <c r="FX999" s="9"/>
      <c r="FY999" s="9"/>
      <c r="FZ999" s="9"/>
      <c r="GA999" s="9"/>
      <c r="GB999" s="9"/>
      <c r="GC999" s="9"/>
      <c r="GD999" s="9"/>
      <c r="GE999" s="9"/>
      <c r="GF999" s="9"/>
      <c r="GG999" s="9"/>
      <c r="GH999" s="9"/>
      <c r="GI999" s="9"/>
      <c r="GJ999" s="9"/>
      <c r="GK999" s="9"/>
      <c r="GL999" s="9"/>
      <c r="GM999" s="9"/>
      <c r="GN999" s="9"/>
      <c r="GO999" s="9"/>
      <c r="GP999" s="9"/>
      <c r="GQ999" s="9"/>
      <c r="GR999" s="9"/>
      <c r="GS999" s="9"/>
      <c r="GT999" s="9"/>
      <c r="GU999" s="9"/>
      <c r="GV999" s="9"/>
      <c r="GW999" s="9"/>
      <c r="GX999" s="9"/>
      <c r="GY999" s="9"/>
      <c r="GZ999" s="9"/>
      <c r="HA999" s="9"/>
      <c r="HB999" s="9"/>
      <c r="HC999" s="9"/>
      <c r="HD999" s="9"/>
      <c r="HE999" s="9"/>
      <c r="HF999" s="9"/>
      <c r="HG999" s="9"/>
      <c r="HH999" s="9"/>
      <c r="HI999" s="9"/>
      <c r="HJ999" s="9"/>
      <c r="HK999" s="9"/>
      <c r="HL999" s="9"/>
      <c r="HM999" s="9"/>
      <c r="HN999" s="9"/>
      <c r="HO999" s="9"/>
      <c r="HP999" s="9"/>
      <c r="HQ999" s="9"/>
      <c r="HR999" s="9"/>
      <c r="HS999" s="9"/>
      <c r="HT999" s="9"/>
      <c r="HU999" s="9"/>
      <c r="HV999" s="9"/>
      <c r="HW999" s="9"/>
      <c r="HX999" s="9"/>
      <c r="HY999" s="9"/>
      <c r="HZ999" s="9"/>
      <c r="IA999" s="9"/>
      <c r="IB999" s="9"/>
      <c r="IC999" s="9"/>
      <c r="ID999" s="9"/>
      <c r="IE999" s="9"/>
      <c r="IF999" s="9"/>
      <c r="IG999" s="9"/>
      <c r="IH999" s="9"/>
      <c r="II999" s="9"/>
      <c r="IJ999" s="9"/>
      <c r="IK999" s="9"/>
      <c r="IL999" s="9"/>
      <c r="IM999" s="9"/>
      <c r="IN999" s="9"/>
      <c r="IO999" s="9"/>
      <c r="IP999" s="9"/>
      <c r="IQ999" s="9"/>
      <c r="IR999" s="9"/>
      <c r="IS999" s="9"/>
      <c r="IT999" s="9"/>
      <c r="IU999" s="9"/>
      <c r="IV999" s="9"/>
      <c r="IW999" s="9"/>
      <c r="IX999" s="9"/>
      <c r="IY999" s="9"/>
      <c r="IZ999" s="9"/>
      <c r="JA999" s="9"/>
      <c r="JB999" s="9"/>
      <c r="JC999" s="9"/>
      <c r="JD999" s="9"/>
      <c r="JE999" s="9"/>
      <c r="JF999" s="9"/>
      <c r="JG999" s="9"/>
      <c r="JH999" s="9"/>
      <c r="JI999" s="9"/>
      <c r="JJ999" s="9"/>
      <c r="JK999" s="9"/>
      <c r="JL999" s="9"/>
      <c r="JM999" s="9"/>
      <c r="JN999" s="9"/>
      <c r="JO999" s="9"/>
      <c r="JP999" s="9"/>
      <c r="JQ999" s="9"/>
      <c r="JR999" s="9"/>
      <c r="JS999" s="9"/>
      <c r="JT999" s="9"/>
      <c r="JU999" s="9"/>
      <c r="JV999" s="9"/>
      <c r="JW999" s="9"/>
      <c r="JX999" s="9"/>
      <c r="JY999" s="9"/>
      <c r="JZ999" s="9"/>
      <c r="KA999" s="9"/>
      <c r="KB999" s="9"/>
      <c r="KC999" s="9"/>
      <c r="KD999" s="9"/>
      <c r="KE999" s="9"/>
      <c r="KF999" s="9"/>
      <c r="KG999" s="9"/>
      <c r="KH999" s="9"/>
      <c r="KI999" s="9"/>
      <c r="KJ999" s="9"/>
      <c r="KK999" s="9"/>
      <c r="KL999" s="9"/>
      <c r="KM999" s="9"/>
      <c r="KN999" s="9"/>
      <c r="KO999" s="9"/>
      <c r="KP999" s="9"/>
      <c r="KQ999" s="9"/>
      <c r="KR999" s="9"/>
      <c r="KS999" s="9"/>
      <c r="KT999" s="9"/>
      <c r="KU999" s="9"/>
      <c r="KV999" s="9"/>
      <c r="KW999" s="9"/>
      <c r="KX999" s="9"/>
      <c r="KY999" s="9"/>
      <c r="KZ999" s="9"/>
      <c r="LA999" s="9"/>
      <c r="LB999" s="9"/>
      <c r="LC999" s="9"/>
      <c r="LD999" s="9"/>
      <c r="LE999" s="9"/>
      <c r="LF999" s="9"/>
      <c r="LG999" s="9"/>
      <c r="LH999" s="9"/>
      <c r="LI999" s="9"/>
      <c r="LJ999" s="9"/>
      <c r="LK999" s="9"/>
      <c r="LL999" s="9"/>
      <c r="LM999" s="9"/>
      <c r="LN999" s="9"/>
      <c r="LO999" s="9"/>
      <c r="LP999" s="9"/>
      <c r="LQ999" s="9"/>
      <c r="LR999" s="9"/>
      <c r="LS999" s="9"/>
      <c r="LT999" s="9"/>
      <c r="LU999" s="9"/>
      <c r="LV999" s="9"/>
      <c r="LW999" s="9"/>
      <c r="LX999" s="9"/>
      <c r="LY999" s="9"/>
      <c r="LZ999" s="9"/>
      <c r="MA999" s="9"/>
      <c r="MB999" s="9"/>
      <c r="MC999" s="9"/>
      <c r="MD999" s="9"/>
      <c r="ME999" s="9"/>
      <c r="MF999" s="9"/>
      <c r="MG999" s="9"/>
      <c r="MH999" s="9"/>
      <c r="MI999" s="9"/>
      <c r="MJ999" s="9"/>
      <c r="MK999" s="9"/>
      <c r="ML999" s="9"/>
      <c r="MM999" s="9"/>
      <c r="MN999" s="9"/>
      <c r="MO999" s="9"/>
      <c r="MP999" s="9"/>
      <c r="MQ999" s="9"/>
      <c r="MR999" s="9"/>
      <c r="MS999" s="9"/>
      <c r="MT999" s="9"/>
      <c r="MU999" s="9"/>
      <c r="MV999" s="9"/>
      <c r="MW999" s="9"/>
      <c r="MX999" s="9"/>
      <c r="MY999" s="9"/>
      <c r="MZ999" s="9"/>
      <c r="NA999" s="9"/>
      <c r="NB999" s="9"/>
      <c r="NC999" s="9"/>
      <c r="ND999" s="9"/>
      <c r="NE999" s="9"/>
      <c r="NF999" s="9"/>
      <c r="NG999" s="9"/>
      <c r="NH999" s="9"/>
      <c r="NI999" s="9"/>
      <c r="NJ999" s="9"/>
      <c r="NK999" s="9"/>
      <c r="NL999" s="9"/>
      <c r="NM999" s="9"/>
      <c r="NN999" s="9"/>
      <c r="NO999" s="9"/>
      <c r="NP999" s="9"/>
      <c r="NQ999" s="9"/>
      <c r="NR999" s="9"/>
      <c r="NS999" s="9"/>
      <c r="NT999" s="9"/>
      <c r="NU999" s="9"/>
      <c r="NV999" s="9"/>
      <c r="NW999" s="9"/>
      <c r="NX999" s="9"/>
      <c r="NY999" s="9"/>
      <c r="NZ999" s="9"/>
      <c r="OA999" s="9"/>
      <c r="OB999" s="9"/>
      <c r="OC999" s="9"/>
      <c r="OD999" s="9"/>
      <c r="OE999" s="9"/>
      <c r="OF999" s="9"/>
      <c r="OG999" s="9"/>
      <c r="OH999" s="9"/>
      <c r="OI999" s="9"/>
      <c r="OJ999" s="9"/>
      <c r="OK999" s="9"/>
      <c r="OL999" s="9"/>
      <c r="OM999" s="9"/>
      <c r="ON999" s="9"/>
      <c r="OO999" s="9"/>
      <c r="OP999" s="9"/>
      <c r="OQ999" s="9"/>
      <c r="OR999" s="9"/>
      <c r="OS999" s="9"/>
      <c r="OT999" s="9"/>
      <c r="OU999" s="9"/>
      <c r="OV999" s="9"/>
      <c r="OW999" s="9"/>
      <c r="OX999" s="9"/>
      <c r="OY999" s="9"/>
      <c r="OZ999" s="9"/>
      <c r="PA999" s="9"/>
      <c r="PB999" s="9"/>
      <c r="PC999" s="9"/>
      <c r="PD999" s="9"/>
      <c r="PE999" s="9"/>
      <c r="PF999" s="9"/>
      <c r="PG999" s="9"/>
      <c r="PH999" s="9"/>
      <c r="PI999" s="9"/>
      <c r="PJ999" s="9"/>
      <c r="PK999" s="9"/>
      <c r="PL999" s="9"/>
      <c r="PM999" s="9"/>
      <c r="PN999" s="9"/>
      <c r="PO999" s="9"/>
      <c r="PP999" s="9"/>
      <c r="PQ999" s="9"/>
      <c r="PR999" s="9"/>
      <c r="PS999" s="9"/>
      <c r="PT999" s="9"/>
      <c r="PU999" s="9"/>
      <c r="PV999" s="9"/>
      <c r="PW999" s="9"/>
      <c r="PX999" s="9"/>
      <c r="PY999" s="9"/>
      <c r="PZ999" s="9"/>
      <c r="QA999" s="9"/>
      <c r="QB999" s="9"/>
      <c r="QC999" s="9"/>
      <c r="QD999" s="9"/>
      <c r="QE999" s="9"/>
      <c r="QF999" s="9"/>
      <c r="QG999" s="9"/>
      <c r="QH999" s="9"/>
      <c r="QI999" s="9"/>
      <c r="QJ999" s="9"/>
      <c r="QK999" s="9"/>
      <c r="QL999" s="9"/>
      <c r="QM999" s="9"/>
      <c r="QN999" s="9"/>
      <c r="QO999" s="9"/>
      <c r="QP999" s="9"/>
      <c r="QQ999" s="9"/>
      <c r="QR999" s="9"/>
      <c r="QS999" s="9"/>
      <c r="QT999" s="9"/>
      <c r="QU999" s="9"/>
      <c r="QV999" s="9"/>
      <c r="QW999" s="9"/>
      <c r="QX999" s="9"/>
      <c r="QY999" s="9"/>
      <c r="QZ999" s="9"/>
      <c r="RA999" s="9"/>
      <c r="RB999" s="9"/>
      <c r="RC999" s="9"/>
      <c r="RD999" s="9"/>
      <c r="RE999" s="9"/>
      <c r="RF999" s="9"/>
      <c r="RG999" s="9"/>
      <c r="RH999" s="9"/>
      <c r="RI999" s="9"/>
      <c r="RJ999" s="9"/>
      <c r="RK999" s="9"/>
      <c r="RL999" s="9"/>
      <c r="RM999" s="9"/>
      <c r="RN999" s="9"/>
      <c r="RO999" s="9"/>
      <c r="RP999" s="9"/>
      <c r="RQ999" s="9"/>
      <c r="RR999" s="9"/>
      <c r="RS999" s="9"/>
      <c r="RT999" s="9"/>
      <c r="RU999" s="9"/>
      <c r="RV999" s="9"/>
      <c r="RW999" s="9"/>
      <c r="RX999" s="9"/>
      <c r="RY999" s="9"/>
      <c r="RZ999" s="9"/>
      <c r="SA999" s="9"/>
      <c r="SB999" s="9"/>
      <c r="SC999" s="9"/>
      <c r="SD999" s="9"/>
      <c r="SE999" s="9"/>
      <c r="SF999" s="9"/>
      <c r="SG999" s="9"/>
      <c r="SH999" s="9"/>
      <c r="SI999" s="9"/>
      <c r="SJ999" s="9"/>
      <c r="SK999" s="9"/>
      <c r="SL999" s="9"/>
      <c r="SM999" s="9"/>
      <c r="SN999" s="9"/>
      <c r="SO999" s="9"/>
      <c r="SP999" s="9"/>
      <c r="SQ999" s="9"/>
      <c r="SR999" s="9"/>
      <c r="SS999" s="9"/>
      <c r="ST999" s="9"/>
      <c r="SU999" s="9"/>
      <c r="SV999" s="9"/>
      <c r="SW999" s="9"/>
      <c r="SX999" s="9"/>
      <c r="SY999" s="9"/>
      <c r="SZ999" s="9"/>
      <c r="TA999" s="9"/>
      <c r="TB999" s="9"/>
      <c r="TC999" s="9"/>
      <c r="TD999" s="9"/>
      <c r="TE999" s="9"/>
      <c r="TF999" s="9"/>
      <c r="TG999" s="9"/>
      <c r="TH999" s="9"/>
      <c r="TI999" s="9"/>
      <c r="TJ999" s="9"/>
      <c r="TK999" s="9"/>
      <c r="TL999" s="9"/>
      <c r="TM999" s="9"/>
      <c r="TN999" s="9"/>
      <c r="TO999" s="9"/>
      <c r="TP999" s="9"/>
      <c r="TQ999" s="9"/>
      <c r="TR999" s="9"/>
      <c r="TS999" s="9"/>
      <c r="TT999" s="9"/>
      <c r="TU999" s="9"/>
      <c r="TV999" s="9"/>
      <c r="TW999" s="9"/>
      <c r="TX999" s="9"/>
      <c r="TY999" s="9"/>
      <c r="TZ999" s="9"/>
      <c r="UA999" s="9"/>
      <c r="UB999" s="9"/>
      <c r="UC999" s="9"/>
      <c r="UD999" s="9"/>
      <c r="UE999" s="9"/>
      <c r="UF999" s="9"/>
      <c r="UG999" s="9"/>
      <c r="UH999" s="9"/>
      <c r="UI999" s="9"/>
      <c r="UJ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  <c r="EL1000" s="9"/>
      <c r="EM1000" s="9"/>
      <c r="EN1000" s="9"/>
      <c r="EO1000" s="9"/>
      <c r="EP1000" s="9"/>
      <c r="EQ1000" s="9"/>
      <c r="ER1000" s="9"/>
      <c r="ES1000" s="9"/>
      <c r="ET1000" s="9"/>
      <c r="EU1000" s="9"/>
      <c r="EV1000" s="9"/>
      <c r="EW1000" s="9"/>
      <c r="EX1000" s="9"/>
      <c r="EY1000" s="9"/>
      <c r="EZ1000" s="9"/>
      <c r="FA1000" s="9"/>
      <c r="FB1000" s="9"/>
      <c r="FC1000" s="9"/>
      <c r="FD1000" s="9"/>
      <c r="FE1000" s="9"/>
      <c r="FF1000" s="9"/>
      <c r="FG1000" s="9"/>
      <c r="FH1000" s="9"/>
      <c r="FI1000" s="9"/>
      <c r="FJ1000" s="9"/>
      <c r="FK1000" s="9"/>
      <c r="FL1000" s="9"/>
      <c r="FM1000" s="9"/>
      <c r="FN1000" s="9"/>
      <c r="FO1000" s="9"/>
      <c r="FP1000" s="9"/>
      <c r="FQ1000" s="9"/>
      <c r="FR1000" s="9"/>
      <c r="FS1000" s="9"/>
      <c r="FT1000" s="9"/>
      <c r="FU1000" s="9"/>
      <c r="FV1000" s="9"/>
      <c r="FW1000" s="9"/>
      <c r="FX1000" s="9"/>
      <c r="FY1000" s="9"/>
      <c r="FZ1000" s="9"/>
      <c r="GA1000" s="9"/>
      <c r="GB1000" s="9"/>
      <c r="GC1000" s="9"/>
      <c r="GD1000" s="9"/>
      <c r="GE1000" s="9"/>
      <c r="GF1000" s="9"/>
      <c r="GG1000" s="9"/>
      <c r="GH1000" s="9"/>
      <c r="GI1000" s="9"/>
      <c r="GJ1000" s="9"/>
      <c r="GK1000" s="9"/>
      <c r="GL1000" s="9"/>
      <c r="GM1000" s="9"/>
      <c r="GN1000" s="9"/>
      <c r="GO1000" s="9"/>
      <c r="GP1000" s="9"/>
      <c r="GQ1000" s="9"/>
      <c r="GR1000" s="9"/>
      <c r="GS1000" s="9"/>
      <c r="GT1000" s="9"/>
      <c r="GU1000" s="9"/>
      <c r="GV1000" s="9"/>
      <c r="GW1000" s="9"/>
      <c r="GX1000" s="9"/>
      <c r="GY1000" s="9"/>
      <c r="GZ1000" s="9"/>
      <c r="HA1000" s="9"/>
      <c r="HB1000" s="9"/>
      <c r="HC1000" s="9"/>
      <c r="HD1000" s="9"/>
      <c r="HE1000" s="9"/>
      <c r="HF1000" s="9"/>
      <c r="HG1000" s="9"/>
      <c r="HH1000" s="9"/>
      <c r="HI1000" s="9"/>
      <c r="HJ1000" s="9"/>
      <c r="HK1000" s="9"/>
      <c r="HL1000" s="9"/>
      <c r="HM1000" s="9"/>
      <c r="HN1000" s="9"/>
      <c r="HO1000" s="9"/>
      <c r="HP1000" s="9"/>
      <c r="HQ1000" s="9"/>
      <c r="HR1000" s="9"/>
      <c r="HS1000" s="9"/>
      <c r="HT1000" s="9"/>
      <c r="HU1000" s="9"/>
      <c r="HV1000" s="9"/>
      <c r="HW1000" s="9"/>
      <c r="HX1000" s="9"/>
      <c r="HY1000" s="9"/>
      <c r="HZ1000" s="9"/>
      <c r="IA1000" s="9"/>
      <c r="IB1000" s="9"/>
      <c r="IC1000" s="9"/>
      <c r="ID1000" s="9"/>
      <c r="IE1000" s="9"/>
      <c r="IF1000" s="9"/>
      <c r="IG1000" s="9"/>
      <c r="IH1000" s="9"/>
      <c r="II1000" s="9"/>
      <c r="IJ1000" s="9"/>
      <c r="IK1000" s="9"/>
      <c r="IL1000" s="9"/>
      <c r="IM1000" s="9"/>
      <c r="IN1000" s="9"/>
      <c r="IO1000" s="9"/>
      <c r="IP1000" s="9"/>
      <c r="IQ1000" s="9"/>
      <c r="IR1000" s="9"/>
      <c r="IS1000" s="9"/>
      <c r="IT1000" s="9"/>
      <c r="IU1000" s="9"/>
      <c r="IV1000" s="9"/>
      <c r="IW1000" s="9"/>
      <c r="IX1000" s="9"/>
      <c r="IY1000" s="9"/>
      <c r="IZ1000" s="9"/>
      <c r="JA1000" s="9"/>
      <c r="JB1000" s="9"/>
      <c r="JC1000" s="9"/>
      <c r="JD1000" s="9"/>
      <c r="JE1000" s="9"/>
      <c r="JF1000" s="9"/>
      <c r="JG1000" s="9"/>
      <c r="JH1000" s="9"/>
      <c r="JI1000" s="9"/>
      <c r="JJ1000" s="9"/>
      <c r="JK1000" s="9"/>
      <c r="JL1000" s="9"/>
      <c r="JM1000" s="9"/>
      <c r="JN1000" s="9"/>
      <c r="JO1000" s="9"/>
      <c r="JP1000" s="9"/>
      <c r="JQ1000" s="9"/>
      <c r="JR1000" s="9"/>
      <c r="JS1000" s="9"/>
      <c r="JT1000" s="9"/>
      <c r="JU1000" s="9"/>
      <c r="JV1000" s="9"/>
      <c r="JW1000" s="9"/>
      <c r="JX1000" s="9"/>
      <c r="JY1000" s="9"/>
      <c r="JZ1000" s="9"/>
      <c r="KA1000" s="9"/>
      <c r="KB1000" s="9"/>
      <c r="KC1000" s="9"/>
      <c r="KD1000" s="9"/>
      <c r="KE1000" s="9"/>
      <c r="KF1000" s="9"/>
      <c r="KG1000" s="9"/>
      <c r="KH1000" s="9"/>
      <c r="KI1000" s="9"/>
      <c r="KJ1000" s="9"/>
      <c r="KK1000" s="9"/>
      <c r="KL1000" s="9"/>
      <c r="KM1000" s="9"/>
      <c r="KN1000" s="9"/>
      <c r="KO1000" s="9"/>
      <c r="KP1000" s="9"/>
      <c r="KQ1000" s="9"/>
      <c r="KR1000" s="9"/>
      <c r="KS1000" s="9"/>
      <c r="KT1000" s="9"/>
      <c r="KU1000" s="9"/>
      <c r="KV1000" s="9"/>
      <c r="KW1000" s="9"/>
      <c r="KX1000" s="9"/>
      <c r="KY1000" s="9"/>
      <c r="KZ1000" s="9"/>
      <c r="LA1000" s="9"/>
      <c r="LB1000" s="9"/>
      <c r="LC1000" s="9"/>
      <c r="LD1000" s="9"/>
      <c r="LE1000" s="9"/>
      <c r="LF1000" s="9"/>
      <c r="LG1000" s="9"/>
      <c r="LH1000" s="9"/>
      <c r="LI1000" s="9"/>
      <c r="LJ1000" s="9"/>
      <c r="LK1000" s="9"/>
      <c r="LL1000" s="9"/>
      <c r="LM1000" s="9"/>
      <c r="LN1000" s="9"/>
      <c r="LO1000" s="9"/>
      <c r="LP1000" s="9"/>
      <c r="LQ1000" s="9"/>
      <c r="LR1000" s="9"/>
      <c r="LS1000" s="9"/>
      <c r="LT1000" s="9"/>
      <c r="LU1000" s="9"/>
      <c r="LV1000" s="9"/>
      <c r="LW1000" s="9"/>
      <c r="LX1000" s="9"/>
      <c r="LY1000" s="9"/>
      <c r="LZ1000" s="9"/>
      <c r="MA1000" s="9"/>
      <c r="MB1000" s="9"/>
      <c r="MC1000" s="9"/>
      <c r="MD1000" s="9"/>
      <c r="ME1000" s="9"/>
      <c r="MF1000" s="9"/>
      <c r="MG1000" s="9"/>
      <c r="MH1000" s="9"/>
      <c r="MI1000" s="9"/>
      <c r="MJ1000" s="9"/>
      <c r="MK1000" s="9"/>
      <c r="ML1000" s="9"/>
      <c r="MM1000" s="9"/>
      <c r="MN1000" s="9"/>
      <c r="MO1000" s="9"/>
      <c r="MP1000" s="9"/>
      <c r="MQ1000" s="9"/>
      <c r="MR1000" s="9"/>
      <c r="MS1000" s="9"/>
      <c r="MT1000" s="9"/>
      <c r="MU1000" s="9"/>
      <c r="MV1000" s="9"/>
      <c r="MW1000" s="9"/>
      <c r="MX1000" s="9"/>
      <c r="MY1000" s="9"/>
      <c r="MZ1000" s="9"/>
      <c r="NA1000" s="9"/>
      <c r="NB1000" s="9"/>
      <c r="NC1000" s="9"/>
      <c r="ND1000" s="9"/>
      <c r="NE1000" s="9"/>
      <c r="NF1000" s="9"/>
      <c r="NG1000" s="9"/>
      <c r="NH1000" s="9"/>
      <c r="NI1000" s="9"/>
      <c r="NJ1000" s="9"/>
      <c r="NK1000" s="9"/>
      <c r="NL1000" s="9"/>
      <c r="NM1000" s="9"/>
      <c r="NN1000" s="9"/>
      <c r="NO1000" s="9"/>
      <c r="NP1000" s="9"/>
      <c r="NQ1000" s="9"/>
      <c r="NR1000" s="9"/>
      <c r="NS1000" s="9"/>
      <c r="NT1000" s="9"/>
      <c r="NU1000" s="9"/>
      <c r="NV1000" s="9"/>
      <c r="NW1000" s="9"/>
      <c r="NX1000" s="9"/>
      <c r="NY1000" s="9"/>
      <c r="NZ1000" s="9"/>
      <c r="OA1000" s="9"/>
      <c r="OB1000" s="9"/>
      <c r="OC1000" s="9"/>
      <c r="OD1000" s="9"/>
      <c r="OE1000" s="9"/>
      <c r="OF1000" s="9"/>
      <c r="OG1000" s="9"/>
      <c r="OH1000" s="9"/>
      <c r="OI1000" s="9"/>
      <c r="OJ1000" s="9"/>
      <c r="OK1000" s="9"/>
      <c r="OL1000" s="9"/>
      <c r="OM1000" s="9"/>
      <c r="ON1000" s="9"/>
      <c r="OO1000" s="9"/>
      <c r="OP1000" s="9"/>
      <c r="OQ1000" s="9"/>
      <c r="OR1000" s="9"/>
      <c r="OS1000" s="9"/>
      <c r="OT1000" s="9"/>
      <c r="OU1000" s="9"/>
      <c r="OV1000" s="9"/>
      <c r="OW1000" s="9"/>
      <c r="OX1000" s="9"/>
      <c r="OY1000" s="9"/>
      <c r="OZ1000" s="9"/>
      <c r="PA1000" s="9"/>
      <c r="PB1000" s="9"/>
      <c r="PC1000" s="9"/>
      <c r="PD1000" s="9"/>
      <c r="PE1000" s="9"/>
      <c r="PF1000" s="9"/>
      <c r="PG1000" s="9"/>
      <c r="PH1000" s="9"/>
      <c r="PI1000" s="9"/>
      <c r="PJ1000" s="9"/>
      <c r="PK1000" s="9"/>
      <c r="PL1000" s="9"/>
      <c r="PM1000" s="9"/>
      <c r="PN1000" s="9"/>
      <c r="PO1000" s="9"/>
      <c r="PP1000" s="9"/>
      <c r="PQ1000" s="9"/>
      <c r="PR1000" s="9"/>
      <c r="PS1000" s="9"/>
      <c r="PT1000" s="9"/>
      <c r="PU1000" s="9"/>
      <c r="PV1000" s="9"/>
      <c r="PW1000" s="9"/>
      <c r="PX1000" s="9"/>
      <c r="PY1000" s="9"/>
      <c r="PZ1000" s="9"/>
      <c r="QA1000" s="9"/>
      <c r="QB1000" s="9"/>
      <c r="QC1000" s="9"/>
      <c r="QD1000" s="9"/>
      <c r="QE1000" s="9"/>
      <c r="QF1000" s="9"/>
      <c r="QG1000" s="9"/>
      <c r="QH1000" s="9"/>
      <c r="QI1000" s="9"/>
      <c r="QJ1000" s="9"/>
      <c r="QK1000" s="9"/>
      <c r="QL1000" s="9"/>
      <c r="QM1000" s="9"/>
      <c r="QN1000" s="9"/>
      <c r="QO1000" s="9"/>
      <c r="QP1000" s="9"/>
      <c r="QQ1000" s="9"/>
      <c r="QR1000" s="9"/>
      <c r="QS1000" s="9"/>
      <c r="QT1000" s="9"/>
      <c r="QU1000" s="9"/>
      <c r="QV1000" s="9"/>
      <c r="QW1000" s="9"/>
      <c r="QX1000" s="9"/>
      <c r="QY1000" s="9"/>
      <c r="QZ1000" s="9"/>
      <c r="RA1000" s="9"/>
      <c r="RB1000" s="9"/>
      <c r="RC1000" s="9"/>
      <c r="RD1000" s="9"/>
      <c r="RE1000" s="9"/>
      <c r="RF1000" s="9"/>
      <c r="RG1000" s="9"/>
      <c r="RH1000" s="9"/>
      <c r="RI1000" s="9"/>
      <c r="RJ1000" s="9"/>
      <c r="RK1000" s="9"/>
      <c r="RL1000" s="9"/>
      <c r="RM1000" s="9"/>
      <c r="RN1000" s="9"/>
      <c r="RO1000" s="9"/>
      <c r="RP1000" s="9"/>
      <c r="RQ1000" s="9"/>
      <c r="RR1000" s="9"/>
      <c r="RS1000" s="9"/>
      <c r="RT1000" s="9"/>
      <c r="RU1000" s="9"/>
      <c r="RV1000" s="9"/>
      <c r="RW1000" s="9"/>
      <c r="RX1000" s="9"/>
      <c r="RY1000" s="9"/>
      <c r="RZ1000" s="9"/>
      <c r="SA1000" s="9"/>
      <c r="SB1000" s="9"/>
      <c r="SC1000" s="9"/>
      <c r="SD1000" s="9"/>
      <c r="SE1000" s="9"/>
      <c r="SF1000" s="9"/>
      <c r="SG1000" s="9"/>
      <c r="SH1000" s="9"/>
      <c r="SI1000" s="9"/>
      <c r="SJ1000" s="9"/>
      <c r="SK1000" s="9"/>
      <c r="SL1000" s="9"/>
      <c r="SM1000" s="9"/>
      <c r="SN1000" s="9"/>
      <c r="SO1000" s="9"/>
      <c r="SP1000" s="9"/>
      <c r="SQ1000" s="9"/>
      <c r="SR1000" s="9"/>
      <c r="SS1000" s="9"/>
      <c r="ST1000" s="9"/>
      <c r="SU1000" s="9"/>
      <c r="SV1000" s="9"/>
      <c r="SW1000" s="9"/>
      <c r="SX1000" s="9"/>
      <c r="SY1000" s="9"/>
      <c r="SZ1000" s="9"/>
      <c r="TA1000" s="9"/>
      <c r="TB1000" s="9"/>
      <c r="TC1000" s="9"/>
      <c r="TD1000" s="9"/>
      <c r="TE1000" s="9"/>
      <c r="TF1000" s="9"/>
      <c r="TG1000" s="9"/>
      <c r="TH1000" s="9"/>
      <c r="TI1000" s="9"/>
      <c r="TJ1000" s="9"/>
      <c r="TK1000" s="9"/>
      <c r="TL1000" s="9"/>
      <c r="TM1000" s="9"/>
      <c r="TN1000" s="9"/>
      <c r="TO1000" s="9"/>
      <c r="TP1000" s="9"/>
      <c r="TQ1000" s="9"/>
      <c r="TR1000" s="9"/>
      <c r="TS1000" s="9"/>
      <c r="TT1000" s="9"/>
      <c r="TU1000" s="9"/>
      <c r="TV1000" s="9"/>
      <c r="TW1000" s="9"/>
      <c r="TX1000" s="9"/>
      <c r="TY1000" s="9"/>
      <c r="TZ1000" s="9"/>
      <c r="UA1000" s="9"/>
      <c r="UB1000" s="9"/>
      <c r="UC1000" s="9"/>
      <c r="UD1000" s="9"/>
      <c r="UE1000" s="9"/>
      <c r="UF1000" s="9"/>
      <c r="UG1000" s="9"/>
      <c r="UH1000" s="9"/>
      <c r="UI1000" s="9"/>
      <c r="UJ1000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0"/>
    <col customWidth="1" min="5" max="5" width="14.25"/>
    <col customWidth="1" min="6" max="26" width="20.88"/>
  </cols>
  <sheetData>
    <row r="1">
      <c r="A1" s="12" t="s">
        <v>0</v>
      </c>
      <c r="B1" s="13" t="s">
        <v>1</v>
      </c>
      <c r="C1" s="14" t="s">
        <v>2</v>
      </c>
      <c r="D1" s="15" t="s">
        <v>3</v>
      </c>
      <c r="E1" s="15" t="s">
        <v>4</v>
      </c>
      <c r="F1" s="15" t="s">
        <v>5</v>
      </c>
      <c r="G1" s="15" t="s">
        <v>13</v>
      </c>
      <c r="H1" s="15" t="s">
        <v>14</v>
      </c>
      <c r="I1" s="15" t="s">
        <v>15</v>
      </c>
      <c r="J1" s="15" t="s">
        <v>23</v>
      </c>
      <c r="K1" s="15" t="s">
        <v>24</v>
      </c>
      <c r="L1" s="15" t="s">
        <v>18</v>
      </c>
      <c r="M1" s="15" t="s">
        <v>25</v>
      </c>
      <c r="N1" s="15" t="s">
        <v>21</v>
      </c>
      <c r="O1" s="15" t="s">
        <v>27</v>
      </c>
      <c r="P1" s="15" t="s">
        <v>28</v>
      </c>
      <c r="Q1" s="15"/>
      <c r="R1" s="15"/>
      <c r="S1" s="15"/>
      <c r="T1" s="15"/>
      <c r="U1" s="15"/>
      <c r="V1" s="15"/>
      <c r="W1" s="15"/>
      <c r="X1" s="15"/>
      <c r="Y1" s="15"/>
      <c r="Z1" s="15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6"/>
    </row>
    <row r="2" ht="48.75" customHeight="1">
      <c r="A2" s="17" t="s">
        <v>0</v>
      </c>
      <c r="B2" s="18" t="s">
        <v>29</v>
      </c>
      <c r="C2" s="18" t="s">
        <v>30</v>
      </c>
      <c r="D2" s="18" t="s">
        <v>31</v>
      </c>
      <c r="E2" s="18" t="s">
        <v>32</v>
      </c>
      <c r="F2" s="18" t="s">
        <v>33</v>
      </c>
      <c r="G2" s="18" t="s">
        <v>34</v>
      </c>
      <c r="H2" s="18" t="s">
        <v>35</v>
      </c>
      <c r="I2" s="18" t="s">
        <v>36</v>
      </c>
      <c r="J2" s="18" t="s">
        <v>37</v>
      </c>
      <c r="K2" s="18" t="s">
        <v>38</v>
      </c>
      <c r="L2" s="18" t="s">
        <v>39</v>
      </c>
      <c r="M2" s="18" t="s">
        <v>40</v>
      </c>
      <c r="N2" s="18" t="s">
        <v>41</v>
      </c>
      <c r="O2" s="18" t="s">
        <v>42</v>
      </c>
      <c r="P2" s="18" t="s">
        <v>43</v>
      </c>
      <c r="Q2" s="18"/>
      <c r="R2" s="18"/>
      <c r="S2" s="18"/>
      <c r="T2" s="18"/>
      <c r="U2" s="18"/>
      <c r="V2" s="18"/>
      <c r="W2" s="18"/>
      <c r="X2" s="18"/>
      <c r="Y2" s="18"/>
      <c r="Z2" s="18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</row>
    <row r="3">
      <c r="A3" s="19" t="s">
        <v>44</v>
      </c>
      <c r="B3" s="20">
        <f t="shared" ref="B3:C3" si="1">SUM(B5:B999)</f>
        <v>7732</v>
      </c>
      <c r="C3" s="20">
        <f t="shared" si="1"/>
        <v>32766</v>
      </c>
      <c r="D3" s="20"/>
      <c r="E3" s="20">
        <f t="shared" ref="E3:Z3" si="2">SUM(E5:E999)</f>
        <v>578799</v>
      </c>
      <c r="F3" s="20">
        <f t="shared" si="2"/>
        <v>22472</v>
      </c>
      <c r="G3" s="20">
        <f t="shared" si="2"/>
        <v>5583</v>
      </c>
      <c r="H3" s="20">
        <f t="shared" si="2"/>
        <v>157</v>
      </c>
      <c r="I3" s="20">
        <f t="shared" si="2"/>
        <v>1905</v>
      </c>
      <c r="J3" s="20">
        <f t="shared" si="2"/>
        <v>4486</v>
      </c>
      <c r="K3" s="20">
        <f t="shared" si="2"/>
        <v>5540</v>
      </c>
      <c r="L3" s="20">
        <f t="shared" si="2"/>
        <v>3026</v>
      </c>
      <c r="M3" s="20">
        <f t="shared" si="2"/>
        <v>419</v>
      </c>
      <c r="N3" s="20">
        <f t="shared" si="2"/>
        <v>4597</v>
      </c>
      <c r="O3" s="20">
        <f t="shared" si="2"/>
        <v>0</v>
      </c>
      <c r="P3" s="20">
        <f t="shared" si="2"/>
        <v>0</v>
      </c>
      <c r="Q3" s="20">
        <f t="shared" si="2"/>
        <v>0</v>
      </c>
      <c r="R3" s="20">
        <f t="shared" si="2"/>
        <v>0</v>
      </c>
      <c r="S3" s="20">
        <f t="shared" si="2"/>
        <v>0</v>
      </c>
      <c r="T3" s="20">
        <f t="shared" si="2"/>
        <v>0</v>
      </c>
      <c r="U3" s="20">
        <f t="shared" si="2"/>
        <v>0</v>
      </c>
      <c r="V3" s="20">
        <f t="shared" si="2"/>
        <v>0</v>
      </c>
      <c r="W3" s="20">
        <f t="shared" si="2"/>
        <v>0</v>
      </c>
      <c r="X3" s="20">
        <f t="shared" si="2"/>
        <v>0</v>
      </c>
      <c r="Y3" s="20">
        <f t="shared" si="2"/>
        <v>0</v>
      </c>
      <c r="Z3" s="20">
        <f t="shared" si="2"/>
        <v>0</v>
      </c>
      <c r="AA3" s="21"/>
      <c r="AB3" s="21"/>
      <c r="AC3" s="21"/>
      <c r="AD3" s="21"/>
      <c r="AE3" s="22"/>
      <c r="AF3" s="22"/>
      <c r="AG3" s="22"/>
      <c r="AH3" s="22"/>
      <c r="AI3" s="22"/>
      <c r="AJ3" s="22"/>
      <c r="AK3" s="22"/>
      <c r="AL3" s="22"/>
      <c r="AM3" s="20"/>
    </row>
    <row r="4" hidden="1">
      <c r="A4" s="23" t="str">
        <f>IFERROR(__xludf.DUMMYFUNCTION("QUERY(Stats!$A1:$9995,""SELECT `""&amp;REGEXREPLACE(ADDRESS(1,MATCH(""Date"",Stats!$1:$1,0),4,TRUE)&amp;""`"",""Statistiques!|1"",""""),1)"),"Date")</f>
        <v>Date</v>
      </c>
      <c r="B4" s="24" t="str">
        <f>IFERROR(__xludf.DUMMYFUNCTION("QUERY(Stats!$A1:AM$9996,""SELECT `""&amp;REGEXREPLACE(ADDRESS(1,MATCH(B$1,Stats!$1:$1,0),4,TRUE)&amp;""`"",""1"",""""),1)"),"conversationsCount")</f>
        <v>conversationsCount</v>
      </c>
      <c r="C4" s="24" t="str">
        <f>IFERROR(__xludf.DUMMYFUNCTION("QUERY(Stats!$A1:AM$9996,""SELECT `""&amp;REGEXREPLACE(ADDRESS(1,MATCH(C$1,Stats!$1:$1,0),4,TRUE)&amp;""`"",""1"",""""),1)"),"messagesCount")</f>
        <v>messagesCount</v>
      </c>
      <c r="D4" s="24" t="str">
        <f>IFERROR(__xludf.DUMMYFUNCTION("QUERY(Stats!$A1:AM$9996,""SELECT `""&amp;REGEXREPLACE(ADDRESS(1,MATCH(D$1,Stats!$1:$1,0),4,TRUE)&amp;""`"",""1"",""""),1)"),"averageMessages")</f>
        <v>averageMessages</v>
      </c>
      <c r="E4" s="24" t="str">
        <f>IFERROR(__xludf.DUMMYFUNCTION("QUERY(Stats!$A1:AM$9996,""SELECT `""&amp;REGEXREPLACE(ADDRESS(1,MATCH(E$1,Stats!$1:$1,0),4,TRUE)&amp;""`"",""1"",""""),1)"),"conversationsDuration")</f>
        <v>conversationsDuration</v>
      </c>
      <c r="F4" s="24" t="str">
        <f>IFERROR(__xludf.DUMMYFUNCTION("QUERY(Stats!$A1:AM$9996,""SELECT `""&amp;REGEXREPLACE(ADDRESS(1,MATCH(F$1,Stats!$1:$1,0),4,TRUE)&amp;""`"",""1"",""""),1)"),"averageConversationsDuration")</f>
        <v>averageConversationsDuration</v>
      </c>
      <c r="G4" s="24" t="str">
        <f>IFERROR(__xludf.DUMMYFUNCTION("QUERY(Stats!$A1:AM$9996,""SELECT `""&amp;REGEXREPLACE(ADDRESS(1,MATCH(G$1,Stats!$1:$1,0),4,TRUE)&amp;""`"",""1"",""""),1)"),"welcome_printemps_fr")</f>
        <v>welcome_printemps_fr</v>
      </c>
      <c r="H4" s="24" t="str">
        <f>IFERROR(__xludf.DUMMYFUNCTION("QUERY(Stats!$A1:AM$9996,""SELECT `""&amp;REGEXREPLACE(ADDRESS(1,MATCH(H$1,Stats!$1:$1,0),4,TRUE)&amp;""`"",""1"",""""),1)"),"welcome_printemps_en")</f>
        <v>welcome_printemps_en</v>
      </c>
      <c r="I4" s="24" t="str">
        <f>IFERROR(__xludf.DUMMYFUNCTION("QUERY(Stats!$A1:AM$9996,""SELECT `""&amp;REGEXREPLACE(ADDRESS(1,MATCH(I$1,Stats!$1:$1,0),4,TRUE)&amp;""`"",""1"",""""),1)"),"welcome_citadium_fr")</f>
        <v>welcome_citadium_fr</v>
      </c>
      <c r="J4" s="24" t="str">
        <f>IFERROR(__xludf.DUMMYFUNCTION("QUERY(Stats!$A1:AM$9996,""SELECT `""&amp;REGEXREPLACE(ADDRESS(1,MATCH(J$1,Stats!$1:$1,0),4,TRUE)&amp;""`"",""1"",""""),1)"),"wrong_order_number")</f>
        <v>wrong_order_number</v>
      </c>
      <c r="K4" s="24" t="str">
        <f>IFERROR(__xludf.DUMMYFUNCTION("QUERY(Stats!$A1:AM$9996,""SELECT `""&amp;REGEXREPLACE(ADDRESS(1,MATCH(K$1,Stats!$1:$1,0),4,TRUE)&amp;""`"",""1"",""""),1)"),"order_found")</f>
        <v>order_found</v>
      </c>
      <c r="L4" s="24" t="str">
        <f>IFERROR(__xludf.DUMMYFUNCTION("QUERY(Stats!$A1:AM$9996,""SELECT `""&amp;REGEXREPLACE(ADDRESS(1,MATCH(L$1,Stats!$1:$1,0),4,TRUE)&amp;""`"",""1"",""""),1)"),"order_not_found")</f>
        <v>order_not_found</v>
      </c>
      <c r="M4" s="24" t="str">
        <f>IFERROR(__xludf.DUMMYFUNCTION("QUERY(Stats!$A1:AM$9996,""SELECT `""&amp;REGEXREPLACE(ADDRESS(1,MATCH(M$1,Stats!$1:$1,0),4,TRUE)&amp;""`"",""1"",""""),1)"),"satisfaction_ok")</f>
        <v>satisfaction_ok</v>
      </c>
      <c r="N4" s="24" t="str">
        <f>IFERROR(__xludf.DUMMYFUNCTION("QUERY(Stats!$A1:AM$9996,""SELECT `""&amp;REGEXREPLACE(ADDRESS(1,MATCH(N$1,Stats!$1:$1,0),4,TRUE)&amp;""`"",""1"",""""),1)"),"satisfaction_ko")</f>
        <v>satisfaction_ko</v>
      </c>
      <c r="O4" s="24" t="str">
        <f>IFERROR(__xludf.DUMMYFUNCTION("QUERY(Stats!$A1:AM$9996,""SELECT `""&amp;REGEXREPLACE(ADDRESS(1,MATCH(O$1,Stats!$1:$1,0),4,TRUE)&amp;""`"",""1"",""""),1)"),"#N/A")</f>
        <v>#N/A</v>
      </c>
      <c r="P4" s="24" t="str">
        <f>IFERROR(__xludf.DUMMYFUNCTION("QUERY(Stats!$A1:AM$9996,""SELECT `""&amp;REGEXREPLACE(ADDRESS(1,MATCH(P$1,Stats!$1:$1,0),4,TRUE)&amp;""`"",""1"",""""),1)"),"#N/A")</f>
        <v>#N/A</v>
      </c>
      <c r="Q4" s="24" t="str">
        <f>IFERROR(__xludf.DUMMYFUNCTION("QUERY(Stats!$A1:AM$9996,""SELECT `""&amp;REGEXREPLACE(ADDRESS(1,MATCH(Q$1,Stats!$1:$1,0),4,TRUE)&amp;""`"",""1"",""""),1)"),"#N/A")</f>
        <v>#N/A</v>
      </c>
      <c r="R4" s="24" t="str">
        <f>IFERROR(__xludf.DUMMYFUNCTION("QUERY(Stats!$A1:AM$9996,""SELECT `""&amp;REGEXREPLACE(ADDRESS(1,MATCH(R$1,Stats!$1:$1,0),4,TRUE)&amp;""`"",""1"",""""),1)"),"#N/A")</f>
        <v>#N/A</v>
      </c>
      <c r="S4" s="24" t="str">
        <f>IFERROR(__xludf.DUMMYFUNCTION("QUERY(Stats!$A1:AM$9996,""SELECT `""&amp;REGEXREPLACE(ADDRESS(1,MATCH(S$1,Stats!$1:$1,0),4,TRUE)&amp;""`"",""1"",""""),1)"),"#N/A")</f>
        <v>#N/A</v>
      </c>
      <c r="T4" s="24" t="str">
        <f>IFERROR(__xludf.DUMMYFUNCTION("QUERY(Stats!$A1:AM$9996,""SELECT `""&amp;REGEXREPLACE(ADDRESS(1,MATCH(T$1,Stats!$1:$1,0),4,TRUE)&amp;""`"",""1"",""""),1)"),"#N/A")</f>
        <v>#N/A</v>
      </c>
      <c r="U4" s="24" t="str">
        <f>IFERROR(__xludf.DUMMYFUNCTION("QUERY(Stats!$A1:AM$9996,""SELECT `""&amp;REGEXREPLACE(ADDRESS(1,MATCH(U$1,Stats!$1:$1,0),4,TRUE)&amp;""`"",""1"",""""),1)"),"#N/A")</f>
        <v>#N/A</v>
      </c>
      <c r="V4" s="24" t="str">
        <f>IFERROR(__xludf.DUMMYFUNCTION("QUERY(Stats!$A1:AM$9996,""SELECT `""&amp;REGEXREPLACE(ADDRESS(1,MATCH(V$1,Stats!$1:$1,0),4,TRUE)&amp;""`"",""1"",""""),1)"),"#N/A")</f>
        <v>#N/A</v>
      </c>
      <c r="W4" s="24" t="str">
        <f>IFERROR(__xludf.DUMMYFUNCTION("QUERY(Stats!$A1:AM$9996,""SELECT `""&amp;REGEXREPLACE(ADDRESS(1,MATCH(W$1,Stats!$1:$1,0),4,TRUE)&amp;""`"",""1"",""""),1)"),"#N/A")</f>
        <v>#N/A</v>
      </c>
      <c r="X4" s="24" t="str">
        <f>IFERROR(__xludf.DUMMYFUNCTION("QUERY(Stats!$A1:AM$9996,""SELECT `""&amp;REGEXREPLACE(ADDRESS(1,MATCH(X$1,Stats!$1:$1,0),4,TRUE)&amp;""`"",""1"",""""),1)"),"#N/A")</f>
        <v>#N/A</v>
      </c>
      <c r="Y4" s="24" t="str">
        <f>IFERROR(__xludf.DUMMYFUNCTION("QUERY(Stats!$A1:AM$9996,""SELECT `""&amp;REGEXREPLACE(ADDRESS(1,MATCH(Y$1,Stats!$1:$1,0),4,TRUE)&amp;""`"",""1"",""""),1)"),"#N/A")</f>
        <v>#N/A</v>
      </c>
      <c r="Z4" s="24" t="str">
        <f>IFERROR(__xludf.DUMMYFUNCTION("QUERY(Stats!$A1:AM$9996,""SELECT `""&amp;REGEXREPLACE(ADDRESS(1,MATCH(Z$1,Stats!$1:$1,0),4,TRUE)&amp;""`"",""1"",""""),1)"),"#N/A")</f>
        <v>#N/A</v>
      </c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5"/>
      <c r="AM4" s="25"/>
    </row>
    <row r="5">
      <c r="A5" s="26">
        <f>IFERROR(__xludf.DUMMYFUNCTION("""COMPUTED_VALUE"""),45120.0)</f>
        <v>45120</v>
      </c>
      <c r="B5" s="27">
        <f>IFERROR(__xludf.DUMMYFUNCTION("""COMPUTED_VALUE"""),48.0)</f>
        <v>48</v>
      </c>
      <c r="C5" s="28">
        <f>IFERROR(__xludf.DUMMYFUNCTION("""COMPUTED_VALUE"""),172.0)</f>
        <v>172</v>
      </c>
      <c r="D5" s="28">
        <f>IFERROR(__xludf.DUMMYFUNCTION("""COMPUTED_VALUE"""),4.0)</f>
        <v>4</v>
      </c>
      <c r="E5" s="28">
        <f>IFERROR(__xludf.DUMMYFUNCTION("""COMPUTED_VALUE"""),2286.0)</f>
        <v>2286</v>
      </c>
      <c r="F5" s="28">
        <f>IFERROR(__xludf.DUMMYFUNCTION("""COMPUTED_VALUE"""),48.0)</f>
        <v>48</v>
      </c>
      <c r="G5" s="28">
        <f>IFERROR(__xludf.DUMMYFUNCTION("""COMPUTED_VALUE"""),2.0)</f>
        <v>2</v>
      </c>
      <c r="H5" s="28">
        <f>IFERROR(__xludf.DUMMYFUNCTION("""COMPUTED_VALUE"""),0.0)</f>
        <v>0</v>
      </c>
      <c r="I5" s="28">
        <f>IFERROR(__xludf.DUMMYFUNCTION("""COMPUTED_VALUE"""),0.0)</f>
        <v>0</v>
      </c>
      <c r="J5" s="28">
        <f>IFERROR(__xludf.DUMMYFUNCTION("""COMPUTED_VALUE"""),0.0)</f>
        <v>0</v>
      </c>
      <c r="K5" s="28">
        <f>IFERROR(__xludf.DUMMYFUNCTION("""COMPUTED_VALUE"""),2.0)</f>
        <v>2</v>
      </c>
      <c r="L5" s="28">
        <f>IFERROR(__xludf.DUMMYFUNCTION("""COMPUTED_VALUE"""),0.0)</f>
        <v>0</v>
      </c>
      <c r="M5" s="28">
        <f>IFERROR(__xludf.DUMMYFUNCTION("""COMPUTED_VALUE"""),2.0)</f>
        <v>2</v>
      </c>
      <c r="N5" s="28">
        <f>IFERROR(__xludf.DUMMYFUNCTION("""COMPUTED_VALUE"""),0.0)</f>
        <v>0</v>
      </c>
    </row>
    <row r="6">
      <c r="A6" s="26">
        <f>IFERROR(__xludf.DUMMYFUNCTION("""COMPUTED_VALUE"""),45121.0)</f>
        <v>45121</v>
      </c>
      <c r="B6" s="27">
        <f>IFERROR(__xludf.DUMMYFUNCTION("""COMPUTED_VALUE"""),0.0)</f>
        <v>0</v>
      </c>
      <c r="C6" s="28">
        <f>IFERROR(__xludf.DUMMYFUNCTION("""COMPUTED_VALUE"""),0.0)</f>
        <v>0</v>
      </c>
      <c r="D6" s="28">
        <f>IFERROR(__xludf.DUMMYFUNCTION("""COMPUTED_VALUE"""),0.0)</f>
        <v>0</v>
      </c>
      <c r="E6" s="28">
        <f>IFERROR(__xludf.DUMMYFUNCTION("""COMPUTED_VALUE"""),0.0)</f>
        <v>0</v>
      </c>
      <c r="F6" s="28">
        <f>IFERROR(__xludf.DUMMYFUNCTION("""COMPUTED_VALUE"""),0.0)</f>
        <v>0</v>
      </c>
      <c r="G6" s="28">
        <f>IFERROR(__xludf.DUMMYFUNCTION("""COMPUTED_VALUE"""),0.0)</f>
        <v>0</v>
      </c>
      <c r="H6" s="28">
        <f>IFERROR(__xludf.DUMMYFUNCTION("""COMPUTED_VALUE"""),0.0)</f>
        <v>0</v>
      </c>
      <c r="I6" s="28">
        <f>IFERROR(__xludf.DUMMYFUNCTION("""COMPUTED_VALUE"""),0.0)</f>
        <v>0</v>
      </c>
      <c r="J6" s="28">
        <f>IFERROR(__xludf.DUMMYFUNCTION("""COMPUTED_VALUE"""),0.0)</f>
        <v>0</v>
      </c>
      <c r="K6" s="28">
        <f>IFERROR(__xludf.DUMMYFUNCTION("""COMPUTED_VALUE"""),0.0)</f>
        <v>0</v>
      </c>
      <c r="L6" s="28">
        <f>IFERROR(__xludf.DUMMYFUNCTION("""COMPUTED_VALUE"""),0.0)</f>
        <v>0</v>
      </c>
      <c r="M6" s="28">
        <f>IFERROR(__xludf.DUMMYFUNCTION("""COMPUTED_VALUE"""),0.0)</f>
        <v>0</v>
      </c>
      <c r="N6" s="28">
        <f>IFERROR(__xludf.DUMMYFUNCTION("""COMPUTED_VALUE"""),0.0)</f>
        <v>0</v>
      </c>
    </row>
    <row r="7">
      <c r="A7" s="26">
        <f>IFERROR(__xludf.DUMMYFUNCTION("""COMPUTED_VALUE"""),45122.0)</f>
        <v>45122</v>
      </c>
      <c r="B7" s="27">
        <f>IFERROR(__xludf.DUMMYFUNCTION("""COMPUTED_VALUE"""),0.0)</f>
        <v>0</v>
      </c>
      <c r="C7" s="28">
        <f>IFERROR(__xludf.DUMMYFUNCTION("""COMPUTED_VALUE"""),0.0)</f>
        <v>0</v>
      </c>
      <c r="D7" s="28">
        <f>IFERROR(__xludf.DUMMYFUNCTION("""COMPUTED_VALUE"""),0.0)</f>
        <v>0</v>
      </c>
      <c r="E7" s="28">
        <f>IFERROR(__xludf.DUMMYFUNCTION("""COMPUTED_VALUE"""),0.0)</f>
        <v>0</v>
      </c>
      <c r="F7" s="28">
        <f>IFERROR(__xludf.DUMMYFUNCTION("""COMPUTED_VALUE"""),0.0)</f>
        <v>0</v>
      </c>
      <c r="G7" s="28">
        <f>IFERROR(__xludf.DUMMYFUNCTION("""COMPUTED_VALUE"""),0.0)</f>
        <v>0</v>
      </c>
      <c r="H7" s="28">
        <f>IFERROR(__xludf.DUMMYFUNCTION("""COMPUTED_VALUE"""),0.0)</f>
        <v>0</v>
      </c>
      <c r="I7" s="28">
        <f>IFERROR(__xludf.DUMMYFUNCTION("""COMPUTED_VALUE"""),0.0)</f>
        <v>0</v>
      </c>
      <c r="J7" s="28">
        <f>IFERROR(__xludf.DUMMYFUNCTION("""COMPUTED_VALUE"""),0.0)</f>
        <v>0</v>
      </c>
      <c r="K7" s="28">
        <f>IFERROR(__xludf.DUMMYFUNCTION("""COMPUTED_VALUE"""),0.0)</f>
        <v>0</v>
      </c>
      <c r="L7" s="28">
        <f>IFERROR(__xludf.DUMMYFUNCTION("""COMPUTED_VALUE"""),0.0)</f>
        <v>0</v>
      </c>
      <c r="M7" s="28">
        <f>IFERROR(__xludf.DUMMYFUNCTION("""COMPUTED_VALUE"""),0.0)</f>
        <v>0</v>
      </c>
      <c r="N7" s="28">
        <f>IFERROR(__xludf.DUMMYFUNCTION("""COMPUTED_VALUE"""),0.0)</f>
        <v>0</v>
      </c>
    </row>
    <row r="8">
      <c r="A8" s="26">
        <f>IFERROR(__xludf.DUMMYFUNCTION("""COMPUTED_VALUE"""),45123.0)</f>
        <v>45123</v>
      </c>
      <c r="B8" s="27">
        <f>IFERROR(__xludf.DUMMYFUNCTION("""COMPUTED_VALUE"""),0.0)</f>
        <v>0</v>
      </c>
      <c r="C8" s="28">
        <f>IFERROR(__xludf.DUMMYFUNCTION("""COMPUTED_VALUE"""),0.0)</f>
        <v>0</v>
      </c>
      <c r="D8" s="28">
        <f>IFERROR(__xludf.DUMMYFUNCTION("""COMPUTED_VALUE"""),0.0)</f>
        <v>0</v>
      </c>
      <c r="E8" s="28">
        <f>IFERROR(__xludf.DUMMYFUNCTION("""COMPUTED_VALUE"""),0.0)</f>
        <v>0</v>
      </c>
      <c r="F8" s="28">
        <f>IFERROR(__xludf.DUMMYFUNCTION("""COMPUTED_VALUE"""),0.0)</f>
        <v>0</v>
      </c>
      <c r="G8" s="28">
        <f>IFERROR(__xludf.DUMMYFUNCTION("""COMPUTED_VALUE"""),0.0)</f>
        <v>0</v>
      </c>
      <c r="H8" s="28">
        <f>IFERROR(__xludf.DUMMYFUNCTION("""COMPUTED_VALUE"""),0.0)</f>
        <v>0</v>
      </c>
      <c r="I8" s="28">
        <f>IFERROR(__xludf.DUMMYFUNCTION("""COMPUTED_VALUE"""),0.0)</f>
        <v>0</v>
      </c>
      <c r="J8" s="28">
        <f>IFERROR(__xludf.DUMMYFUNCTION("""COMPUTED_VALUE"""),0.0)</f>
        <v>0</v>
      </c>
      <c r="K8" s="28">
        <f>IFERROR(__xludf.DUMMYFUNCTION("""COMPUTED_VALUE"""),0.0)</f>
        <v>0</v>
      </c>
      <c r="L8" s="28">
        <f>IFERROR(__xludf.DUMMYFUNCTION("""COMPUTED_VALUE"""),0.0)</f>
        <v>0</v>
      </c>
      <c r="M8" s="28">
        <f>IFERROR(__xludf.DUMMYFUNCTION("""COMPUTED_VALUE"""),0.0)</f>
        <v>0</v>
      </c>
      <c r="N8" s="28">
        <f>IFERROR(__xludf.DUMMYFUNCTION("""COMPUTED_VALUE"""),0.0)</f>
        <v>0</v>
      </c>
    </row>
    <row r="9">
      <c r="A9" s="26">
        <f>IFERROR(__xludf.DUMMYFUNCTION("""COMPUTED_VALUE"""),45124.0)</f>
        <v>45124</v>
      </c>
      <c r="B9" s="27">
        <f>IFERROR(__xludf.DUMMYFUNCTION("""COMPUTED_VALUE"""),0.0)</f>
        <v>0</v>
      </c>
      <c r="C9" s="28">
        <f>IFERROR(__xludf.DUMMYFUNCTION("""COMPUTED_VALUE"""),0.0)</f>
        <v>0</v>
      </c>
      <c r="D9" s="28">
        <f>IFERROR(__xludf.DUMMYFUNCTION("""COMPUTED_VALUE"""),0.0)</f>
        <v>0</v>
      </c>
      <c r="E9" s="28">
        <f>IFERROR(__xludf.DUMMYFUNCTION("""COMPUTED_VALUE"""),0.0)</f>
        <v>0</v>
      </c>
      <c r="F9" s="28">
        <f>IFERROR(__xludf.DUMMYFUNCTION("""COMPUTED_VALUE"""),0.0)</f>
        <v>0</v>
      </c>
      <c r="G9" s="28">
        <f>IFERROR(__xludf.DUMMYFUNCTION("""COMPUTED_VALUE"""),0.0)</f>
        <v>0</v>
      </c>
      <c r="H9" s="28">
        <f>IFERROR(__xludf.DUMMYFUNCTION("""COMPUTED_VALUE"""),0.0)</f>
        <v>0</v>
      </c>
      <c r="I9" s="28">
        <f>IFERROR(__xludf.DUMMYFUNCTION("""COMPUTED_VALUE"""),0.0)</f>
        <v>0</v>
      </c>
      <c r="J9" s="28">
        <f>IFERROR(__xludf.DUMMYFUNCTION("""COMPUTED_VALUE"""),0.0)</f>
        <v>0</v>
      </c>
      <c r="K9" s="28">
        <f>IFERROR(__xludf.DUMMYFUNCTION("""COMPUTED_VALUE"""),0.0)</f>
        <v>0</v>
      </c>
      <c r="L9" s="28">
        <f>IFERROR(__xludf.DUMMYFUNCTION("""COMPUTED_VALUE"""),0.0)</f>
        <v>0</v>
      </c>
      <c r="M9" s="28">
        <f>IFERROR(__xludf.DUMMYFUNCTION("""COMPUTED_VALUE"""),0.0)</f>
        <v>0</v>
      </c>
      <c r="N9" s="28">
        <f>IFERROR(__xludf.DUMMYFUNCTION("""COMPUTED_VALUE"""),0.0)</f>
        <v>0</v>
      </c>
    </row>
    <row r="10">
      <c r="A10" s="26">
        <f>IFERROR(__xludf.DUMMYFUNCTION("""COMPUTED_VALUE"""),45125.0)</f>
        <v>45125</v>
      </c>
      <c r="B10" s="27">
        <f>IFERROR(__xludf.DUMMYFUNCTION("""COMPUTED_VALUE"""),7.0)</f>
        <v>7</v>
      </c>
      <c r="C10" s="28">
        <f>IFERROR(__xludf.DUMMYFUNCTION("""COMPUTED_VALUE"""),20.0)</f>
        <v>20</v>
      </c>
      <c r="D10" s="28">
        <f>IFERROR(__xludf.DUMMYFUNCTION("""COMPUTED_VALUE"""),3.0)</f>
        <v>3</v>
      </c>
      <c r="E10" s="28">
        <f>IFERROR(__xludf.DUMMYFUNCTION("""COMPUTED_VALUE"""),299.0)</f>
        <v>299</v>
      </c>
      <c r="F10" s="28">
        <f>IFERROR(__xludf.DUMMYFUNCTION("""COMPUTED_VALUE"""),43.0)</f>
        <v>43</v>
      </c>
      <c r="G10" s="28">
        <f>IFERROR(__xludf.DUMMYFUNCTION("""COMPUTED_VALUE"""),7.0)</f>
        <v>7</v>
      </c>
      <c r="H10" s="28">
        <f>IFERROR(__xludf.DUMMYFUNCTION("""COMPUTED_VALUE"""),0.0)</f>
        <v>0</v>
      </c>
      <c r="I10" s="28">
        <f>IFERROR(__xludf.DUMMYFUNCTION("""COMPUTED_VALUE"""),0.0)</f>
        <v>0</v>
      </c>
      <c r="J10" s="28">
        <f>IFERROR(__xludf.DUMMYFUNCTION("""COMPUTED_VALUE"""),0.0)</f>
        <v>0</v>
      </c>
      <c r="K10" s="28">
        <f>IFERROR(__xludf.DUMMYFUNCTION("""COMPUTED_VALUE"""),5.0)</f>
        <v>5</v>
      </c>
      <c r="L10" s="28">
        <f>IFERROR(__xludf.DUMMYFUNCTION("""COMPUTED_VALUE"""),0.0)</f>
        <v>0</v>
      </c>
      <c r="M10" s="28">
        <f>IFERROR(__xludf.DUMMYFUNCTION("""COMPUTED_VALUE"""),1.0)</f>
        <v>1</v>
      </c>
      <c r="N10" s="28">
        <f>IFERROR(__xludf.DUMMYFUNCTION("""COMPUTED_VALUE"""),0.0)</f>
        <v>0</v>
      </c>
    </row>
    <row r="11">
      <c r="A11" s="26">
        <f>IFERROR(__xludf.DUMMYFUNCTION("""COMPUTED_VALUE"""),45126.0)</f>
        <v>45126</v>
      </c>
      <c r="B11" s="27">
        <f>IFERROR(__xludf.DUMMYFUNCTION("""COMPUTED_VALUE"""),0.0)</f>
        <v>0</v>
      </c>
      <c r="C11" s="28">
        <f>IFERROR(__xludf.DUMMYFUNCTION("""COMPUTED_VALUE"""),0.0)</f>
        <v>0</v>
      </c>
      <c r="D11" s="28">
        <f>IFERROR(__xludf.DUMMYFUNCTION("""COMPUTED_VALUE"""),0.0)</f>
        <v>0</v>
      </c>
      <c r="E11" s="28">
        <f>IFERROR(__xludf.DUMMYFUNCTION("""COMPUTED_VALUE"""),0.0)</f>
        <v>0</v>
      </c>
      <c r="F11" s="28">
        <f>IFERROR(__xludf.DUMMYFUNCTION("""COMPUTED_VALUE"""),0.0)</f>
        <v>0</v>
      </c>
      <c r="G11" s="28">
        <f>IFERROR(__xludf.DUMMYFUNCTION("""COMPUTED_VALUE"""),0.0)</f>
        <v>0</v>
      </c>
      <c r="H11" s="28">
        <f>IFERROR(__xludf.DUMMYFUNCTION("""COMPUTED_VALUE"""),0.0)</f>
        <v>0</v>
      </c>
      <c r="I11" s="28">
        <f>IFERROR(__xludf.DUMMYFUNCTION("""COMPUTED_VALUE"""),0.0)</f>
        <v>0</v>
      </c>
      <c r="J11" s="28">
        <f>IFERROR(__xludf.DUMMYFUNCTION("""COMPUTED_VALUE"""),0.0)</f>
        <v>0</v>
      </c>
      <c r="K11" s="28">
        <f>IFERROR(__xludf.DUMMYFUNCTION("""COMPUTED_VALUE"""),0.0)</f>
        <v>0</v>
      </c>
      <c r="L11" s="28">
        <f>IFERROR(__xludf.DUMMYFUNCTION("""COMPUTED_VALUE"""),0.0)</f>
        <v>0</v>
      </c>
      <c r="M11" s="28">
        <f>IFERROR(__xludf.DUMMYFUNCTION("""COMPUTED_VALUE"""),0.0)</f>
        <v>0</v>
      </c>
      <c r="N11" s="28">
        <f>IFERROR(__xludf.DUMMYFUNCTION("""COMPUTED_VALUE"""),0.0)</f>
        <v>0</v>
      </c>
    </row>
    <row r="12">
      <c r="A12" s="26">
        <f>IFERROR(__xludf.DUMMYFUNCTION("""COMPUTED_VALUE"""),45127.0)</f>
        <v>45127</v>
      </c>
      <c r="B12" s="27">
        <f>IFERROR(__xludf.DUMMYFUNCTION("""COMPUTED_VALUE"""),42.0)</f>
        <v>42</v>
      </c>
      <c r="C12" s="28">
        <f>IFERROR(__xludf.DUMMYFUNCTION("""COMPUTED_VALUE"""),140.0)</f>
        <v>140</v>
      </c>
      <c r="D12" s="28">
        <f>IFERROR(__xludf.DUMMYFUNCTION("""COMPUTED_VALUE"""),3.0)</f>
        <v>3</v>
      </c>
      <c r="E12" s="28">
        <f>IFERROR(__xludf.DUMMYFUNCTION("""COMPUTED_VALUE"""),1716.0)</f>
        <v>1716</v>
      </c>
      <c r="F12" s="28">
        <f>IFERROR(__xludf.DUMMYFUNCTION("""COMPUTED_VALUE"""),41.0)</f>
        <v>41</v>
      </c>
      <c r="G12" s="28">
        <f>IFERROR(__xludf.DUMMYFUNCTION("""COMPUTED_VALUE"""),25.0)</f>
        <v>25</v>
      </c>
      <c r="H12" s="28">
        <f>IFERROR(__xludf.DUMMYFUNCTION("""COMPUTED_VALUE"""),14.0)</f>
        <v>14</v>
      </c>
      <c r="I12" s="28">
        <f>IFERROR(__xludf.DUMMYFUNCTION("""COMPUTED_VALUE"""),0.0)</f>
        <v>0</v>
      </c>
      <c r="J12" s="28">
        <f>IFERROR(__xludf.DUMMYFUNCTION("""COMPUTED_VALUE"""),0.0)</f>
        <v>0</v>
      </c>
      <c r="K12" s="28">
        <f>IFERROR(__xludf.DUMMYFUNCTION("""COMPUTED_VALUE"""),34.0)</f>
        <v>34</v>
      </c>
      <c r="L12" s="28">
        <f>IFERROR(__xludf.DUMMYFUNCTION("""COMPUTED_VALUE"""),1.0)</f>
        <v>1</v>
      </c>
      <c r="M12" s="28">
        <f>IFERROR(__xludf.DUMMYFUNCTION("""COMPUTED_VALUE"""),2.0)</f>
        <v>2</v>
      </c>
      <c r="N12" s="28">
        <f>IFERROR(__xludf.DUMMYFUNCTION("""COMPUTED_VALUE"""),2.0)</f>
        <v>2</v>
      </c>
    </row>
    <row r="13">
      <c r="A13" s="26">
        <f>IFERROR(__xludf.DUMMYFUNCTION("""COMPUTED_VALUE"""),45128.0)</f>
        <v>45128</v>
      </c>
      <c r="B13" s="27">
        <f>IFERROR(__xludf.DUMMYFUNCTION("""COMPUTED_VALUE"""),0.0)</f>
        <v>0</v>
      </c>
      <c r="C13" s="28">
        <f>IFERROR(__xludf.DUMMYFUNCTION("""COMPUTED_VALUE"""),0.0)</f>
        <v>0</v>
      </c>
      <c r="D13" s="28">
        <f>IFERROR(__xludf.DUMMYFUNCTION("""COMPUTED_VALUE"""),0.0)</f>
        <v>0</v>
      </c>
      <c r="E13" s="28">
        <f>IFERROR(__xludf.DUMMYFUNCTION("""COMPUTED_VALUE"""),0.0)</f>
        <v>0</v>
      </c>
      <c r="F13" s="28">
        <f>IFERROR(__xludf.DUMMYFUNCTION("""COMPUTED_VALUE"""),0.0)</f>
        <v>0</v>
      </c>
      <c r="G13" s="28">
        <f>IFERROR(__xludf.DUMMYFUNCTION("""COMPUTED_VALUE"""),0.0)</f>
        <v>0</v>
      </c>
      <c r="H13" s="28">
        <f>IFERROR(__xludf.DUMMYFUNCTION("""COMPUTED_VALUE"""),0.0)</f>
        <v>0</v>
      </c>
      <c r="I13" s="28">
        <f>IFERROR(__xludf.DUMMYFUNCTION("""COMPUTED_VALUE"""),0.0)</f>
        <v>0</v>
      </c>
      <c r="J13" s="28">
        <f>IFERROR(__xludf.DUMMYFUNCTION("""COMPUTED_VALUE"""),0.0)</f>
        <v>0</v>
      </c>
      <c r="K13" s="28">
        <f>IFERROR(__xludf.DUMMYFUNCTION("""COMPUTED_VALUE"""),0.0)</f>
        <v>0</v>
      </c>
      <c r="L13" s="28">
        <f>IFERROR(__xludf.DUMMYFUNCTION("""COMPUTED_VALUE"""),0.0)</f>
        <v>0</v>
      </c>
      <c r="M13" s="28">
        <f>IFERROR(__xludf.DUMMYFUNCTION("""COMPUTED_VALUE"""),0.0)</f>
        <v>0</v>
      </c>
      <c r="N13" s="28">
        <f>IFERROR(__xludf.DUMMYFUNCTION("""COMPUTED_VALUE"""),0.0)</f>
        <v>0</v>
      </c>
    </row>
    <row r="14">
      <c r="A14" s="26">
        <f>IFERROR(__xludf.DUMMYFUNCTION("""COMPUTED_VALUE"""),45129.0)</f>
        <v>45129</v>
      </c>
      <c r="B14" s="27">
        <f>IFERROR(__xludf.DUMMYFUNCTION("""COMPUTED_VALUE"""),0.0)</f>
        <v>0</v>
      </c>
      <c r="C14" s="28">
        <f>IFERROR(__xludf.DUMMYFUNCTION("""COMPUTED_VALUE"""),0.0)</f>
        <v>0</v>
      </c>
      <c r="D14" s="28">
        <f>IFERROR(__xludf.DUMMYFUNCTION("""COMPUTED_VALUE"""),0.0)</f>
        <v>0</v>
      </c>
      <c r="E14" s="28">
        <f>IFERROR(__xludf.DUMMYFUNCTION("""COMPUTED_VALUE"""),0.0)</f>
        <v>0</v>
      </c>
      <c r="F14" s="28">
        <f>IFERROR(__xludf.DUMMYFUNCTION("""COMPUTED_VALUE"""),0.0)</f>
        <v>0</v>
      </c>
      <c r="G14" s="28">
        <f>IFERROR(__xludf.DUMMYFUNCTION("""COMPUTED_VALUE"""),0.0)</f>
        <v>0</v>
      </c>
      <c r="H14" s="28">
        <f>IFERROR(__xludf.DUMMYFUNCTION("""COMPUTED_VALUE"""),0.0)</f>
        <v>0</v>
      </c>
      <c r="I14" s="28">
        <f>IFERROR(__xludf.DUMMYFUNCTION("""COMPUTED_VALUE"""),0.0)</f>
        <v>0</v>
      </c>
      <c r="J14" s="28">
        <f>IFERROR(__xludf.DUMMYFUNCTION("""COMPUTED_VALUE"""),0.0)</f>
        <v>0</v>
      </c>
      <c r="K14" s="28">
        <f>IFERROR(__xludf.DUMMYFUNCTION("""COMPUTED_VALUE"""),0.0)</f>
        <v>0</v>
      </c>
      <c r="L14" s="28">
        <f>IFERROR(__xludf.DUMMYFUNCTION("""COMPUTED_VALUE"""),0.0)</f>
        <v>0</v>
      </c>
      <c r="M14" s="28">
        <f>IFERROR(__xludf.DUMMYFUNCTION("""COMPUTED_VALUE"""),0.0)</f>
        <v>0</v>
      </c>
      <c r="N14" s="28">
        <f>IFERROR(__xludf.DUMMYFUNCTION("""COMPUTED_VALUE"""),0.0)</f>
        <v>0</v>
      </c>
    </row>
    <row r="15">
      <c r="A15" s="26">
        <f>IFERROR(__xludf.DUMMYFUNCTION("""COMPUTED_VALUE"""),45130.0)</f>
        <v>45130</v>
      </c>
      <c r="B15" s="27">
        <f>IFERROR(__xludf.DUMMYFUNCTION("""COMPUTED_VALUE"""),0.0)</f>
        <v>0</v>
      </c>
      <c r="C15" s="28">
        <f>IFERROR(__xludf.DUMMYFUNCTION("""COMPUTED_VALUE"""),0.0)</f>
        <v>0</v>
      </c>
      <c r="D15" s="28">
        <f>IFERROR(__xludf.DUMMYFUNCTION("""COMPUTED_VALUE"""),0.0)</f>
        <v>0</v>
      </c>
      <c r="E15" s="28">
        <f>IFERROR(__xludf.DUMMYFUNCTION("""COMPUTED_VALUE"""),0.0)</f>
        <v>0</v>
      </c>
      <c r="F15" s="28">
        <f>IFERROR(__xludf.DUMMYFUNCTION("""COMPUTED_VALUE"""),0.0)</f>
        <v>0</v>
      </c>
      <c r="G15" s="28">
        <f>IFERROR(__xludf.DUMMYFUNCTION("""COMPUTED_VALUE"""),0.0)</f>
        <v>0</v>
      </c>
      <c r="H15" s="28">
        <f>IFERROR(__xludf.DUMMYFUNCTION("""COMPUTED_VALUE"""),0.0)</f>
        <v>0</v>
      </c>
      <c r="I15" s="28">
        <f>IFERROR(__xludf.DUMMYFUNCTION("""COMPUTED_VALUE"""),0.0)</f>
        <v>0</v>
      </c>
      <c r="J15" s="28">
        <f>IFERROR(__xludf.DUMMYFUNCTION("""COMPUTED_VALUE"""),0.0)</f>
        <v>0</v>
      </c>
      <c r="K15" s="28">
        <f>IFERROR(__xludf.DUMMYFUNCTION("""COMPUTED_VALUE"""),0.0)</f>
        <v>0</v>
      </c>
      <c r="L15" s="28">
        <f>IFERROR(__xludf.DUMMYFUNCTION("""COMPUTED_VALUE"""),0.0)</f>
        <v>0</v>
      </c>
      <c r="M15" s="28">
        <f>IFERROR(__xludf.DUMMYFUNCTION("""COMPUTED_VALUE"""),0.0)</f>
        <v>0</v>
      </c>
      <c r="N15" s="28">
        <f>IFERROR(__xludf.DUMMYFUNCTION("""COMPUTED_VALUE"""),0.0)</f>
        <v>0</v>
      </c>
    </row>
    <row r="16">
      <c r="A16" s="26">
        <f>IFERROR(__xludf.DUMMYFUNCTION("""COMPUTED_VALUE"""),45131.0)</f>
        <v>45131</v>
      </c>
      <c r="B16" s="27">
        <f>IFERROR(__xludf.DUMMYFUNCTION("""COMPUTED_VALUE"""),25.0)</f>
        <v>25</v>
      </c>
      <c r="C16" s="28">
        <f>IFERROR(__xludf.DUMMYFUNCTION("""COMPUTED_VALUE"""),72.0)</f>
        <v>72</v>
      </c>
      <c r="D16" s="28">
        <f>IFERROR(__xludf.DUMMYFUNCTION("""COMPUTED_VALUE"""),3.0)</f>
        <v>3</v>
      </c>
      <c r="E16" s="28">
        <f>IFERROR(__xludf.DUMMYFUNCTION("""COMPUTED_VALUE"""),973.0)</f>
        <v>973</v>
      </c>
      <c r="F16" s="28">
        <f>IFERROR(__xludf.DUMMYFUNCTION("""COMPUTED_VALUE"""),39.0)</f>
        <v>39</v>
      </c>
      <c r="G16" s="28">
        <f>IFERROR(__xludf.DUMMYFUNCTION("""COMPUTED_VALUE"""),25.0)</f>
        <v>25</v>
      </c>
      <c r="H16" s="28">
        <f>IFERROR(__xludf.DUMMYFUNCTION("""COMPUTED_VALUE"""),0.0)</f>
        <v>0</v>
      </c>
      <c r="I16" s="28">
        <f>IFERROR(__xludf.DUMMYFUNCTION("""COMPUTED_VALUE"""),0.0)</f>
        <v>0</v>
      </c>
      <c r="J16" s="28">
        <f>IFERROR(__xludf.DUMMYFUNCTION("""COMPUTED_VALUE"""),0.0)</f>
        <v>0</v>
      </c>
      <c r="K16" s="28">
        <f>IFERROR(__xludf.DUMMYFUNCTION("""COMPUTED_VALUE"""),21.0)</f>
        <v>21</v>
      </c>
      <c r="L16" s="28">
        <f>IFERROR(__xludf.DUMMYFUNCTION("""COMPUTED_VALUE"""),0.0)</f>
        <v>0</v>
      </c>
      <c r="M16" s="28">
        <f>IFERROR(__xludf.DUMMYFUNCTION("""COMPUTED_VALUE"""),0.0)</f>
        <v>0</v>
      </c>
      <c r="N16" s="28">
        <f>IFERROR(__xludf.DUMMYFUNCTION("""COMPUTED_VALUE"""),0.0)</f>
        <v>0</v>
      </c>
    </row>
    <row r="17">
      <c r="A17" s="26">
        <f>IFERROR(__xludf.DUMMYFUNCTION("""COMPUTED_VALUE"""),45132.0)</f>
        <v>45132</v>
      </c>
      <c r="B17" s="27">
        <f>IFERROR(__xludf.DUMMYFUNCTION("""COMPUTED_VALUE"""),6.0)</f>
        <v>6</v>
      </c>
      <c r="C17" s="28">
        <f>IFERROR(__xludf.DUMMYFUNCTION("""COMPUTED_VALUE"""),14.0)</f>
        <v>14</v>
      </c>
      <c r="D17" s="28">
        <f>IFERROR(__xludf.DUMMYFUNCTION("""COMPUTED_VALUE"""),2.0)</f>
        <v>2</v>
      </c>
      <c r="E17" s="28">
        <f>IFERROR(__xludf.DUMMYFUNCTION("""COMPUTED_VALUE"""),88.0)</f>
        <v>88</v>
      </c>
      <c r="F17" s="28">
        <f>IFERROR(__xludf.DUMMYFUNCTION("""COMPUTED_VALUE"""),15.0)</f>
        <v>15</v>
      </c>
      <c r="G17" s="28">
        <f>IFERROR(__xludf.DUMMYFUNCTION("""COMPUTED_VALUE"""),3.0)</f>
        <v>3</v>
      </c>
      <c r="H17" s="28">
        <f>IFERROR(__xludf.DUMMYFUNCTION("""COMPUTED_VALUE"""),1.0)</f>
        <v>1</v>
      </c>
      <c r="I17" s="28">
        <f>IFERROR(__xludf.DUMMYFUNCTION("""COMPUTED_VALUE"""),2.0)</f>
        <v>2</v>
      </c>
      <c r="J17" s="28">
        <f>IFERROR(__xludf.DUMMYFUNCTION("""COMPUTED_VALUE"""),0.0)</f>
        <v>0</v>
      </c>
      <c r="K17" s="28">
        <f>IFERROR(__xludf.DUMMYFUNCTION("""COMPUTED_VALUE"""),2.0)</f>
        <v>2</v>
      </c>
      <c r="L17" s="28">
        <f>IFERROR(__xludf.DUMMYFUNCTION("""COMPUTED_VALUE"""),0.0)</f>
        <v>0</v>
      </c>
      <c r="M17" s="28">
        <f>IFERROR(__xludf.DUMMYFUNCTION("""COMPUTED_VALUE"""),0.0)</f>
        <v>0</v>
      </c>
      <c r="N17" s="28">
        <f>IFERROR(__xludf.DUMMYFUNCTION("""COMPUTED_VALUE"""),0.0)</f>
        <v>0</v>
      </c>
    </row>
    <row r="18">
      <c r="A18" s="26">
        <f>IFERROR(__xludf.DUMMYFUNCTION("""COMPUTED_VALUE"""),45133.0)</f>
        <v>45133</v>
      </c>
      <c r="B18" s="27">
        <f>IFERROR(__xludf.DUMMYFUNCTION("""COMPUTED_VALUE"""),22.0)</f>
        <v>22</v>
      </c>
      <c r="C18" s="28">
        <f>IFERROR(__xludf.DUMMYFUNCTION("""COMPUTED_VALUE"""),98.0)</f>
        <v>98</v>
      </c>
      <c r="D18" s="28">
        <f>IFERROR(__xludf.DUMMYFUNCTION("""COMPUTED_VALUE"""),4.0)</f>
        <v>4</v>
      </c>
      <c r="E18" s="28">
        <f>IFERROR(__xludf.DUMMYFUNCTION("""COMPUTED_VALUE"""),1046.0)</f>
        <v>1046</v>
      </c>
      <c r="F18" s="28">
        <f>IFERROR(__xludf.DUMMYFUNCTION("""COMPUTED_VALUE"""),48.0)</f>
        <v>48</v>
      </c>
      <c r="G18" s="28">
        <f>IFERROR(__xludf.DUMMYFUNCTION("""COMPUTED_VALUE"""),9.0)</f>
        <v>9</v>
      </c>
      <c r="H18" s="28">
        <f>IFERROR(__xludf.DUMMYFUNCTION("""COMPUTED_VALUE"""),4.0)</f>
        <v>4</v>
      </c>
      <c r="I18" s="28">
        <f>IFERROR(__xludf.DUMMYFUNCTION("""COMPUTED_VALUE"""),8.0)</f>
        <v>8</v>
      </c>
      <c r="J18" s="28">
        <f>IFERROR(__xludf.DUMMYFUNCTION("""COMPUTED_VALUE"""),2.0)</f>
        <v>2</v>
      </c>
      <c r="K18" s="28">
        <f>IFERROR(__xludf.DUMMYFUNCTION("""COMPUTED_VALUE"""),20.0)</f>
        <v>20</v>
      </c>
      <c r="L18" s="28">
        <f>IFERROR(__xludf.DUMMYFUNCTION("""COMPUTED_VALUE"""),7.0)</f>
        <v>7</v>
      </c>
      <c r="M18" s="28">
        <f>IFERROR(__xludf.DUMMYFUNCTION("""COMPUTED_VALUE"""),15.0)</f>
        <v>15</v>
      </c>
      <c r="N18" s="28">
        <f>IFERROR(__xludf.DUMMYFUNCTION("""COMPUTED_VALUE"""),4.0)</f>
        <v>4</v>
      </c>
    </row>
    <row r="19">
      <c r="A19" s="26">
        <f>IFERROR(__xludf.DUMMYFUNCTION("""COMPUTED_VALUE"""),45134.0)</f>
        <v>45134</v>
      </c>
      <c r="B19" s="27">
        <f>IFERROR(__xludf.DUMMYFUNCTION("""COMPUTED_VALUE"""),0.0)</f>
        <v>0</v>
      </c>
      <c r="C19" s="28">
        <f>IFERROR(__xludf.DUMMYFUNCTION("""COMPUTED_VALUE"""),0.0)</f>
        <v>0</v>
      </c>
      <c r="D19" s="28">
        <f>IFERROR(__xludf.DUMMYFUNCTION("""COMPUTED_VALUE"""),0.0)</f>
        <v>0</v>
      </c>
      <c r="E19" s="28">
        <f>IFERROR(__xludf.DUMMYFUNCTION("""COMPUTED_VALUE"""),0.0)</f>
        <v>0</v>
      </c>
      <c r="F19" s="28">
        <f>IFERROR(__xludf.DUMMYFUNCTION("""COMPUTED_VALUE"""),0.0)</f>
        <v>0</v>
      </c>
      <c r="G19" s="28">
        <f>IFERROR(__xludf.DUMMYFUNCTION("""COMPUTED_VALUE"""),0.0)</f>
        <v>0</v>
      </c>
      <c r="H19" s="28">
        <f>IFERROR(__xludf.DUMMYFUNCTION("""COMPUTED_VALUE"""),0.0)</f>
        <v>0</v>
      </c>
      <c r="I19" s="28">
        <f>IFERROR(__xludf.DUMMYFUNCTION("""COMPUTED_VALUE"""),0.0)</f>
        <v>0</v>
      </c>
      <c r="J19" s="28">
        <f>IFERROR(__xludf.DUMMYFUNCTION("""COMPUTED_VALUE"""),0.0)</f>
        <v>0</v>
      </c>
      <c r="K19" s="28">
        <f>IFERROR(__xludf.DUMMYFUNCTION("""COMPUTED_VALUE"""),0.0)</f>
        <v>0</v>
      </c>
      <c r="L19" s="28">
        <f>IFERROR(__xludf.DUMMYFUNCTION("""COMPUTED_VALUE"""),0.0)</f>
        <v>0</v>
      </c>
      <c r="M19" s="28">
        <f>IFERROR(__xludf.DUMMYFUNCTION("""COMPUTED_VALUE"""),0.0)</f>
        <v>0</v>
      </c>
      <c r="N19" s="28">
        <f>IFERROR(__xludf.DUMMYFUNCTION("""COMPUTED_VALUE"""),0.0)</f>
        <v>0</v>
      </c>
    </row>
    <row r="20">
      <c r="A20" s="26">
        <f>IFERROR(__xludf.DUMMYFUNCTION("""COMPUTED_VALUE"""),45135.0)</f>
        <v>45135</v>
      </c>
      <c r="B20" s="27">
        <f>IFERROR(__xludf.DUMMYFUNCTION("""COMPUTED_VALUE"""),0.0)</f>
        <v>0</v>
      </c>
      <c r="C20" s="28">
        <f>IFERROR(__xludf.DUMMYFUNCTION("""COMPUTED_VALUE"""),0.0)</f>
        <v>0</v>
      </c>
      <c r="D20" s="28">
        <f>IFERROR(__xludf.DUMMYFUNCTION("""COMPUTED_VALUE"""),0.0)</f>
        <v>0</v>
      </c>
      <c r="E20" s="28">
        <f>IFERROR(__xludf.DUMMYFUNCTION("""COMPUTED_VALUE"""),0.0)</f>
        <v>0</v>
      </c>
      <c r="F20" s="28">
        <f>IFERROR(__xludf.DUMMYFUNCTION("""COMPUTED_VALUE"""),0.0)</f>
        <v>0</v>
      </c>
      <c r="G20" s="28">
        <f>IFERROR(__xludf.DUMMYFUNCTION("""COMPUTED_VALUE"""),0.0)</f>
        <v>0</v>
      </c>
      <c r="H20" s="28">
        <f>IFERROR(__xludf.DUMMYFUNCTION("""COMPUTED_VALUE"""),0.0)</f>
        <v>0</v>
      </c>
      <c r="I20" s="28">
        <f>IFERROR(__xludf.DUMMYFUNCTION("""COMPUTED_VALUE"""),0.0)</f>
        <v>0</v>
      </c>
      <c r="J20" s="28">
        <f>IFERROR(__xludf.DUMMYFUNCTION("""COMPUTED_VALUE"""),0.0)</f>
        <v>0</v>
      </c>
      <c r="K20" s="28">
        <f>IFERROR(__xludf.DUMMYFUNCTION("""COMPUTED_VALUE"""),0.0)</f>
        <v>0</v>
      </c>
      <c r="L20" s="28">
        <f>IFERROR(__xludf.DUMMYFUNCTION("""COMPUTED_VALUE"""),0.0)</f>
        <v>0</v>
      </c>
      <c r="M20" s="28">
        <f>IFERROR(__xludf.DUMMYFUNCTION("""COMPUTED_VALUE"""),0.0)</f>
        <v>0</v>
      </c>
      <c r="N20" s="28">
        <f>IFERROR(__xludf.DUMMYFUNCTION("""COMPUTED_VALUE"""),0.0)</f>
        <v>0</v>
      </c>
    </row>
    <row r="21">
      <c r="A21" s="26">
        <f>IFERROR(__xludf.DUMMYFUNCTION("""COMPUTED_VALUE"""),45136.0)</f>
        <v>45136</v>
      </c>
      <c r="B21" s="27">
        <f>IFERROR(__xludf.DUMMYFUNCTION("""COMPUTED_VALUE"""),0.0)</f>
        <v>0</v>
      </c>
      <c r="C21" s="28">
        <f>IFERROR(__xludf.DUMMYFUNCTION("""COMPUTED_VALUE"""),0.0)</f>
        <v>0</v>
      </c>
      <c r="D21" s="28">
        <f>IFERROR(__xludf.DUMMYFUNCTION("""COMPUTED_VALUE"""),0.0)</f>
        <v>0</v>
      </c>
      <c r="E21" s="28">
        <f>IFERROR(__xludf.DUMMYFUNCTION("""COMPUTED_VALUE"""),0.0)</f>
        <v>0</v>
      </c>
      <c r="F21" s="28">
        <f>IFERROR(__xludf.DUMMYFUNCTION("""COMPUTED_VALUE"""),0.0)</f>
        <v>0</v>
      </c>
      <c r="G21" s="28">
        <f>IFERROR(__xludf.DUMMYFUNCTION("""COMPUTED_VALUE"""),0.0)</f>
        <v>0</v>
      </c>
      <c r="H21" s="28">
        <f>IFERROR(__xludf.DUMMYFUNCTION("""COMPUTED_VALUE"""),0.0)</f>
        <v>0</v>
      </c>
      <c r="I21" s="28">
        <f>IFERROR(__xludf.DUMMYFUNCTION("""COMPUTED_VALUE"""),0.0)</f>
        <v>0</v>
      </c>
      <c r="J21" s="28">
        <f>IFERROR(__xludf.DUMMYFUNCTION("""COMPUTED_VALUE"""),0.0)</f>
        <v>0</v>
      </c>
      <c r="K21" s="28">
        <f>IFERROR(__xludf.DUMMYFUNCTION("""COMPUTED_VALUE"""),0.0)</f>
        <v>0</v>
      </c>
      <c r="L21" s="28">
        <f>IFERROR(__xludf.DUMMYFUNCTION("""COMPUTED_VALUE"""),0.0)</f>
        <v>0</v>
      </c>
      <c r="M21" s="28">
        <f>IFERROR(__xludf.DUMMYFUNCTION("""COMPUTED_VALUE"""),0.0)</f>
        <v>0</v>
      </c>
      <c r="N21" s="28">
        <f>IFERROR(__xludf.DUMMYFUNCTION("""COMPUTED_VALUE"""),0.0)</f>
        <v>0</v>
      </c>
    </row>
    <row r="22">
      <c r="A22" s="26">
        <f>IFERROR(__xludf.DUMMYFUNCTION("""COMPUTED_VALUE"""),45137.0)</f>
        <v>45137</v>
      </c>
      <c r="B22" s="27">
        <f>IFERROR(__xludf.DUMMYFUNCTION("""COMPUTED_VALUE"""),0.0)</f>
        <v>0</v>
      </c>
      <c r="C22" s="28">
        <f>IFERROR(__xludf.DUMMYFUNCTION("""COMPUTED_VALUE"""),0.0)</f>
        <v>0</v>
      </c>
      <c r="D22" s="28">
        <f>IFERROR(__xludf.DUMMYFUNCTION("""COMPUTED_VALUE"""),0.0)</f>
        <v>0</v>
      </c>
      <c r="E22" s="28">
        <f>IFERROR(__xludf.DUMMYFUNCTION("""COMPUTED_VALUE"""),0.0)</f>
        <v>0</v>
      </c>
      <c r="F22" s="28">
        <f>IFERROR(__xludf.DUMMYFUNCTION("""COMPUTED_VALUE"""),0.0)</f>
        <v>0</v>
      </c>
      <c r="G22" s="28">
        <f>IFERROR(__xludf.DUMMYFUNCTION("""COMPUTED_VALUE"""),0.0)</f>
        <v>0</v>
      </c>
      <c r="H22" s="28">
        <f>IFERROR(__xludf.DUMMYFUNCTION("""COMPUTED_VALUE"""),0.0)</f>
        <v>0</v>
      </c>
      <c r="I22" s="28">
        <f>IFERROR(__xludf.DUMMYFUNCTION("""COMPUTED_VALUE"""),0.0)</f>
        <v>0</v>
      </c>
      <c r="J22" s="28">
        <f>IFERROR(__xludf.DUMMYFUNCTION("""COMPUTED_VALUE"""),0.0)</f>
        <v>0</v>
      </c>
      <c r="K22" s="28">
        <f>IFERROR(__xludf.DUMMYFUNCTION("""COMPUTED_VALUE"""),0.0)</f>
        <v>0</v>
      </c>
      <c r="L22" s="28">
        <f>IFERROR(__xludf.DUMMYFUNCTION("""COMPUTED_VALUE"""),0.0)</f>
        <v>0</v>
      </c>
      <c r="M22" s="28">
        <f>IFERROR(__xludf.DUMMYFUNCTION("""COMPUTED_VALUE"""),0.0)</f>
        <v>0</v>
      </c>
      <c r="N22" s="28">
        <f>IFERROR(__xludf.DUMMYFUNCTION("""COMPUTED_VALUE"""),0.0)</f>
        <v>0</v>
      </c>
    </row>
    <row r="23">
      <c r="A23" s="26">
        <f>IFERROR(__xludf.DUMMYFUNCTION("""COMPUTED_VALUE"""),45138.0)</f>
        <v>45138</v>
      </c>
      <c r="B23" s="27">
        <f>IFERROR(__xludf.DUMMYFUNCTION("""COMPUTED_VALUE"""),131.0)</f>
        <v>131</v>
      </c>
      <c r="C23" s="28">
        <f>IFERROR(__xludf.DUMMYFUNCTION("""COMPUTED_VALUE"""),500.0)</f>
        <v>500</v>
      </c>
      <c r="D23" s="28">
        <f>IFERROR(__xludf.DUMMYFUNCTION("""COMPUTED_VALUE"""),4.0)</f>
        <v>4</v>
      </c>
      <c r="E23" s="28">
        <f>IFERROR(__xludf.DUMMYFUNCTION("""COMPUTED_VALUE"""),7959.0)</f>
        <v>7959</v>
      </c>
      <c r="F23" s="28">
        <f>IFERROR(__xludf.DUMMYFUNCTION("""COMPUTED_VALUE"""),61.0)</f>
        <v>61</v>
      </c>
      <c r="G23" s="28">
        <f>IFERROR(__xludf.DUMMYFUNCTION("""COMPUTED_VALUE"""),93.0)</f>
        <v>93</v>
      </c>
      <c r="H23" s="28">
        <f>IFERROR(__xludf.DUMMYFUNCTION("""COMPUTED_VALUE"""),0.0)</f>
        <v>0</v>
      </c>
      <c r="I23" s="28">
        <f>IFERROR(__xludf.DUMMYFUNCTION("""COMPUTED_VALUE"""),37.0)</f>
        <v>37</v>
      </c>
      <c r="J23" s="28">
        <f>IFERROR(__xludf.DUMMYFUNCTION("""COMPUTED_VALUE"""),51.0)</f>
        <v>51</v>
      </c>
      <c r="K23" s="28">
        <f>IFERROR(__xludf.DUMMYFUNCTION("""COMPUTED_VALUE"""),102.0)</f>
        <v>102</v>
      </c>
      <c r="L23" s="28">
        <f>IFERROR(__xludf.DUMMYFUNCTION("""COMPUTED_VALUE"""),36.0)</f>
        <v>36</v>
      </c>
      <c r="M23" s="28">
        <f>IFERROR(__xludf.DUMMYFUNCTION("""COMPUTED_VALUE"""),6.0)</f>
        <v>6</v>
      </c>
      <c r="N23" s="28">
        <f>IFERROR(__xludf.DUMMYFUNCTION("""COMPUTED_VALUE"""),88.0)</f>
        <v>88</v>
      </c>
    </row>
    <row r="24">
      <c r="A24" s="26">
        <f>IFERROR(__xludf.DUMMYFUNCTION("""COMPUTED_VALUE"""),45139.0)</f>
        <v>45139</v>
      </c>
      <c r="B24" s="27">
        <f>IFERROR(__xludf.DUMMYFUNCTION("""COMPUTED_VALUE"""),128.0)</f>
        <v>128</v>
      </c>
      <c r="C24" s="28">
        <f>IFERROR(__xludf.DUMMYFUNCTION("""COMPUTED_VALUE"""),519.0)</f>
        <v>519</v>
      </c>
      <c r="D24" s="28">
        <f>IFERROR(__xludf.DUMMYFUNCTION("""COMPUTED_VALUE"""),4.0)</f>
        <v>4</v>
      </c>
      <c r="E24" s="28">
        <f>IFERROR(__xludf.DUMMYFUNCTION("""COMPUTED_VALUE"""),9659.0)</f>
        <v>9659</v>
      </c>
      <c r="F24" s="28">
        <f>IFERROR(__xludf.DUMMYFUNCTION("""COMPUTED_VALUE"""),75.0)</f>
        <v>75</v>
      </c>
      <c r="G24" s="28">
        <f>IFERROR(__xludf.DUMMYFUNCTION("""COMPUTED_VALUE"""),107.0)</f>
        <v>107</v>
      </c>
      <c r="H24" s="28">
        <f>IFERROR(__xludf.DUMMYFUNCTION("""COMPUTED_VALUE"""),0.0)</f>
        <v>0</v>
      </c>
      <c r="I24" s="28">
        <f>IFERROR(__xludf.DUMMYFUNCTION("""COMPUTED_VALUE"""),21.0)</f>
        <v>21</v>
      </c>
      <c r="J24" s="28">
        <f>IFERROR(__xludf.DUMMYFUNCTION("""COMPUTED_VALUE"""),66.0)</f>
        <v>66</v>
      </c>
      <c r="K24" s="28">
        <f>IFERROR(__xludf.DUMMYFUNCTION("""COMPUTED_VALUE"""),95.0)</f>
        <v>95</v>
      </c>
      <c r="L24" s="28">
        <f>IFERROR(__xludf.DUMMYFUNCTION("""COMPUTED_VALUE"""),77.0)</f>
        <v>77</v>
      </c>
      <c r="M24" s="28">
        <f>IFERROR(__xludf.DUMMYFUNCTION("""COMPUTED_VALUE"""),6.0)</f>
        <v>6</v>
      </c>
      <c r="N24" s="28">
        <f>IFERROR(__xludf.DUMMYFUNCTION("""COMPUTED_VALUE"""),82.0)</f>
        <v>82</v>
      </c>
    </row>
    <row r="25">
      <c r="A25" s="26">
        <f>IFERROR(__xludf.DUMMYFUNCTION("""COMPUTED_VALUE"""),45140.0)</f>
        <v>45140</v>
      </c>
      <c r="B25" s="27">
        <f>IFERROR(__xludf.DUMMYFUNCTION("""COMPUTED_VALUE"""),131.0)</f>
        <v>131</v>
      </c>
      <c r="C25" s="28">
        <f>IFERROR(__xludf.DUMMYFUNCTION("""COMPUTED_VALUE"""),519.0)</f>
        <v>519</v>
      </c>
      <c r="D25" s="28">
        <f>IFERROR(__xludf.DUMMYFUNCTION("""COMPUTED_VALUE"""),4.0)</f>
        <v>4</v>
      </c>
      <c r="E25" s="28">
        <f>IFERROR(__xludf.DUMMYFUNCTION("""COMPUTED_VALUE"""),9274.0)</f>
        <v>9274</v>
      </c>
      <c r="F25" s="28">
        <f>IFERROR(__xludf.DUMMYFUNCTION("""COMPUTED_VALUE"""),71.0)</f>
        <v>71</v>
      </c>
      <c r="G25" s="28">
        <f>IFERROR(__xludf.DUMMYFUNCTION("""COMPUTED_VALUE"""),103.0)</f>
        <v>103</v>
      </c>
      <c r="H25" s="28">
        <f>IFERROR(__xludf.DUMMYFUNCTION("""COMPUTED_VALUE"""),0.0)</f>
        <v>0</v>
      </c>
      <c r="I25" s="28">
        <f>IFERROR(__xludf.DUMMYFUNCTION("""COMPUTED_VALUE"""),28.0)</f>
        <v>28</v>
      </c>
      <c r="J25" s="28">
        <f>IFERROR(__xludf.DUMMYFUNCTION("""COMPUTED_VALUE"""),67.0)</f>
        <v>67</v>
      </c>
      <c r="K25" s="28">
        <f>IFERROR(__xludf.DUMMYFUNCTION("""COMPUTED_VALUE"""),103.0)</f>
        <v>103</v>
      </c>
      <c r="L25" s="28">
        <f>IFERROR(__xludf.DUMMYFUNCTION("""COMPUTED_VALUE"""),52.0)</f>
        <v>52</v>
      </c>
      <c r="M25" s="28">
        <f>IFERROR(__xludf.DUMMYFUNCTION("""COMPUTED_VALUE"""),11.0)</f>
        <v>11</v>
      </c>
      <c r="N25" s="28">
        <f>IFERROR(__xludf.DUMMYFUNCTION("""COMPUTED_VALUE"""),82.0)</f>
        <v>82</v>
      </c>
    </row>
    <row r="26">
      <c r="A26" s="26">
        <f>IFERROR(__xludf.DUMMYFUNCTION("""COMPUTED_VALUE"""),45141.0)</f>
        <v>45141</v>
      </c>
      <c r="B26" s="27">
        <f>IFERROR(__xludf.DUMMYFUNCTION("""COMPUTED_VALUE"""),70.0)</f>
        <v>70</v>
      </c>
      <c r="C26" s="28">
        <f>IFERROR(__xludf.DUMMYFUNCTION("""COMPUTED_VALUE"""),275.0)</f>
        <v>275</v>
      </c>
      <c r="D26" s="28">
        <f>IFERROR(__xludf.DUMMYFUNCTION("""COMPUTED_VALUE"""),4.0)</f>
        <v>4</v>
      </c>
      <c r="E26" s="28">
        <f>IFERROR(__xludf.DUMMYFUNCTION("""COMPUTED_VALUE"""),5203.0)</f>
        <v>5203</v>
      </c>
      <c r="F26" s="28">
        <f>IFERROR(__xludf.DUMMYFUNCTION("""COMPUTED_VALUE"""),74.0)</f>
        <v>74</v>
      </c>
      <c r="G26" s="28">
        <f>IFERROR(__xludf.DUMMYFUNCTION("""COMPUTED_VALUE"""),52.0)</f>
        <v>52</v>
      </c>
      <c r="H26" s="28">
        <f>IFERROR(__xludf.DUMMYFUNCTION("""COMPUTED_VALUE"""),0.0)</f>
        <v>0</v>
      </c>
      <c r="I26" s="28">
        <f>IFERROR(__xludf.DUMMYFUNCTION("""COMPUTED_VALUE"""),18.0)</f>
        <v>18</v>
      </c>
      <c r="J26" s="28">
        <f>IFERROR(__xludf.DUMMYFUNCTION("""COMPUTED_VALUE"""),49.0)</f>
        <v>49</v>
      </c>
      <c r="K26" s="28">
        <f>IFERROR(__xludf.DUMMYFUNCTION("""COMPUTED_VALUE"""),52.0)</f>
        <v>52</v>
      </c>
      <c r="L26" s="28">
        <f>IFERROR(__xludf.DUMMYFUNCTION("""COMPUTED_VALUE"""),22.0)</f>
        <v>22</v>
      </c>
      <c r="M26" s="28">
        <f>IFERROR(__xludf.DUMMYFUNCTION("""COMPUTED_VALUE"""),2.0)</f>
        <v>2</v>
      </c>
      <c r="N26" s="28">
        <f>IFERROR(__xludf.DUMMYFUNCTION("""COMPUTED_VALUE"""),48.0)</f>
        <v>48</v>
      </c>
    </row>
    <row r="27">
      <c r="A27" s="26">
        <f>IFERROR(__xludf.DUMMYFUNCTION("""COMPUTED_VALUE"""),45142.0)</f>
        <v>45142</v>
      </c>
      <c r="B27" s="27">
        <f>IFERROR(__xludf.DUMMYFUNCTION("""COMPUTED_VALUE"""),66.0)</f>
        <v>66</v>
      </c>
      <c r="C27" s="28">
        <f>IFERROR(__xludf.DUMMYFUNCTION("""COMPUTED_VALUE"""),227.0)</f>
        <v>227</v>
      </c>
      <c r="D27" s="28">
        <f>IFERROR(__xludf.DUMMYFUNCTION("""COMPUTED_VALUE"""),3.0)</f>
        <v>3</v>
      </c>
      <c r="E27" s="28">
        <f>IFERROR(__xludf.DUMMYFUNCTION("""COMPUTED_VALUE"""),3936.0)</f>
        <v>3936</v>
      </c>
      <c r="F27" s="28">
        <f>IFERROR(__xludf.DUMMYFUNCTION("""COMPUTED_VALUE"""),60.0)</f>
        <v>60</v>
      </c>
      <c r="G27" s="28">
        <f>IFERROR(__xludf.DUMMYFUNCTION("""COMPUTED_VALUE"""),50.0)</f>
        <v>50</v>
      </c>
      <c r="H27" s="28">
        <f>IFERROR(__xludf.DUMMYFUNCTION("""COMPUTED_VALUE"""),0.0)</f>
        <v>0</v>
      </c>
      <c r="I27" s="28">
        <f>IFERROR(__xludf.DUMMYFUNCTION("""COMPUTED_VALUE"""),16.0)</f>
        <v>16</v>
      </c>
      <c r="J27" s="28">
        <f>IFERROR(__xludf.DUMMYFUNCTION("""COMPUTED_VALUE"""),28.0)</f>
        <v>28</v>
      </c>
      <c r="K27" s="28">
        <f>IFERROR(__xludf.DUMMYFUNCTION("""COMPUTED_VALUE"""),50.0)</f>
        <v>50</v>
      </c>
      <c r="L27" s="28">
        <f>IFERROR(__xludf.DUMMYFUNCTION("""COMPUTED_VALUE"""),7.0)</f>
        <v>7</v>
      </c>
      <c r="M27" s="28">
        <f>IFERROR(__xludf.DUMMYFUNCTION("""COMPUTED_VALUE"""),2.0)</f>
        <v>2</v>
      </c>
      <c r="N27" s="28">
        <f>IFERROR(__xludf.DUMMYFUNCTION("""COMPUTED_VALUE"""),42.0)</f>
        <v>42</v>
      </c>
    </row>
    <row r="28">
      <c r="A28" s="26">
        <f>IFERROR(__xludf.DUMMYFUNCTION("""COMPUTED_VALUE"""),45143.0)</f>
        <v>45143</v>
      </c>
      <c r="B28" s="27">
        <f>IFERROR(__xludf.DUMMYFUNCTION("""COMPUTED_VALUE"""),31.0)</f>
        <v>31</v>
      </c>
      <c r="C28" s="28">
        <f>IFERROR(__xludf.DUMMYFUNCTION("""COMPUTED_VALUE"""),111.0)</f>
        <v>111</v>
      </c>
      <c r="D28" s="28">
        <f>IFERROR(__xludf.DUMMYFUNCTION("""COMPUTED_VALUE"""),4.0)</f>
        <v>4</v>
      </c>
      <c r="E28" s="28">
        <f>IFERROR(__xludf.DUMMYFUNCTION("""COMPUTED_VALUE"""),1905.0)</f>
        <v>1905</v>
      </c>
      <c r="F28" s="28">
        <f>IFERROR(__xludf.DUMMYFUNCTION("""COMPUTED_VALUE"""),61.0)</f>
        <v>61</v>
      </c>
      <c r="G28" s="28">
        <f>IFERROR(__xludf.DUMMYFUNCTION("""COMPUTED_VALUE"""),22.0)</f>
        <v>22</v>
      </c>
      <c r="H28" s="28">
        <f>IFERROR(__xludf.DUMMYFUNCTION("""COMPUTED_VALUE"""),0.0)</f>
        <v>0</v>
      </c>
      <c r="I28" s="28">
        <f>IFERROR(__xludf.DUMMYFUNCTION("""COMPUTED_VALUE"""),9.0)</f>
        <v>9</v>
      </c>
      <c r="J28" s="28">
        <f>IFERROR(__xludf.DUMMYFUNCTION("""COMPUTED_VALUE"""),9.0)</f>
        <v>9</v>
      </c>
      <c r="K28" s="28">
        <f>IFERROR(__xludf.DUMMYFUNCTION("""COMPUTED_VALUE"""),25.0)</f>
        <v>25</v>
      </c>
      <c r="L28" s="28">
        <f>IFERROR(__xludf.DUMMYFUNCTION("""COMPUTED_VALUE"""),9.0)</f>
        <v>9</v>
      </c>
      <c r="M28" s="28">
        <f>IFERROR(__xludf.DUMMYFUNCTION("""COMPUTED_VALUE"""),3.0)</f>
        <v>3</v>
      </c>
      <c r="N28" s="28">
        <f>IFERROR(__xludf.DUMMYFUNCTION("""COMPUTED_VALUE"""),22.0)</f>
        <v>22</v>
      </c>
    </row>
    <row r="29">
      <c r="A29" s="26">
        <f>IFERROR(__xludf.DUMMYFUNCTION("""COMPUTED_VALUE"""),45144.0)</f>
        <v>45144</v>
      </c>
      <c r="B29" s="27">
        <f>IFERROR(__xludf.DUMMYFUNCTION("""COMPUTED_VALUE"""),0.0)</f>
        <v>0</v>
      </c>
      <c r="C29" s="28">
        <f>IFERROR(__xludf.DUMMYFUNCTION("""COMPUTED_VALUE"""),0.0)</f>
        <v>0</v>
      </c>
      <c r="D29" s="28">
        <f>IFERROR(__xludf.DUMMYFUNCTION("""COMPUTED_VALUE"""),0.0)</f>
        <v>0</v>
      </c>
      <c r="E29" s="28">
        <f>IFERROR(__xludf.DUMMYFUNCTION("""COMPUTED_VALUE"""),0.0)</f>
        <v>0</v>
      </c>
      <c r="F29" s="28">
        <f>IFERROR(__xludf.DUMMYFUNCTION("""COMPUTED_VALUE"""),0.0)</f>
        <v>0</v>
      </c>
      <c r="G29" s="28">
        <f>IFERROR(__xludf.DUMMYFUNCTION("""COMPUTED_VALUE"""),0.0)</f>
        <v>0</v>
      </c>
      <c r="H29" s="28">
        <f>IFERROR(__xludf.DUMMYFUNCTION("""COMPUTED_VALUE"""),0.0)</f>
        <v>0</v>
      </c>
      <c r="I29" s="28">
        <f>IFERROR(__xludf.DUMMYFUNCTION("""COMPUTED_VALUE"""),0.0)</f>
        <v>0</v>
      </c>
      <c r="J29" s="28">
        <f>IFERROR(__xludf.DUMMYFUNCTION("""COMPUTED_VALUE"""),0.0)</f>
        <v>0</v>
      </c>
      <c r="K29" s="28">
        <f>IFERROR(__xludf.DUMMYFUNCTION("""COMPUTED_VALUE"""),0.0)</f>
        <v>0</v>
      </c>
      <c r="L29" s="28">
        <f>IFERROR(__xludf.DUMMYFUNCTION("""COMPUTED_VALUE"""),0.0)</f>
        <v>0</v>
      </c>
      <c r="M29" s="28">
        <f>IFERROR(__xludf.DUMMYFUNCTION("""COMPUTED_VALUE"""),0.0)</f>
        <v>0</v>
      </c>
      <c r="N29" s="28">
        <f>IFERROR(__xludf.DUMMYFUNCTION("""COMPUTED_VALUE"""),0.0)</f>
        <v>0</v>
      </c>
    </row>
    <row r="30">
      <c r="A30" s="26">
        <f>IFERROR(__xludf.DUMMYFUNCTION("""COMPUTED_VALUE"""),45145.0)</f>
        <v>45145</v>
      </c>
      <c r="B30" s="27">
        <f>IFERROR(__xludf.DUMMYFUNCTION("""COMPUTED_VALUE"""),57.0)</f>
        <v>57</v>
      </c>
      <c r="C30" s="28">
        <f>IFERROR(__xludf.DUMMYFUNCTION("""COMPUTED_VALUE"""),235.0)</f>
        <v>235</v>
      </c>
      <c r="D30" s="28">
        <f>IFERROR(__xludf.DUMMYFUNCTION("""COMPUTED_VALUE"""),4.0)</f>
        <v>4</v>
      </c>
      <c r="E30" s="28">
        <f>IFERROR(__xludf.DUMMYFUNCTION("""COMPUTED_VALUE"""),4147.0)</f>
        <v>4147</v>
      </c>
      <c r="F30" s="28">
        <f>IFERROR(__xludf.DUMMYFUNCTION("""COMPUTED_VALUE"""),73.0)</f>
        <v>73</v>
      </c>
      <c r="G30" s="28">
        <f>IFERROR(__xludf.DUMMYFUNCTION("""COMPUTED_VALUE"""),44.0)</f>
        <v>44</v>
      </c>
      <c r="H30" s="28">
        <f>IFERROR(__xludf.DUMMYFUNCTION("""COMPUTED_VALUE"""),0.0)</f>
        <v>0</v>
      </c>
      <c r="I30" s="28">
        <f>IFERROR(__xludf.DUMMYFUNCTION("""COMPUTED_VALUE"""),13.0)</f>
        <v>13</v>
      </c>
      <c r="J30" s="28">
        <f>IFERROR(__xludf.DUMMYFUNCTION("""COMPUTED_VALUE"""),32.0)</f>
        <v>32</v>
      </c>
      <c r="K30" s="28">
        <f>IFERROR(__xludf.DUMMYFUNCTION("""COMPUTED_VALUE"""),44.0)</f>
        <v>44</v>
      </c>
      <c r="L30" s="28">
        <f>IFERROR(__xludf.DUMMYFUNCTION("""COMPUTED_VALUE"""),30.0)</f>
        <v>30</v>
      </c>
      <c r="M30" s="28">
        <f>IFERROR(__xludf.DUMMYFUNCTION("""COMPUTED_VALUE"""),4.0)</f>
        <v>4</v>
      </c>
      <c r="N30" s="28">
        <f>IFERROR(__xludf.DUMMYFUNCTION("""COMPUTED_VALUE"""),35.0)</f>
        <v>35</v>
      </c>
    </row>
    <row r="31">
      <c r="A31" s="26">
        <f>IFERROR(__xludf.DUMMYFUNCTION("""COMPUTED_VALUE"""),45146.0)</f>
        <v>45146</v>
      </c>
      <c r="B31" s="27">
        <f>IFERROR(__xludf.DUMMYFUNCTION("""COMPUTED_VALUE"""),51.0)</f>
        <v>51</v>
      </c>
      <c r="C31" s="28">
        <f>IFERROR(__xludf.DUMMYFUNCTION("""COMPUTED_VALUE"""),189.0)</f>
        <v>189</v>
      </c>
      <c r="D31" s="28">
        <f>IFERROR(__xludf.DUMMYFUNCTION("""COMPUTED_VALUE"""),4.0)</f>
        <v>4</v>
      </c>
      <c r="E31" s="28">
        <f>IFERROR(__xludf.DUMMYFUNCTION("""COMPUTED_VALUE"""),3448.0)</f>
        <v>3448</v>
      </c>
      <c r="F31" s="28">
        <f>IFERROR(__xludf.DUMMYFUNCTION("""COMPUTED_VALUE"""),68.0)</f>
        <v>68</v>
      </c>
      <c r="G31" s="28">
        <f>IFERROR(__xludf.DUMMYFUNCTION("""COMPUTED_VALUE"""),46.0)</f>
        <v>46</v>
      </c>
      <c r="H31" s="28">
        <f>IFERROR(__xludf.DUMMYFUNCTION("""COMPUTED_VALUE"""),0.0)</f>
        <v>0</v>
      </c>
      <c r="I31" s="28">
        <f>IFERROR(__xludf.DUMMYFUNCTION("""COMPUTED_VALUE"""),5.0)</f>
        <v>5</v>
      </c>
      <c r="J31" s="28">
        <f>IFERROR(__xludf.DUMMYFUNCTION("""COMPUTED_VALUE"""),26.0)</f>
        <v>26</v>
      </c>
      <c r="K31" s="28">
        <f>IFERROR(__xludf.DUMMYFUNCTION("""COMPUTED_VALUE"""),34.0)</f>
        <v>34</v>
      </c>
      <c r="L31" s="28">
        <f>IFERROR(__xludf.DUMMYFUNCTION("""COMPUTED_VALUE"""),23.0)</f>
        <v>23</v>
      </c>
      <c r="M31" s="28">
        <f>IFERROR(__xludf.DUMMYFUNCTION("""COMPUTED_VALUE"""),4.0)</f>
        <v>4</v>
      </c>
      <c r="N31" s="28">
        <f>IFERROR(__xludf.DUMMYFUNCTION("""COMPUTED_VALUE"""),26.0)</f>
        <v>26</v>
      </c>
    </row>
    <row r="32">
      <c r="A32" s="26">
        <f>IFERROR(__xludf.DUMMYFUNCTION("""COMPUTED_VALUE"""),45147.0)</f>
        <v>45147</v>
      </c>
      <c r="B32" s="27">
        <f>IFERROR(__xludf.DUMMYFUNCTION("""COMPUTED_VALUE"""),59.0)</f>
        <v>59</v>
      </c>
      <c r="C32" s="28">
        <f>IFERROR(__xludf.DUMMYFUNCTION("""COMPUTED_VALUE"""),216.0)</f>
        <v>216</v>
      </c>
      <c r="D32" s="28">
        <f>IFERROR(__xludf.DUMMYFUNCTION("""COMPUTED_VALUE"""),4.0)</f>
        <v>4</v>
      </c>
      <c r="E32" s="28">
        <f>IFERROR(__xludf.DUMMYFUNCTION("""COMPUTED_VALUE"""),3814.0)</f>
        <v>3814</v>
      </c>
      <c r="F32" s="28">
        <f>IFERROR(__xludf.DUMMYFUNCTION("""COMPUTED_VALUE"""),65.0)</f>
        <v>65</v>
      </c>
      <c r="G32" s="28">
        <f>IFERROR(__xludf.DUMMYFUNCTION("""COMPUTED_VALUE"""),43.0)</f>
        <v>43</v>
      </c>
      <c r="H32" s="28">
        <f>IFERROR(__xludf.DUMMYFUNCTION("""COMPUTED_VALUE"""),0.0)</f>
        <v>0</v>
      </c>
      <c r="I32" s="28">
        <f>IFERROR(__xludf.DUMMYFUNCTION("""COMPUTED_VALUE"""),16.0)</f>
        <v>16</v>
      </c>
      <c r="J32" s="28">
        <f>IFERROR(__xludf.DUMMYFUNCTION("""COMPUTED_VALUE"""),26.0)</f>
        <v>26</v>
      </c>
      <c r="K32" s="28">
        <f>IFERROR(__xludf.DUMMYFUNCTION("""COMPUTED_VALUE"""),48.0)</f>
        <v>48</v>
      </c>
      <c r="L32" s="28">
        <f>IFERROR(__xludf.DUMMYFUNCTION("""COMPUTED_VALUE"""),18.0)</f>
        <v>18</v>
      </c>
      <c r="M32" s="28">
        <f>IFERROR(__xludf.DUMMYFUNCTION("""COMPUTED_VALUE"""),4.0)</f>
        <v>4</v>
      </c>
      <c r="N32" s="28">
        <f>IFERROR(__xludf.DUMMYFUNCTION("""COMPUTED_VALUE"""),39.0)</f>
        <v>39</v>
      </c>
    </row>
    <row r="33">
      <c r="A33" s="26">
        <f>IFERROR(__xludf.DUMMYFUNCTION("""COMPUTED_VALUE"""),45148.0)</f>
        <v>45148</v>
      </c>
      <c r="B33" s="27">
        <f>IFERROR(__xludf.DUMMYFUNCTION("""COMPUTED_VALUE"""),62.0)</f>
        <v>62</v>
      </c>
      <c r="C33" s="28">
        <f>IFERROR(__xludf.DUMMYFUNCTION("""COMPUTED_VALUE"""),253.0)</f>
        <v>253</v>
      </c>
      <c r="D33" s="28">
        <f>IFERROR(__xludf.DUMMYFUNCTION("""COMPUTED_VALUE"""),4.0)</f>
        <v>4</v>
      </c>
      <c r="E33" s="28">
        <f>IFERROR(__xludf.DUMMYFUNCTION("""COMPUTED_VALUE"""),4255.0)</f>
        <v>4255</v>
      </c>
      <c r="F33" s="28">
        <f>IFERROR(__xludf.DUMMYFUNCTION("""COMPUTED_VALUE"""),69.0)</f>
        <v>69</v>
      </c>
      <c r="G33" s="28">
        <f>IFERROR(__xludf.DUMMYFUNCTION("""COMPUTED_VALUE"""),48.0)</f>
        <v>48</v>
      </c>
      <c r="H33" s="28">
        <f>IFERROR(__xludf.DUMMYFUNCTION("""COMPUTED_VALUE"""),0.0)</f>
        <v>0</v>
      </c>
      <c r="I33" s="28">
        <f>IFERROR(__xludf.DUMMYFUNCTION("""COMPUTED_VALUE"""),13.0)</f>
        <v>13</v>
      </c>
      <c r="J33" s="28">
        <f>IFERROR(__xludf.DUMMYFUNCTION("""COMPUTED_VALUE"""),24.0)</f>
        <v>24</v>
      </c>
      <c r="K33" s="28">
        <f>IFERROR(__xludf.DUMMYFUNCTION("""COMPUTED_VALUE"""),45.0)</f>
        <v>45</v>
      </c>
      <c r="L33" s="28">
        <f>IFERROR(__xludf.DUMMYFUNCTION("""COMPUTED_VALUE"""),35.0)</f>
        <v>35</v>
      </c>
      <c r="M33" s="28">
        <f>IFERROR(__xludf.DUMMYFUNCTION("""COMPUTED_VALUE"""),3.0)</f>
        <v>3</v>
      </c>
      <c r="N33" s="28">
        <f>IFERROR(__xludf.DUMMYFUNCTION("""COMPUTED_VALUE"""),39.0)</f>
        <v>39</v>
      </c>
    </row>
    <row r="34">
      <c r="A34" s="26">
        <f>IFERROR(__xludf.DUMMYFUNCTION("""COMPUTED_VALUE"""),45149.0)</f>
        <v>45149</v>
      </c>
      <c r="B34" s="27">
        <f>IFERROR(__xludf.DUMMYFUNCTION("""COMPUTED_VALUE"""),43.0)</f>
        <v>43</v>
      </c>
      <c r="C34" s="28">
        <f>IFERROR(__xludf.DUMMYFUNCTION("""COMPUTED_VALUE"""),154.0)</f>
        <v>154</v>
      </c>
      <c r="D34" s="28">
        <f>IFERROR(__xludf.DUMMYFUNCTION("""COMPUTED_VALUE"""),4.0)</f>
        <v>4</v>
      </c>
      <c r="E34" s="28">
        <f>IFERROR(__xludf.DUMMYFUNCTION("""COMPUTED_VALUE"""),2604.0)</f>
        <v>2604</v>
      </c>
      <c r="F34" s="28">
        <f>IFERROR(__xludf.DUMMYFUNCTION("""COMPUTED_VALUE"""),61.0)</f>
        <v>61</v>
      </c>
      <c r="G34" s="28">
        <f>IFERROR(__xludf.DUMMYFUNCTION("""COMPUTED_VALUE"""),36.0)</f>
        <v>36</v>
      </c>
      <c r="H34" s="28">
        <f>IFERROR(__xludf.DUMMYFUNCTION("""COMPUTED_VALUE"""),0.0)</f>
        <v>0</v>
      </c>
      <c r="I34" s="28">
        <f>IFERROR(__xludf.DUMMYFUNCTION("""COMPUTED_VALUE"""),7.0)</f>
        <v>7</v>
      </c>
      <c r="J34" s="28">
        <f>IFERROR(__xludf.DUMMYFUNCTION("""COMPUTED_VALUE"""),16.0)</f>
        <v>16</v>
      </c>
      <c r="K34" s="28">
        <f>IFERROR(__xludf.DUMMYFUNCTION("""COMPUTED_VALUE"""),32.0)</f>
        <v>32</v>
      </c>
      <c r="L34" s="28">
        <f>IFERROR(__xludf.DUMMYFUNCTION("""COMPUTED_VALUE"""),15.0)</f>
        <v>15</v>
      </c>
      <c r="M34" s="28">
        <f>IFERROR(__xludf.DUMMYFUNCTION("""COMPUTED_VALUE"""),3.0)</f>
        <v>3</v>
      </c>
      <c r="N34" s="28">
        <f>IFERROR(__xludf.DUMMYFUNCTION("""COMPUTED_VALUE"""),25.0)</f>
        <v>25</v>
      </c>
    </row>
    <row r="35">
      <c r="A35" s="26">
        <f>IFERROR(__xludf.DUMMYFUNCTION("""COMPUTED_VALUE"""),45150.0)</f>
        <v>45150</v>
      </c>
      <c r="B35" s="27">
        <f>IFERROR(__xludf.DUMMYFUNCTION("""COMPUTED_VALUE"""),27.0)</f>
        <v>27</v>
      </c>
      <c r="C35" s="28">
        <f>IFERROR(__xludf.DUMMYFUNCTION("""COMPUTED_VALUE"""),101.0)</f>
        <v>101</v>
      </c>
      <c r="D35" s="28">
        <f>IFERROR(__xludf.DUMMYFUNCTION("""COMPUTED_VALUE"""),4.0)</f>
        <v>4</v>
      </c>
      <c r="E35" s="28">
        <f>IFERROR(__xludf.DUMMYFUNCTION("""COMPUTED_VALUE"""),1372.0)</f>
        <v>1372</v>
      </c>
      <c r="F35" s="28">
        <f>IFERROR(__xludf.DUMMYFUNCTION("""COMPUTED_VALUE"""),51.0)</f>
        <v>51</v>
      </c>
      <c r="G35" s="28">
        <f>IFERROR(__xludf.DUMMYFUNCTION("""COMPUTED_VALUE"""),22.0)</f>
        <v>22</v>
      </c>
      <c r="H35" s="28">
        <f>IFERROR(__xludf.DUMMYFUNCTION("""COMPUTED_VALUE"""),0.0)</f>
        <v>0</v>
      </c>
      <c r="I35" s="28">
        <f>IFERROR(__xludf.DUMMYFUNCTION("""COMPUTED_VALUE"""),5.0)</f>
        <v>5</v>
      </c>
      <c r="J35" s="28">
        <f>IFERROR(__xludf.DUMMYFUNCTION("""COMPUTED_VALUE"""),9.0)</f>
        <v>9</v>
      </c>
      <c r="K35" s="28">
        <f>IFERROR(__xludf.DUMMYFUNCTION("""COMPUTED_VALUE"""),16.0)</f>
        <v>16</v>
      </c>
      <c r="L35" s="28">
        <f>IFERROR(__xludf.DUMMYFUNCTION("""COMPUTED_VALUE"""),9.0)</f>
        <v>9</v>
      </c>
      <c r="M35" s="28">
        <f>IFERROR(__xludf.DUMMYFUNCTION("""COMPUTED_VALUE"""),1.0)</f>
        <v>1</v>
      </c>
      <c r="N35" s="28">
        <f>IFERROR(__xludf.DUMMYFUNCTION("""COMPUTED_VALUE"""),13.0)</f>
        <v>13</v>
      </c>
    </row>
    <row r="36">
      <c r="A36" s="26">
        <f>IFERROR(__xludf.DUMMYFUNCTION("""COMPUTED_VALUE"""),45151.0)</f>
        <v>45151</v>
      </c>
      <c r="B36" s="27">
        <f>IFERROR(__xludf.DUMMYFUNCTION("""COMPUTED_VALUE"""),0.0)</f>
        <v>0</v>
      </c>
      <c r="C36" s="28">
        <f>IFERROR(__xludf.DUMMYFUNCTION("""COMPUTED_VALUE"""),0.0)</f>
        <v>0</v>
      </c>
      <c r="D36" s="28">
        <f>IFERROR(__xludf.DUMMYFUNCTION("""COMPUTED_VALUE"""),0.0)</f>
        <v>0</v>
      </c>
      <c r="E36" s="28">
        <f>IFERROR(__xludf.DUMMYFUNCTION("""COMPUTED_VALUE"""),0.0)</f>
        <v>0</v>
      </c>
      <c r="F36" s="28">
        <f>IFERROR(__xludf.DUMMYFUNCTION("""COMPUTED_VALUE"""),0.0)</f>
        <v>0</v>
      </c>
      <c r="G36" s="28">
        <f>IFERROR(__xludf.DUMMYFUNCTION("""COMPUTED_VALUE"""),0.0)</f>
        <v>0</v>
      </c>
      <c r="H36" s="28">
        <f>IFERROR(__xludf.DUMMYFUNCTION("""COMPUTED_VALUE"""),0.0)</f>
        <v>0</v>
      </c>
      <c r="I36" s="28">
        <f>IFERROR(__xludf.DUMMYFUNCTION("""COMPUTED_VALUE"""),0.0)</f>
        <v>0</v>
      </c>
      <c r="J36" s="28">
        <f>IFERROR(__xludf.DUMMYFUNCTION("""COMPUTED_VALUE"""),0.0)</f>
        <v>0</v>
      </c>
      <c r="K36" s="28">
        <f>IFERROR(__xludf.DUMMYFUNCTION("""COMPUTED_VALUE"""),0.0)</f>
        <v>0</v>
      </c>
      <c r="L36" s="28">
        <f>IFERROR(__xludf.DUMMYFUNCTION("""COMPUTED_VALUE"""),0.0)</f>
        <v>0</v>
      </c>
      <c r="M36" s="28">
        <f>IFERROR(__xludf.DUMMYFUNCTION("""COMPUTED_VALUE"""),0.0)</f>
        <v>0</v>
      </c>
      <c r="N36" s="28">
        <f>IFERROR(__xludf.DUMMYFUNCTION("""COMPUTED_VALUE"""),0.0)</f>
        <v>0</v>
      </c>
    </row>
    <row r="37">
      <c r="A37" s="26">
        <f>IFERROR(__xludf.DUMMYFUNCTION("""COMPUTED_VALUE"""),45152.0)</f>
        <v>45152</v>
      </c>
      <c r="B37" s="27">
        <f>IFERROR(__xludf.DUMMYFUNCTION("""COMPUTED_VALUE"""),34.0)</f>
        <v>34</v>
      </c>
      <c r="C37" s="28">
        <f>IFERROR(__xludf.DUMMYFUNCTION("""COMPUTED_VALUE"""),120.0)</f>
        <v>120</v>
      </c>
      <c r="D37" s="28">
        <f>IFERROR(__xludf.DUMMYFUNCTION("""COMPUTED_VALUE"""),4.0)</f>
        <v>4</v>
      </c>
      <c r="E37" s="28">
        <f>IFERROR(__xludf.DUMMYFUNCTION("""COMPUTED_VALUE"""),2004.0)</f>
        <v>2004</v>
      </c>
      <c r="F37" s="28">
        <f>IFERROR(__xludf.DUMMYFUNCTION("""COMPUTED_VALUE"""),59.0)</f>
        <v>59</v>
      </c>
      <c r="G37" s="28">
        <f>IFERROR(__xludf.DUMMYFUNCTION("""COMPUTED_VALUE"""),26.0)</f>
        <v>26</v>
      </c>
      <c r="H37" s="28">
        <f>IFERROR(__xludf.DUMMYFUNCTION("""COMPUTED_VALUE"""),0.0)</f>
        <v>0</v>
      </c>
      <c r="I37" s="28">
        <f>IFERROR(__xludf.DUMMYFUNCTION("""COMPUTED_VALUE"""),8.0)</f>
        <v>8</v>
      </c>
      <c r="J37" s="28">
        <f>IFERROR(__xludf.DUMMYFUNCTION("""COMPUTED_VALUE"""),18.0)</f>
        <v>18</v>
      </c>
      <c r="K37" s="28">
        <f>IFERROR(__xludf.DUMMYFUNCTION("""COMPUTED_VALUE"""),24.0)</f>
        <v>24</v>
      </c>
      <c r="L37" s="28">
        <f>IFERROR(__xludf.DUMMYFUNCTION("""COMPUTED_VALUE"""),6.0)</f>
        <v>6</v>
      </c>
      <c r="M37" s="28">
        <f>IFERROR(__xludf.DUMMYFUNCTION("""COMPUTED_VALUE"""),2.0)</f>
        <v>2</v>
      </c>
      <c r="N37" s="28">
        <f>IFERROR(__xludf.DUMMYFUNCTION("""COMPUTED_VALUE"""),20.0)</f>
        <v>20</v>
      </c>
    </row>
    <row r="38">
      <c r="A38" s="26">
        <f>IFERROR(__xludf.DUMMYFUNCTION("""COMPUTED_VALUE"""),45153.0)</f>
        <v>45153</v>
      </c>
      <c r="B38" s="27">
        <f>IFERROR(__xludf.DUMMYFUNCTION("""COMPUTED_VALUE"""),10.0)</f>
        <v>10</v>
      </c>
      <c r="C38" s="28">
        <f>IFERROR(__xludf.DUMMYFUNCTION("""COMPUTED_VALUE"""),43.0)</f>
        <v>43</v>
      </c>
      <c r="D38" s="28">
        <f>IFERROR(__xludf.DUMMYFUNCTION("""COMPUTED_VALUE"""),4.0)</f>
        <v>4</v>
      </c>
      <c r="E38" s="28">
        <f>IFERROR(__xludf.DUMMYFUNCTION("""COMPUTED_VALUE"""),873.0)</f>
        <v>873</v>
      </c>
      <c r="F38" s="28">
        <f>IFERROR(__xludf.DUMMYFUNCTION("""COMPUTED_VALUE"""),87.0)</f>
        <v>87</v>
      </c>
      <c r="G38" s="28">
        <f>IFERROR(__xludf.DUMMYFUNCTION("""COMPUTED_VALUE"""),7.0)</f>
        <v>7</v>
      </c>
      <c r="H38" s="28">
        <f>IFERROR(__xludf.DUMMYFUNCTION("""COMPUTED_VALUE"""),0.0)</f>
        <v>0</v>
      </c>
      <c r="I38" s="28">
        <f>IFERROR(__xludf.DUMMYFUNCTION("""COMPUTED_VALUE"""),3.0)</f>
        <v>3</v>
      </c>
      <c r="J38" s="28">
        <f>IFERROR(__xludf.DUMMYFUNCTION("""COMPUTED_VALUE"""),9.0)</f>
        <v>9</v>
      </c>
      <c r="K38" s="28">
        <f>IFERROR(__xludf.DUMMYFUNCTION("""COMPUTED_VALUE"""),8.0)</f>
        <v>8</v>
      </c>
      <c r="L38" s="28">
        <f>IFERROR(__xludf.DUMMYFUNCTION("""COMPUTED_VALUE"""),6.0)</f>
        <v>6</v>
      </c>
      <c r="M38" s="28">
        <f>IFERROR(__xludf.DUMMYFUNCTION("""COMPUTED_VALUE"""),0.0)</f>
        <v>0</v>
      </c>
      <c r="N38" s="28">
        <f>IFERROR(__xludf.DUMMYFUNCTION("""COMPUTED_VALUE"""),7.0)</f>
        <v>7</v>
      </c>
    </row>
    <row r="39">
      <c r="A39" s="26">
        <f>IFERROR(__xludf.DUMMYFUNCTION("""COMPUTED_VALUE"""),45154.0)</f>
        <v>45154</v>
      </c>
      <c r="B39" s="27">
        <f>IFERROR(__xludf.DUMMYFUNCTION("""COMPUTED_VALUE"""),42.0)</f>
        <v>42</v>
      </c>
      <c r="C39" s="28">
        <f>IFERROR(__xludf.DUMMYFUNCTION("""COMPUTED_VALUE"""),161.0)</f>
        <v>161</v>
      </c>
      <c r="D39" s="28">
        <f>IFERROR(__xludf.DUMMYFUNCTION("""COMPUTED_VALUE"""),4.0)</f>
        <v>4</v>
      </c>
      <c r="E39" s="28">
        <f>IFERROR(__xludf.DUMMYFUNCTION("""COMPUTED_VALUE"""),3039.0)</f>
        <v>3039</v>
      </c>
      <c r="F39" s="28">
        <f>IFERROR(__xludf.DUMMYFUNCTION("""COMPUTED_VALUE"""),72.0)</f>
        <v>72</v>
      </c>
      <c r="G39" s="28">
        <f>IFERROR(__xludf.DUMMYFUNCTION("""COMPUTED_VALUE"""),26.0)</f>
        <v>26</v>
      </c>
      <c r="H39" s="28">
        <f>IFERROR(__xludf.DUMMYFUNCTION("""COMPUTED_VALUE"""),0.0)</f>
        <v>0</v>
      </c>
      <c r="I39" s="28">
        <f>IFERROR(__xludf.DUMMYFUNCTION("""COMPUTED_VALUE"""),16.0)</f>
        <v>16</v>
      </c>
      <c r="J39" s="28">
        <f>IFERROR(__xludf.DUMMYFUNCTION("""COMPUTED_VALUE"""),35.0)</f>
        <v>35</v>
      </c>
      <c r="K39" s="28">
        <f>IFERROR(__xludf.DUMMYFUNCTION("""COMPUTED_VALUE"""),29.0)</f>
        <v>29</v>
      </c>
      <c r="L39" s="28">
        <f>IFERROR(__xludf.DUMMYFUNCTION("""COMPUTED_VALUE"""),10.0)</f>
        <v>10</v>
      </c>
      <c r="M39" s="28">
        <f>IFERROR(__xludf.DUMMYFUNCTION("""COMPUTED_VALUE"""),1.0)</f>
        <v>1</v>
      </c>
      <c r="N39" s="28">
        <f>IFERROR(__xludf.DUMMYFUNCTION("""COMPUTED_VALUE"""),24.0)</f>
        <v>24</v>
      </c>
    </row>
    <row r="40">
      <c r="A40" s="26">
        <f>IFERROR(__xludf.DUMMYFUNCTION("""COMPUTED_VALUE"""),45155.0)</f>
        <v>45155</v>
      </c>
      <c r="B40" s="27">
        <f>IFERROR(__xludf.DUMMYFUNCTION("""COMPUTED_VALUE"""),19.0)</f>
        <v>19</v>
      </c>
      <c r="C40" s="28">
        <f>IFERROR(__xludf.DUMMYFUNCTION("""COMPUTED_VALUE"""),91.0)</f>
        <v>91</v>
      </c>
      <c r="D40" s="28">
        <f>IFERROR(__xludf.DUMMYFUNCTION("""COMPUTED_VALUE"""),5.0)</f>
        <v>5</v>
      </c>
      <c r="E40" s="28">
        <f>IFERROR(__xludf.DUMMYFUNCTION("""COMPUTED_VALUE"""),1879.0)</f>
        <v>1879</v>
      </c>
      <c r="F40" s="28">
        <f>IFERROR(__xludf.DUMMYFUNCTION("""COMPUTED_VALUE"""),99.0)</f>
        <v>99</v>
      </c>
      <c r="G40" s="28">
        <f>IFERROR(__xludf.DUMMYFUNCTION("""COMPUTED_VALUE"""),14.0)</f>
        <v>14</v>
      </c>
      <c r="H40" s="28">
        <f>IFERROR(__xludf.DUMMYFUNCTION("""COMPUTED_VALUE"""),1.0)</f>
        <v>1</v>
      </c>
      <c r="I40" s="28">
        <f>IFERROR(__xludf.DUMMYFUNCTION("""COMPUTED_VALUE"""),4.0)</f>
        <v>4</v>
      </c>
      <c r="J40" s="28">
        <f>IFERROR(__xludf.DUMMYFUNCTION("""COMPUTED_VALUE"""),24.0)</f>
        <v>24</v>
      </c>
      <c r="K40" s="28">
        <f>IFERROR(__xludf.DUMMYFUNCTION("""COMPUTED_VALUE"""),14.0)</f>
        <v>14</v>
      </c>
      <c r="L40" s="28">
        <f>IFERROR(__xludf.DUMMYFUNCTION("""COMPUTED_VALUE"""),10.0)</f>
        <v>10</v>
      </c>
      <c r="M40" s="28">
        <f>IFERROR(__xludf.DUMMYFUNCTION("""COMPUTED_VALUE"""),2.0)</f>
        <v>2</v>
      </c>
      <c r="N40" s="28">
        <f>IFERROR(__xludf.DUMMYFUNCTION("""COMPUTED_VALUE"""),12.0)</f>
        <v>12</v>
      </c>
    </row>
    <row r="41">
      <c r="A41" s="26">
        <f>IFERROR(__xludf.DUMMYFUNCTION("""COMPUTED_VALUE"""),45156.0)</f>
        <v>45156</v>
      </c>
      <c r="B41" s="27">
        <f>IFERROR(__xludf.DUMMYFUNCTION("""COMPUTED_VALUE"""),25.0)</f>
        <v>25</v>
      </c>
      <c r="C41" s="28">
        <f>IFERROR(__xludf.DUMMYFUNCTION("""COMPUTED_VALUE"""),100.0)</f>
        <v>100</v>
      </c>
      <c r="D41" s="28">
        <f>IFERROR(__xludf.DUMMYFUNCTION("""COMPUTED_VALUE"""),4.0)</f>
        <v>4</v>
      </c>
      <c r="E41" s="28">
        <f>IFERROR(__xludf.DUMMYFUNCTION("""COMPUTED_VALUE"""),2028.0)</f>
        <v>2028</v>
      </c>
      <c r="F41" s="28">
        <f>IFERROR(__xludf.DUMMYFUNCTION("""COMPUTED_VALUE"""),81.0)</f>
        <v>81</v>
      </c>
      <c r="G41" s="28">
        <f>IFERROR(__xludf.DUMMYFUNCTION("""COMPUTED_VALUE"""),12.0)</f>
        <v>12</v>
      </c>
      <c r="H41" s="28">
        <f>IFERROR(__xludf.DUMMYFUNCTION("""COMPUTED_VALUE"""),2.0)</f>
        <v>2</v>
      </c>
      <c r="I41" s="28">
        <f>IFERROR(__xludf.DUMMYFUNCTION("""COMPUTED_VALUE"""),11.0)</f>
        <v>11</v>
      </c>
      <c r="J41" s="28">
        <f>IFERROR(__xludf.DUMMYFUNCTION("""COMPUTED_VALUE"""),22.0)</f>
        <v>22</v>
      </c>
      <c r="K41" s="28">
        <f>IFERROR(__xludf.DUMMYFUNCTION("""COMPUTED_VALUE"""),19.0)</f>
        <v>19</v>
      </c>
      <c r="L41" s="28">
        <f>IFERROR(__xludf.DUMMYFUNCTION("""COMPUTED_VALUE"""),8.0)</f>
        <v>8</v>
      </c>
      <c r="M41" s="28">
        <f>IFERROR(__xludf.DUMMYFUNCTION("""COMPUTED_VALUE"""),2.0)</f>
        <v>2</v>
      </c>
      <c r="N41" s="28">
        <f>IFERROR(__xludf.DUMMYFUNCTION("""COMPUTED_VALUE"""),16.0)</f>
        <v>16</v>
      </c>
    </row>
    <row r="42">
      <c r="A42" s="26">
        <f>IFERROR(__xludf.DUMMYFUNCTION("""COMPUTED_VALUE"""),45157.0)</f>
        <v>45157</v>
      </c>
      <c r="B42" s="27">
        <f>IFERROR(__xludf.DUMMYFUNCTION("""COMPUTED_VALUE"""),20.0)</f>
        <v>20</v>
      </c>
      <c r="C42" s="28">
        <f>IFERROR(__xludf.DUMMYFUNCTION("""COMPUTED_VALUE"""),104.0)</f>
        <v>104</v>
      </c>
      <c r="D42" s="28">
        <f>IFERROR(__xludf.DUMMYFUNCTION("""COMPUTED_VALUE"""),5.0)</f>
        <v>5</v>
      </c>
      <c r="E42" s="28">
        <f>IFERROR(__xludf.DUMMYFUNCTION("""COMPUTED_VALUE"""),2511.0)</f>
        <v>2511</v>
      </c>
      <c r="F42" s="28">
        <f>IFERROR(__xludf.DUMMYFUNCTION("""COMPUTED_VALUE"""),126.0)</f>
        <v>126</v>
      </c>
      <c r="G42" s="28">
        <f>IFERROR(__xludf.DUMMYFUNCTION("""COMPUTED_VALUE"""),13.0)</f>
        <v>13</v>
      </c>
      <c r="H42" s="28">
        <f>IFERROR(__xludf.DUMMYFUNCTION("""COMPUTED_VALUE"""),0.0)</f>
        <v>0</v>
      </c>
      <c r="I42" s="28">
        <f>IFERROR(__xludf.DUMMYFUNCTION("""COMPUTED_VALUE"""),7.0)</f>
        <v>7</v>
      </c>
      <c r="J42" s="28">
        <f>IFERROR(__xludf.DUMMYFUNCTION("""COMPUTED_VALUE"""),43.0)</f>
        <v>43</v>
      </c>
      <c r="K42" s="28">
        <f>IFERROR(__xludf.DUMMYFUNCTION("""COMPUTED_VALUE"""),15.0)</f>
        <v>15</v>
      </c>
      <c r="L42" s="28">
        <f>IFERROR(__xludf.DUMMYFUNCTION("""COMPUTED_VALUE"""),6.0)</f>
        <v>6</v>
      </c>
      <c r="M42" s="28">
        <f>IFERROR(__xludf.DUMMYFUNCTION("""COMPUTED_VALUE"""),0.0)</f>
        <v>0</v>
      </c>
      <c r="N42" s="28">
        <f>IFERROR(__xludf.DUMMYFUNCTION("""COMPUTED_VALUE"""),14.0)</f>
        <v>14</v>
      </c>
    </row>
    <row r="43">
      <c r="A43" s="26">
        <f>IFERROR(__xludf.DUMMYFUNCTION("""COMPUTED_VALUE"""),45158.0)</f>
        <v>45158</v>
      </c>
      <c r="B43" s="27">
        <f>IFERROR(__xludf.DUMMYFUNCTION("""COMPUTED_VALUE"""),0.0)</f>
        <v>0</v>
      </c>
      <c r="C43" s="28">
        <f>IFERROR(__xludf.DUMMYFUNCTION("""COMPUTED_VALUE"""),0.0)</f>
        <v>0</v>
      </c>
      <c r="D43" s="28">
        <f>IFERROR(__xludf.DUMMYFUNCTION("""COMPUTED_VALUE"""),0.0)</f>
        <v>0</v>
      </c>
      <c r="E43" s="28">
        <f>IFERROR(__xludf.DUMMYFUNCTION("""COMPUTED_VALUE"""),0.0)</f>
        <v>0</v>
      </c>
      <c r="F43" s="28">
        <f>IFERROR(__xludf.DUMMYFUNCTION("""COMPUTED_VALUE"""),0.0)</f>
        <v>0</v>
      </c>
      <c r="G43" s="28">
        <f>IFERROR(__xludf.DUMMYFUNCTION("""COMPUTED_VALUE"""),0.0)</f>
        <v>0</v>
      </c>
      <c r="H43" s="28">
        <f>IFERROR(__xludf.DUMMYFUNCTION("""COMPUTED_VALUE"""),0.0)</f>
        <v>0</v>
      </c>
      <c r="I43" s="28">
        <f>IFERROR(__xludf.DUMMYFUNCTION("""COMPUTED_VALUE"""),0.0)</f>
        <v>0</v>
      </c>
      <c r="J43" s="28">
        <f>IFERROR(__xludf.DUMMYFUNCTION("""COMPUTED_VALUE"""),0.0)</f>
        <v>0</v>
      </c>
      <c r="K43" s="28">
        <f>IFERROR(__xludf.DUMMYFUNCTION("""COMPUTED_VALUE"""),0.0)</f>
        <v>0</v>
      </c>
      <c r="L43" s="28">
        <f>IFERROR(__xludf.DUMMYFUNCTION("""COMPUTED_VALUE"""),0.0)</f>
        <v>0</v>
      </c>
      <c r="M43" s="28">
        <f>IFERROR(__xludf.DUMMYFUNCTION("""COMPUTED_VALUE"""),0.0)</f>
        <v>0</v>
      </c>
      <c r="N43" s="28">
        <f>IFERROR(__xludf.DUMMYFUNCTION("""COMPUTED_VALUE"""),0.0)</f>
        <v>0</v>
      </c>
    </row>
    <row r="44">
      <c r="A44" s="26">
        <f>IFERROR(__xludf.DUMMYFUNCTION("""COMPUTED_VALUE"""),45159.0)</f>
        <v>45159</v>
      </c>
      <c r="B44" s="27">
        <f>IFERROR(__xludf.DUMMYFUNCTION("""COMPUTED_VALUE"""),31.0)</f>
        <v>31</v>
      </c>
      <c r="C44" s="28">
        <f>IFERROR(__xludf.DUMMYFUNCTION("""COMPUTED_VALUE"""),139.0)</f>
        <v>139</v>
      </c>
      <c r="D44" s="28">
        <f>IFERROR(__xludf.DUMMYFUNCTION("""COMPUTED_VALUE"""),4.0)</f>
        <v>4</v>
      </c>
      <c r="E44" s="28">
        <f>IFERROR(__xludf.DUMMYFUNCTION("""COMPUTED_VALUE"""),2283.0)</f>
        <v>2283</v>
      </c>
      <c r="F44" s="28">
        <f>IFERROR(__xludf.DUMMYFUNCTION("""COMPUTED_VALUE"""),74.0)</f>
        <v>74</v>
      </c>
      <c r="G44" s="28">
        <f>IFERROR(__xludf.DUMMYFUNCTION("""COMPUTED_VALUE"""),22.0)</f>
        <v>22</v>
      </c>
      <c r="H44" s="28">
        <f>IFERROR(__xludf.DUMMYFUNCTION("""COMPUTED_VALUE"""),1.0)</f>
        <v>1</v>
      </c>
      <c r="I44" s="28">
        <f>IFERROR(__xludf.DUMMYFUNCTION("""COMPUTED_VALUE"""),7.0)</f>
        <v>7</v>
      </c>
      <c r="J44" s="28">
        <f>IFERROR(__xludf.DUMMYFUNCTION("""COMPUTED_VALUE"""),26.0)</f>
        <v>26</v>
      </c>
      <c r="K44" s="28">
        <f>IFERROR(__xludf.DUMMYFUNCTION("""COMPUTED_VALUE"""),20.0)</f>
        <v>20</v>
      </c>
      <c r="L44" s="28">
        <f>IFERROR(__xludf.DUMMYFUNCTION("""COMPUTED_VALUE"""),12.0)</f>
        <v>12</v>
      </c>
      <c r="M44" s="28">
        <f>IFERROR(__xludf.DUMMYFUNCTION("""COMPUTED_VALUE"""),0.0)</f>
        <v>0</v>
      </c>
      <c r="N44" s="28">
        <f>IFERROR(__xludf.DUMMYFUNCTION("""COMPUTED_VALUE"""),19.0)</f>
        <v>19</v>
      </c>
    </row>
    <row r="45">
      <c r="A45" s="26">
        <f>IFERROR(__xludf.DUMMYFUNCTION("""COMPUTED_VALUE"""),45160.0)</f>
        <v>45160</v>
      </c>
      <c r="B45" s="27">
        <f>IFERROR(__xludf.DUMMYFUNCTION("""COMPUTED_VALUE"""),29.0)</f>
        <v>29</v>
      </c>
      <c r="C45" s="28">
        <f>IFERROR(__xludf.DUMMYFUNCTION("""COMPUTED_VALUE"""),97.0)</f>
        <v>97</v>
      </c>
      <c r="D45" s="28">
        <f>IFERROR(__xludf.DUMMYFUNCTION("""COMPUTED_VALUE"""),3.0)</f>
        <v>3</v>
      </c>
      <c r="E45" s="28">
        <f>IFERROR(__xludf.DUMMYFUNCTION("""COMPUTED_VALUE"""),1502.0)</f>
        <v>1502</v>
      </c>
      <c r="F45" s="28">
        <f>IFERROR(__xludf.DUMMYFUNCTION("""COMPUTED_VALUE"""),52.0)</f>
        <v>52</v>
      </c>
      <c r="G45" s="28">
        <f>IFERROR(__xludf.DUMMYFUNCTION("""COMPUTED_VALUE"""),17.0)</f>
        <v>17</v>
      </c>
      <c r="H45" s="28">
        <f>IFERROR(__xludf.DUMMYFUNCTION("""COMPUTED_VALUE"""),0.0)</f>
        <v>0</v>
      </c>
      <c r="I45" s="28">
        <f>IFERROR(__xludf.DUMMYFUNCTION("""COMPUTED_VALUE"""),12.0)</f>
        <v>12</v>
      </c>
      <c r="J45" s="28">
        <f>IFERROR(__xludf.DUMMYFUNCTION("""COMPUTED_VALUE"""),9.0)</f>
        <v>9</v>
      </c>
      <c r="K45" s="28">
        <f>IFERROR(__xludf.DUMMYFUNCTION("""COMPUTED_VALUE"""),17.0)</f>
        <v>17</v>
      </c>
      <c r="L45" s="28">
        <f>IFERROR(__xludf.DUMMYFUNCTION("""COMPUTED_VALUE"""),8.0)</f>
        <v>8</v>
      </c>
      <c r="M45" s="28">
        <f>IFERROR(__xludf.DUMMYFUNCTION("""COMPUTED_VALUE"""),0.0)</f>
        <v>0</v>
      </c>
      <c r="N45" s="28">
        <f>IFERROR(__xludf.DUMMYFUNCTION("""COMPUTED_VALUE"""),13.0)</f>
        <v>13</v>
      </c>
    </row>
    <row r="46">
      <c r="A46" s="26">
        <f>IFERROR(__xludf.DUMMYFUNCTION("""COMPUTED_VALUE"""),45161.0)</f>
        <v>45161</v>
      </c>
      <c r="B46" s="27">
        <f>IFERROR(__xludf.DUMMYFUNCTION("""COMPUTED_VALUE"""),42.0)</f>
        <v>42</v>
      </c>
      <c r="C46" s="28">
        <f>IFERROR(__xludf.DUMMYFUNCTION("""COMPUTED_VALUE"""),155.0)</f>
        <v>155</v>
      </c>
      <c r="D46" s="28">
        <f>IFERROR(__xludf.DUMMYFUNCTION("""COMPUTED_VALUE"""),4.0)</f>
        <v>4</v>
      </c>
      <c r="E46" s="28">
        <f>IFERROR(__xludf.DUMMYFUNCTION("""COMPUTED_VALUE"""),2682.0)</f>
        <v>2682</v>
      </c>
      <c r="F46" s="28">
        <f>IFERROR(__xludf.DUMMYFUNCTION("""COMPUTED_VALUE"""),64.0)</f>
        <v>64</v>
      </c>
      <c r="G46" s="28">
        <f>IFERROR(__xludf.DUMMYFUNCTION("""COMPUTED_VALUE"""),33.0)</f>
        <v>33</v>
      </c>
      <c r="H46" s="28">
        <f>IFERROR(__xludf.DUMMYFUNCTION("""COMPUTED_VALUE"""),0.0)</f>
        <v>0</v>
      </c>
      <c r="I46" s="28">
        <f>IFERROR(__xludf.DUMMYFUNCTION("""COMPUTED_VALUE"""),9.0)</f>
        <v>9</v>
      </c>
      <c r="J46" s="28">
        <f>IFERROR(__xludf.DUMMYFUNCTION("""COMPUTED_VALUE"""),15.0)</f>
        <v>15</v>
      </c>
      <c r="K46" s="28">
        <f>IFERROR(__xludf.DUMMYFUNCTION("""COMPUTED_VALUE"""),33.0)</f>
        <v>33</v>
      </c>
      <c r="L46" s="28">
        <f>IFERROR(__xludf.DUMMYFUNCTION("""COMPUTED_VALUE"""),16.0)</f>
        <v>16</v>
      </c>
      <c r="M46" s="28">
        <f>IFERROR(__xludf.DUMMYFUNCTION("""COMPUTED_VALUE"""),4.0)</f>
        <v>4</v>
      </c>
      <c r="N46" s="28">
        <f>IFERROR(__xludf.DUMMYFUNCTION("""COMPUTED_VALUE"""),30.0)</f>
        <v>30</v>
      </c>
    </row>
    <row r="47">
      <c r="A47" s="26">
        <f>IFERROR(__xludf.DUMMYFUNCTION("""COMPUTED_VALUE"""),45162.0)</f>
        <v>45162</v>
      </c>
      <c r="B47" s="27">
        <f>IFERROR(__xludf.DUMMYFUNCTION("""COMPUTED_VALUE"""),23.0)</f>
        <v>23</v>
      </c>
      <c r="C47" s="28">
        <f>IFERROR(__xludf.DUMMYFUNCTION("""COMPUTED_VALUE"""),88.0)</f>
        <v>88</v>
      </c>
      <c r="D47" s="28">
        <f>IFERROR(__xludf.DUMMYFUNCTION("""COMPUTED_VALUE"""),4.0)</f>
        <v>4</v>
      </c>
      <c r="E47" s="28">
        <f>IFERROR(__xludf.DUMMYFUNCTION("""COMPUTED_VALUE"""),1527.0)</f>
        <v>1527</v>
      </c>
      <c r="F47" s="28">
        <f>IFERROR(__xludf.DUMMYFUNCTION("""COMPUTED_VALUE"""),66.0)</f>
        <v>66</v>
      </c>
      <c r="G47" s="28">
        <f>IFERROR(__xludf.DUMMYFUNCTION("""COMPUTED_VALUE"""),16.0)</f>
        <v>16</v>
      </c>
      <c r="H47" s="28">
        <f>IFERROR(__xludf.DUMMYFUNCTION("""COMPUTED_VALUE"""),1.0)</f>
        <v>1</v>
      </c>
      <c r="I47" s="28">
        <f>IFERROR(__xludf.DUMMYFUNCTION("""COMPUTED_VALUE"""),6.0)</f>
        <v>6</v>
      </c>
      <c r="J47" s="28">
        <f>IFERROR(__xludf.DUMMYFUNCTION("""COMPUTED_VALUE"""),15.0)</f>
        <v>15</v>
      </c>
      <c r="K47" s="28">
        <f>IFERROR(__xludf.DUMMYFUNCTION("""COMPUTED_VALUE"""),18.0)</f>
        <v>18</v>
      </c>
      <c r="L47" s="28">
        <f>IFERROR(__xludf.DUMMYFUNCTION("""COMPUTED_VALUE"""),6.0)</f>
        <v>6</v>
      </c>
      <c r="M47" s="28">
        <f>IFERROR(__xludf.DUMMYFUNCTION("""COMPUTED_VALUE"""),0.0)</f>
        <v>0</v>
      </c>
      <c r="N47" s="28">
        <f>IFERROR(__xludf.DUMMYFUNCTION("""COMPUTED_VALUE"""),16.0)</f>
        <v>16</v>
      </c>
    </row>
    <row r="48">
      <c r="A48" s="26">
        <f>IFERROR(__xludf.DUMMYFUNCTION("""COMPUTED_VALUE"""),45163.0)</f>
        <v>45163</v>
      </c>
      <c r="B48" s="27">
        <f>IFERROR(__xludf.DUMMYFUNCTION("""COMPUTED_VALUE"""),35.0)</f>
        <v>35</v>
      </c>
      <c r="C48" s="28">
        <f>IFERROR(__xludf.DUMMYFUNCTION("""COMPUTED_VALUE"""),125.0)</f>
        <v>125</v>
      </c>
      <c r="D48" s="28">
        <f>IFERROR(__xludf.DUMMYFUNCTION("""COMPUTED_VALUE"""),4.0)</f>
        <v>4</v>
      </c>
      <c r="E48" s="28">
        <f>IFERROR(__xludf.DUMMYFUNCTION("""COMPUTED_VALUE"""),3253.0)</f>
        <v>3253</v>
      </c>
      <c r="F48" s="28">
        <f>IFERROR(__xludf.DUMMYFUNCTION("""COMPUTED_VALUE"""),93.0)</f>
        <v>93</v>
      </c>
      <c r="G48" s="28">
        <f>IFERROR(__xludf.DUMMYFUNCTION("""COMPUTED_VALUE"""),19.0)</f>
        <v>19</v>
      </c>
      <c r="H48" s="28">
        <f>IFERROR(__xludf.DUMMYFUNCTION("""COMPUTED_VALUE"""),0.0)</f>
        <v>0</v>
      </c>
      <c r="I48" s="28">
        <f>IFERROR(__xludf.DUMMYFUNCTION("""COMPUTED_VALUE"""),15.0)</f>
        <v>15</v>
      </c>
      <c r="J48" s="28">
        <f>IFERROR(__xludf.DUMMYFUNCTION("""COMPUTED_VALUE"""),19.0)</f>
        <v>19</v>
      </c>
      <c r="K48" s="28">
        <f>IFERROR(__xludf.DUMMYFUNCTION("""COMPUTED_VALUE"""),19.0)</f>
        <v>19</v>
      </c>
      <c r="L48" s="28">
        <f>IFERROR(__xludf.DUMMYFUNCTION("""COMPUTED_VALUE"""),14.0)</f>
        <v>14</v>
      </c>
      <c r="M48" s="28">
        <f>IFERROR(__xludf.DUMMYFUNCTION("""COMPUTED_VALUE"""),0.0)</f>
        <v>0</v>
      </c>
      <c r="N48" s="28">
        <f>IFERROR(__xludf.DUMMYFUNCTION("""COMPUTED_VALUE"""),16.0)</f>
        <v>16</v>
      </c>
    </row>
    <row r="49">
      <c r="A49" s="26">
        <f>IFERROR(__xludf.DUMMYFUNCTION("""COMPUTED_VALUE"""),45164.0)</f>
        <v>45164</v>
      </c>
      <c r="B49" s="27">
        <f>IFERROR(__xludf.DUMMYFUNCTION("""COMPUTED_VALUE"""),12.0)</f>
        <v>12</v>
      </c>
      <c r="C49" s="28">
        <f>IFERROR(__xludf.DUMMYFUNCTION("""COMPUTED_VALUE"""),49.0)</f>
        <v>49</v>
      </c>
      <c r="D49" s="28">
        <f>IFERROR(__xludf.DUMMYFUNCTION("""COMPUTED_VALUE"""),4.0)</f>
        <v>4</v>
      </c>
      <c r="E49" s="28">
        <f>IFERROR(__xludf.DUMMYFUNCTION("""COMPUTED_VALUE"""),1074.0)</f>
        <v>1074</v>
      </c>
      <c r="F49" s="28">
        <f>IFERROR(__xludf.DUMMYFUNCTION("""COMPUTED_VALUE"""),90.0)</f>
        <v>90</v>
      </c>
      <c r="G49" s="28">
        <f>IFERROR(__xludf.DUMMYFUNCTION("""COMPUTED_VALUE"""),9.0)</f>
        <v>9</v>
      </c>
      <c r="H49" s="28">
        <f>IFERROR(__xludf.DUMMYFUNCTION("""COMPUTED_VALUE"""),1.0)</f>
        <v>1</v>
      </c>
      <c r="I49" s="28">
        <f>IFERROR(__xludf.DUMMYFUNCTION("""COMPUTED_VALUE"""),2.0)</f>
        <v>2</v>
      </c>
      <c r="J49" s="28">
        <f>IFERROR(__xludf.DUMMYFUNCTION("""COMPUTED_VALUE"""),13.0)</f>
        <v>13</v>
      </c>
      <c r="K49" s="28">
        <f>IFERROR(__xludf.DUMMYFUNCTION("""COMPUTED_VALUE"""),8.0)</f>
        <v>8</v>
      </c>
      <c r="L49" s="28">
        <f>IFERROR(__xludf.DUMMYFUNCTION("""COMPUTED_VALUE"""),3.0)</f>
        <v>3</v>
      </c>
      <c r="M49" s="28">
        <f>IFERROR(__xludf.DUMMYFUNCTION("""COMPUTED_VALUE"""),0.0)</f>
        <v>0</v>
      </c>
      <c r="N49" s="28">
        <f>IFERROR(__xludf.DUMMYFUNCTION("""COMPUTED_VALUE"""),7.0)</f>
        <v>7</v>
      </c>
    </row>
    <row r="50">
      <c r="A50" s="26">
        <f>IFERROR(__xludf.DUMMYFUNCTION("""COMPUTED_VALUE"""),45165.0)</f>
        <v>45165</v>
      </c>
      <c r="B50" s="27">
        <f>IFERROR(__xludf.DUMMYFUNCTION("""COMPUTED_VALUE"""),0.0)</f>
        <v>0</v>
      </c>
      <c r="C50" s="28">
        <f>IFERROR(__xludf.DUMMYFUNCTION("""COMPUTED_VALUE"""),0.0)</f>
        <v>0</v>
      </c>
      <c r="D50" s="28">
        <f>IFERROR(__xludf.DUMMYFUNCTION("""COMPUTED_VALUE"""),0.0)</f>
        <v>0</v>
      </c>
      <c r="E50" s="28">
        <f>IFERROR(__xludf.DUMMYFUNCTION("""COMPUTED_VALUE"""),0.0)</f>
        <v>0</v>
      </c>
      <c r="F50" s="28">
        <f>IFERROR(__xludf.DUMMYFUNCTION("""COMPUTED_VALUE"""),0.0)</f>
        <v>0</v>
      </c>
      <c r="G50" s="28">
        <f>IFERROR(__xludf.DUMMYFUNCTION("""COMPUTED_VALUE"""),0.0)</f>
        <v>0</v>
      </c>
      <c r="H50" s="28">
        <f>IFERROR(__xludf.DUMMYFUNCTION("""COMPUTED_VALUE"""),0.0)</f>
        <v>0</v>
      </c>
      <c r="I50" s="28">
        <f>IFERROR(__xludf.DUMMYFUNCTION("""COMPUTED_VALUE"""),0.0)</f>
        <v>0</v>
      </c>
      <c r="J50" s="28">
        <f>IFERROR(__xludf.DUMMYFUNCTION("""COMPUTED_VALUE"""),0.0)</f>
        <v>0</v>
      </c>
      <c r="K50" s="28">
        <f>IFERROR(__xludf.DUMMYFUNCTION("""COMPUTED_VALUE"""),0.0)</f>
        <v>0</v>
      </c>
      <c r="L50" s="28">
        <f>IFERROR(__xludf.DUMMYFUNCTION("""COMPUTED_VALUE"""),0.0)</f>
        <v>0</v>
      </c>
      <c r="M50" s="28">
        <f>IFERROR(__xludf.DUMMYFUNCTION("""COMPUTED_VALUE"""),0.0)</f>
        <v>0</v>
      </c>
      <c r="N50" s="28">
        <f>IFERROR(__xludf.DUMMYFUNCTION("""COMPUTED_VALUE"""),0.0)</f>
        <v>0</v>
      </c>
    </row>
    <row r="51">
      <c r="A51" s="26">
        <f>IFERROR(__xludf.DUMMYFUNCTION("""COMPUTED_VALUE"""),45166.0)</f>
        <v>45166</v>
      </c>
      <c r="B51" s="27">
        <f>IFERROR(__xludf.DUMMYFUNCTION("""COMPUTED_VALUE"""),32.0)</f>
        <v>32</v>
      </c>
      <c r="C51" s="28">
        <f>IFERROR(__xludf.DUMMYFUNCTION("""COMPUTED_VALUE"""),133.0)</f>
        <v>133</v>
      </c>
      <c r="D51" s="28">
        <f>IFERROR(__xludf.DUMMYFUNCTION("""COMPUTED_VALUE"""),4.0)</f>
        <v>4</v>
      </c>
      <c r="E51" s="28">
        <f>IFERROR(__xludf.DUMMYFUNCTION("""COMPUTED_VALUE"""),2344.0)</f>
        <v>2344</v>
      </c>
      <c r="F51" s="28">
        <f>IFERROR(__xludf.DUMMYFUNCTION("""COMPUTED_VALUE"""),73.0)</f>
        <v>73</v>
      </c>
      <c r="G51" s="28">
        <f>IFERROR(__xludf.DUMMYFUNCTION("""COMPUTED_VALUE"""),23.0)</f>
        <v>23</v>
      </c>
      <c r="H51" s="28">
        <f>IFERROR(__xludf.DUMMYFUNCTION("""COMPUTED_VALUE"""),0.0)</f>
        <v>0</v>
      </c>
      <c r="I51" s="28">
        <f>IFERROR(__xludf.DUMMYFUNCTION("""COMPUTED_VALUE"""),9.0)</f>
        <v>9</v>
      </c>
      <c r="J51" s="28">
        <f>IFERROR(__xludf.DUMMYFUNCTION("""COMPUTED_VALUE"""),16.0)</f>
        <v>16</v>
      </c>
      <c r="K51" s="28">
        <f>IFERROR(__xludf.DUMMYFUNCTION("""COMPUTED_VALUE"""),24.0)</f>
        <v>24</v>
      </c>
      <c r="L51" s="28">
        <f>IFERROR(__xludf.DUMMYFUNCTION("""COMPUTED_VALUE"""),21.0)</f>
        <v>21</v>
      </c>
      <c r="M51" s="28">
        <f>IFERROR(__xludf.DUMMYFUNCTION("""COMPUTED_VALUE"""),2.0)</f>
        <v>2</v>
      </c>
      <c r="N51" s="28">
        <f>IFERROR(__xludf.DUMMYFUNCTION("""COMPUTED_VALUE"""),20.0)</f>
        <v>20</v>
      </c>
    </row>
    <row r="52">
      <c r="A52" s="26">
        <f>IFERROR(__xludf.DUMMYFUNCTION("""COMPUTED_VALUE"""),45167.0)</f>
        <v>45167</v>
      </c>
      <c r="B52" s="27">
        <f>IFERROR(__xludf.DUMMYFUNCTION("""COMPUTED_VALUE"""),30.0)</f>
        <v>30</v>
      </c>
      <c r="C52" s="28">
        <f>IFERROR(__xludf.DUMMYFUNCTION("""COMPUTED_VALUE"""),126.0)</f>
        <v>126</v>
      </c>
      <c r="D52" s="28">
        <f>IFERROR(__xludf.DUMMYFUNCTION("""COMPUTED_VALUE"""),4.0)</f>
        <v>4</v>
      </c>
      <c r="E52" s="28">
        <f>IFERROR(__xludf.DUMMYFUNCTION("""COMPUTED_VALUE"""),2098.0)</f>
        <v>2098</v>
      </c>
      <c r="F52" s="28">
        <f>IFERROR(__xludf.DUMMYFUNCTION("""COMPUTED_VALUE"""),70.0)</f>
        <v>70</v>
      </c>
      <c r="G52" s="28">
        <f>IFERROR(__xludf.DUMMYFUNCTION("""COMPUTED_VALUE"""),21.0)</f>
        <v>21</v>
      </c>
      <c r="H52" s="28">
        <f>IFERROR(__xludf.DUMMYFUNCTION("""COMPUTED_VALUE"""),0.0)</f>
        <v>0</v>
      </c>
      <c r="I52" s="28">
        <f>IFERROR(__xludf.DUMMYFUNCTION("""COMPUTED_VALUE"""),9.0)</f>
        <v>9</v>
      </c>
      <c r="J52" s="28">
        <f>IFERROR(__xludf.DUMMYFUNCTION("""COMPUTED_VALUE"""),19.0)</f>
        <v>19</v>
      </c>
      <c r="K52" s="28">
        <f>IFERROR(__xludf.DUMMYFUNCTION("""COMPUTED_VALUE"""),22.0)</f>
        <v>22</v>
      </c>
      <c r="L52" s="28">
        <f>IFERROR(__xludf.DUMMYFUNCTION("""COMPUTED_VALUE"""),12.0)</f>
        <v>12</v>
      </c>
      <c r="M52" s="28">
        <f>IFERROR(__xludf.DUMMYFUNCTION("""COMPUTED_VALUE"""),0.0)</f>
        <v>0</v>
      </c>
      <c r="N52" s="28">
        <f>IFERROR(__xludf.DUMMYFUNCTION("""COMPUTED_VALUE"""),18.0)</f>
        <v>18</v>
      </c>
    </row>
    <row r="53">
      <c r="A53" s="26">
        <f>IFERROR(__xludf.DUMMYFUNCTION("""COMPUTED_VALUE"""),45168.0)</f>
        <v>45168</v>
      </c>
      <c r="B53" s="27">
        <f>IFERROR(__xludf.DUMMYFUNCTION("""COMPUTED_VALUE"""),39.0)</f>
        <v>39</v>
      </c>
      <c r="C53" s="28">
        <f>IFERROR(__xludf.DUMMYFUNCTION("""COMPUTED_VALUE"""),143.0)</f>
        <v>143</v>
      </c>
      <c r="D53" s="28">
        <f>IFERROR(__xludf.DUMMYFUNCTION("""COMPUTED_VALUE"""),4.0)</f>
        <v>4</v>
      </c>
      <c r="E53" s="28">
        <f>IFERROR(__xludf.DUMMYFUNCTION("""COMPUTED_VALUE"""),2637.0)</f>
        <v>2637</v>
      </c>
      <c r="F53" s="28">
        <f>IFERROR(__xludf.DUMMYFUNCTION("""COMPUTED_VALUE"""),68.0)</f>
        <v>68</v>
      </c>
      <c r="G53" s="28">
        <f>IFERROR(__xludf.DUMMYFUNCTION("""COMPUTED_VALUE"""),31.0)</f>
        <v>31</v>
      </c>
      <c r="H53" s="28">
        <f>IFERROR(__xludf.DUMMYFUNCTION("""COMPUTED_VALUE"""),0.0)</f>
        <v>0</v>
      </c>
      <c r="I53" s="28">
        <f>IFERROR(__xludf.DUMMYFUNCTION("""COMPUTED_VALUE"""),8.0)</f>
        <v>8</v>
      </c>
      <c r="J53" s="28">
        <f>IFERROR(__xludf.DUMMYFUNCTION("""COMPUTED_VALUE"""),19.0)</f>
        <v>19</v>
      </c>
      <c r="K53" s="28">
        <f>IFERROR(__xludf.DUMMYFUNCTION("""COMPUTED_VALUE"""),29.0)</f>
        <v>29</v>
      </c>
      <c r="L53" s="28">
        <f>IFERROR(__xludf.DUMMYFUNCTION("""COMPUTED_VALUE"""),17.0)</f>
        <v>17</v>
      </c>
      <c r="M53" s="28">
        <f>IFERROR(__xludf.DUMMYFUNCTION("""COMPUTED_VALUE"""),1.0)</f>
        <v>1</v>
      </c>
      <c r="N53" s="28">
        <f>IFERROR(__xludf.DUMMYFUNCTION("""COMPUTED_VALUE"""),25.0)</f>
        <v>25</v>
      </c>
    </row>
    <row r="54">
      <c r="A54" s="26">
        <f>IFERROR(__xludf.DUMMYFUNCTION("""COMPUTED_VALUE"""),45169.0)</f>
        <v>45169</v>
      </c>
      <c r="B54" s="27">
        <f>IFERROR(__xludf.DUMMYFUNCTION("""COMPUTED_VALUE"""),37.0)</f>
        <v>37</v>
      </c>
      <c r="C54" s="28">
        <f>IFERROR(__xludf.DUMMYFUNCTION("""COMPUTED_VALUE"""),165.0)</f>
        <v>165</v>
      </c>
      <c r="D54" s="28">
        <f>IFERROR(__xludf.DUMMYFUNCTION("""COMPUTED_VALUE"""),4.0)</f>
        <v>4</v>
      </c>
      <c r="E54" s="28">
        <f>IFERROR(__xludf.DUMMYFUNCTION("""COMPUTED_VALUE"""),3047.0)</f>
        <v>3047</v>
      </c>
      <c r="F54" s="28">
        <f>IFERROR(__xludf.DUMMYFUNCTION("""COMPUTED_VALUE"""),82.0)</f>
        <v>82</v>
      </c>
      <c r="G54" s="28">
        <f>IFERROR(__xludf.DUMMYFUNCTION("""COMPUTED_VALUE"""),21.0)</f>
        <v>21</v>
      </c>
      <c r="H54" s="28">
        <f>IFERROR(__xludf.DUMMYFUNCTION("""COMPUTED_VALUE"""),0.0)</f>
        <v>0</v>
      </c>
      <c r="I54" s="28">
        <f>IFERROR(__xludf.DUMMYFUNCTION("""COMPUTED_VALUE"""),16.0)</f>
        <v>16</v>
      </c>
      <c r="J54" s="28">
        <f>IFERROR(__xludf.DUMMYFUNCTION("""COMPUTED_VALUE"""),32.0)</f>
        <v>32</v>
      </c>
      <c r="K54" s="28">
        <f>IFERROR(__xludf.DUMMYFUNCTION("""COMPUTED_VALUE"""),24.0)</f>
        <v>24</v>
      </c>
      <c r="L54" s="28">
        <f>IFERROR(__xludf.DUMMYFUNCTION("""COMPUTED_VALUE"""),24.0)</f>
        <v>24</v>
      </c>
      <c r="M54" s="28">
        <f>IFERROR(__xludf.DUMMYFUNCTION("""COMPUTED_VALUE"""),2.0)</f>
        <v>2</v>
      </c>
      <c r="N54" s="28">
        <f>IFERROR(__xludf.DUMMYFUNCTION("""COMPUTED_VALUE"""),19.0)</f>
        <v>19</v>
      </c>
    </row>
    <row r="55">
      <c r="A55" s="26">
        <f>IFERROR(__xludf.DUMMYFUNCTION("""COMPUTED_VALUE"""),45170.0)</f>
        <v>45170</v>
      </c>
      <c r="B55" s="27">
        <f>IFERROR(__xludf.DUMMYFUNCTION("""COMPUTED_VALUE"""),31.0)</f>
        <v>31</v>
      </c>
      <c r="C55" s="28">
        <f>IFERROR(__xludf.DUMMYFUNCTION("""COMPUTED_VALUE"""),112.0)</f>
        <v>112</v>
      </c>
      <c r="D55" s="28">
        <f>IFERROR(__xludf.DUMMYFUNCTION("""COMPUTED_VALUE"""),4.0)</f>
        <v>4</v>
      </c>
      <c r="E55" s="28">
        <f>IFERROR(__xludf.DUMMYFUNCTION("""COMPUTED_VALUE"""),2003.0)</f>
        <v>2003</v>
      </c>
      <c r="F55" s="28">
        <f>IFERROR(__xludf.DUMMYFUNCTION("""COMPUTED_VALUE"""),65.0)</f>
        <v>65</v>
      </c>
      <c r="G55" s="28">
        <f>IFERROR(__xludf.DUMMYFUNCTION("""COMPUTED_VALUE"""),21.0)</f>
        <v>21</v>
      </c>
      <c r="H55" s="28">
        <f>IFERROR(__xludf.DUMMYFUNCTION("""COMPUTED_VALUE"""),2.0)</f>
        <v>2</v>
      </c>
      <c r="I55" s="28">
        <f>IFERROR(__xludf.DUMMYFUNCTION("""COMPUTED_VALUE"""),8.0)</f>
        <v>8</v>
      </c>
      <c r="J55" s="28">
        <f>IFERROR(__xludf.DUMMYFUNCTION("""COMPUTED_VALUE"""),14.0)</f>
        <v>14</v>
      </c>
      <c r="K55" s="28">
        <f>IFERROR(__xludf.DUMMYFUNCTION("""COMPUTED_VALUE"""),23.0)</f>
        <v>23</v>
      </c>
      <c r="L55" s="28">
        <f>IFERROR(__xludf.DUMMYFUNCTION("""COMPUTED_VALUE"""),11.0)</f>
        <v>11</v>
      </c>
      <c r="M55" s="28">
        <f>IFERROR(__xludf.DUMMYFUNCTION("""COMPUTED_VALUE"""),0.0)</f>
        <v>0</v>
      </c>
      <c r="N55" s="28">
        <f>IFERROR(__xludf.DUMMYFUNCTION("""COMPUTED_VALUE"""),22.0)</f>
        <v>22</v>
      </c>
    </row>
    <row r="56">
      <c r="A56" s="26">
        <f>IFERROR(__xludf.DUMMYFUNCTION("""COMPUTED_VALUE"""),45171.0)</f>
        <v>45171</v>
      </c>
      <c r="B56" s="27">
        <f>IFERROR(__xludf.DUMMYFUNCTION("""COMPUTED_VALUE"""),12.0)</f>
        <v>12</v>
      </c>
      <c r="C56" s="28">
        <f>IFERROR(__xludf.DUMMYFUNCTION("""COMPUTED_VALUE"""),40.0)</f>
        <v>40</v>
      </c>
      <c r="D56" s="28">
        <f>IFERROR(__xludf.DUMMYFUNCTION("""COMPUTED_VALUE"""),3.0)</f>
        <v>3</v>
      </c>
      <c r="E56" s="28">
        <f>IFERROR(__xludf.DUMMYFUNCTION("""COMPUTED_VALUE"""),556.0)</f>
        <v>556</v>
      </c>
      <c r="F56" s="28">
        <f>IFERROR(__xludf.DUMMYFUNCTION("""COMPUTED_VALUE"""),46.0)</f>
        <v>46</v>
      </c>
      <c r="G56" s="28">
        <f>IFERROR(__xludf.DUMMYFUNCTION("""COMPUTED_VALUE"""),6.0)</f>
        <v>6</v>
      </c>
      <c r="H56" s="28">
        <f>IFERROR(__xludf.DUMMYFUNCTION("""COMPUTED_VALUE"""),2.0)</f>
        <v>2</v>
      </c>
      <c r="I56" s="28">
        <f>IFERROR(__xludf.DUMMYFUNCTION("""COMPUTED_VALUE"""),4.0)</f>
        <v>4</v>
      </c>
      <c r="J56" s="28">
        <f>IFERROR(__xludf.DUMMYFUNCTION("""COMPUTED_VALUE"""),2.0)</f>
        <v>2</v>
      </c>
      <c r="K56" s="28">
        <f>IFERROR(__xludf.DUMMYFUNCTION("""COMPUTED_VALUE"""),7.0)</f>
        <v>7</v>
      </c>
      <c r="L56" s="28">
        <f>IFERROR(__xludf.DUMMYFUNCTION("""COMPUTED_VALUE"""),5.0)</f>
        <v>5</v>
      </c>
      <c r="M56" s="28">
        <f>IFERROR(__xludf.DUMMYFUNCTION("""COMPUTED_VALUE"""),2.0)</f>
        <v>2</v>
      </c>
      <c r="N56" s="28">
        <f>IFERROR(__xludf.DUMMYFUNCTION("""COMPUTED_VALUE"""),4.0)</f>
        <v>4</v>
      </c>
    </row>
    <row r="57">
      <c r="A57" s="26">
        <f>IFERROR(__xludf.DUMMYFUNCTION("""COMPUTED_VALUE"""),45172.0)</f>
        <v>45172</v>
      </c>
      <c r="B57" s="27">
        <f>IFERROR(__xludf.DUMMYFUNCTION("""COMPUTED_VALUE"""),0.0)</f>
        <v>0</v>
      </c>
      <c r="C57" s="28">
        <f>IFERROR(__xludf.DUMMYFUNCTION("""COMPUTED_VALUE"""),0.0)</f>
        <v>0</v>
      </c>
      <c r="D57" s="28">
        <f>IFERROR(__xludf.DUMMYFUNCTION("""COMPUTED_VALUE"""),0.0)</f>
        <v>0</v>
      </c>
      <c r="E57" s="28">
        <f>IFERROR(__xludf.DUMMYFUNCTION("""COMPUTED_VALUE"""),0.0)</f>
        <v>0</v>
      </c>
      <c r="F57" s="28">
        <f>IFERROR(__xludf.DUMMYFUNCTION("""COMPUTED_VALUE"""),0.0)</f>
        <v>0</v>
      </c>
      <c r="G57" s="28">
        <f>IFERROR(__xludf.DUMMYFUNCTION("""COMPUTED_VALUE"""),0.0)</f>
        <v>0</v>
      </c>
      <c r="H57" s="28">
        <f>IFERROR(__xludf.DUMMYFUNCTION("""COMPUTED_VALUE"""),0.0)</f>
        <v>0</v>
      </c>
      <c r="I57" s="28">
        <f>IFERROR(__xludf.DUMMYFUNCTION("""COMPUTED_VALUE"""),0.0)</f>
        <v>0</v>
      </c>
      <c r="J57" s="28">
        <f>IFERROR(__xludf.DUMMYFUNCTION("""COMPUTED_VALUE"""),0.0)</f>
        <v>0</v>
      </c>
      <c r="K57" s="28">
        <f>IFERROR(__xludf.DUMMYFUNCTION("""COMPUTED_VALUE"""),0.0)</f>
        <v>0</v>
      </c>
      <c r="L57" s="28">
        <f>IFERROR(__xludf.DUMMYFUNCTION("""COMPUTED_VALUE"""),0.0)</f>
        <v>0</v>
      </c>
      <c r="M57" s="28">
        <f>IFERROR(__xludf.DUMMYFUNCTION("""COMPUTED_VALUE"""),0.0)</f>
        <v>0</v>
      </c>
      <c r="N57" s="28">
        <f>IFERROR(__xludf.DUMMYFUNCTION("""COMPUTED_VALUE"""),0.0)</f>
        <v>0</v>
      </c>
    </row>
    <row r="58">
      <c r="A58" s="26">
        <f>IFERROR(__xludf.DUMMYFUNCTION("""COMPUTED_VALUE"""),45173.0)</f>
        <v>45173</v>
      </c>
      <c r="B58" s="27">
        <f>IFERROR(__xludf.DUMMYFUNCTION("""COMPUTED_VALUE"""),36.0)</f>
        <v>36</v>
      </c>
      <c r="C58" s="28">
        <f>IFERROR(__xludf.DUMMYFUNCTION("""COMPUTED_VALUE"""),129.0)</f>
        <v>129</v>
      </c>
      <c r="D58" s="28">
        <f>IFERROR(__xludf.DUMMYFUNCTION("""COMPUTED_VALUE"""),4.0)</f>
        <v>4</v>
      </c>
      <c r="E58" s="28">
        <f>IFERROR(__xludf.DUMMYFUNCTION("""COMPUTED_VALUE"""),2306.0)</f>
        <v>2306</v>
      </c>
      <c r="F58" s="28">
        <f>IFERROR(__xludf.DUMMYFUNCTION("""COMPUTED_VALUE"""),64.0)</f>
        <v>64</v>
      </c>
      <c r="G58" s="28">
        <f>IFERROR(__xludf.DUMMYFUNCTION("""COMPUTED_VALUE"""),24.0)</f>
        <v>24</v>
      </c>
      <c r="H58" s="28">
        <f>IFERROR(__xludf.DUMMYFUNCTION("""COMPUTED_VALUE"""),1.0)</f>
        <v>1</v>
      </c>
      <c r="I58" s="28">
        <f>IFERROR(__xludf.DUMMYFUNCTION("""COMPUTED_VALUE"""),11.0)</f>
        <v>11</v>
      </c>
      <c r="J58" s="28">
        <f>IFERROR(__xludf.DUMMYFUNCTION("""COMPUTED_VALUE"""),16.0)</f>
        <v>16</v>
      </c>
      <c r="K58" s="28">
        <f>IFERROR(__xludf.DUMMYFUNCTION("""COMPUTED_VALUE"""),26.0)</f>
        <v>26</v>
      </c>
      <c r="L58" s="28">
        <f>IFERROR(__xludf.DUMMYFUNCTION("""COMPUTED_VALUE"""),12.0)</f>
        <v>12</v>
      </c>
      <c r="M58" s="28">
        <f>IFERROR(__xludf.DUMMYFUNCTION("""COMPUTED_VALUE"""),2.0)</f>
        <v>2</v>
      </c>
      <c r="N58" s="28">
        <f>IFERROR(__xludf.DUMMYFUNCTION("""COMPUTED_VALUE"""),18.0)</f>
        <v>18</v>
      </c>
    </row>
    <row r="59">
      <c r="A59" s="26">
        <f>IFERROR(__xludf.DUMMYFUNCTION("""COMPUTED_VALUE"""),45174.0)</f>
        <v>45174</v>
      </c>
      <c r="B59" s="27">
        <f>IFERROR(__xludf.DUMMYFUNCTION("""COMPUTED_VALUE"""),19.0)</f>
        <v>19</v>
      </c>
      <c r="C59" s="28">
        <f>IFERROR(__xludf.DUMMYFUNCTION("""COMPUTED_VALUE"""),78.0)</f>
        <v>78</v>
      </c>
      <c r="D59" s="28">
        <f>IFERROR(__xludf.DUMMYFUNCTION("""COMPUTED_VALUE"""),4.0)</f>
        <v>4</v>
      </c>
      <c r="E59" s="28">
        <f>IFERROR(__xludf.DUMMYFUNCTION("""COMPUTED_VALUE"""),1582.0)</f>
        <v>1582</v>
      </c>
      <c r="F59" s="28">
        <f>IFERROR(__xludf.DUMMYFUNCTION("""COMPUTED_VALUE"""),83.0)</f>
        <v>83</v>
      </c>
      <c r="G59" s="28">
        <f>IFERROR(__xludf.DUMMYFUNCTION("""COMPUTED_VALUE"""),14.0)</f>
        <v>14</v>
      </c>
      <c r="H59" s="28">
        <f>IFERROR(__xludf.DUMMYFUNCTION("""COMPUTED_VALUE"""),1.0)</f>
        <v>1</v>
      </c>
      <c r="I59" s="28">
        <f>IFERROR(__xludf.DUMMYFUNCTION("""COMPUTED_VALUE"""),4.0)</f>
        <v>4</v>
      </c>
      <c r="J59" s="28">
        <f>IFERROR(__xludf.DUMMYFUNCTION("""COMPUTED_VALUE"""),17.0)</f>
        <v>17</v>
      </c>
      <c r="K59" s="28">
        <f>IFERROR(__xludf.DUMMYFUNCTION("""COMPUTED_VALUE"""),15.0)</f>
        <v>15</v>
      </c>
      <c r="L59" s="28">
        <f>IFERROR(__xludf.DUMMYFUNCTION("""COMPUTED_VALUE"""),5.0)</f>
        <v>5</v>
      </c>
      <c r="M59" s="28">
        <f>IFERROR(__xludf.DUMMYFUNCTION("""COMPUTED_VALUE"""),1.0)</f>
        <v>1</v>
      </c>
      <c r="N59" s="28">
        <f>IFERROR(__xludf.DUMMYFUNCTION("""COMPUTED_VALUE"""),13.0)</f>
        <v>13</v>
      </c>
    </row>
    <row r="60">
      <c r="A60" s="26">
        <f>IFERROR(__xludf.DUMMYFUNCTION("""COMPUTED_VALUE"""),45175.0)</f>
        <v>45175</v>
      </c>
      <c r="B60" s="27">
        <f>IFERROR(__xludf.DUMMYFUNCTION("""COMPUTED_VALUE"""),22.0)</f>
        <v>22</v>
      </c>
      <c r="C60" s="28">
        <f>IFERROR(__xludf.DUMMYFUNCTION("""COMPUTED_VALUE"""),102.0)</f>
        <v>102</v>
      </c>
      <c r="D60" s="28">
        <f>IFERROR(__xludf.DUMMYFUNCTION("""COMPUTED_VALUE"""),5.0)</f>
        <v>5</v>
      </c>
      <c r="E60" s="28">
        <f>IFERROR(__xludf.DUMMYFUNCTION("""COMPUTED_VALUE"""),1795.0)</f>
        <v>1795</v>
      </c>
      <c r="F60" s="28">
        <f>IFERROR(__xludf.DUMMYFUNCTION("""COMPUTED_VALUE"""),82.0)</f>
        <v>82</v>
      </c>
      <c r="G60" s="28">
        <f>IFERROR(__xludf.DUMMYFUNCTION("""COMPUTED_VALUE"""),16.0)</f>
        <v>16</v>
      </c>
      <c r="H60" s="28">
        <f>IFERROR(__xludf.DUMMYFUNCTION("""COMPUTED_VALUE"""),0.0)</f>
        <v>0</v>
      </c>
      <c r="I60" s="28">
        <f>IFERROR(__xludf.DUMMYFUNCTION("""COMPUTED_VALUE"""),6.0)</f>
        <v>6</v>
      </c>
      <c r="J60" s="28">
        <f>IFERROR(__xludf.DUMMYFUNCTION("""COMPUTED_VALUE"""),14.0)</f>
        <v>14</v>
      </c>
      <c r="K60" s="28">
        <f>IFERROR(__xludf.DUMMYFUNCTION("""COMPUTED_VALUE"""),19.0)</f>
        <v>19</v>
      </c>
      <c r="L60" s="28">
        <f>IFERROR(__xludf.DUMMYFUNCTION("""COMPUTED_VALUE"""),12.0)</f>
        <v>12</v>
      </c>
      <c r="M60" s="28">
        <f>IFERROR(__xludf.DUMMYFUNCTION("""COMPUTED_VALUE"""),0.0)</f>
        <v>0</v>
      </c>
      <c r="N60" s="28">
        <f>IFERROR(__xludf.DUMMYFUNCTION("""COMPUTED_VALUE"""),15.0)</f>
        <v>15</v>
      </c>
    </row>
    <row r="61">
      <c r="A61" s="26">
        <f>IFERROR(__xludf.DUMMYFUNCTION("""COMPUTED_VALUE"""),45176.0)</f>
        <v>45176</v>
      </c>
      <c r="B61" s="27">
        <f>IFERROR(__xludf.DUMMYFUNCTION("""COMPUTED_VALUE"""),26.0)</f>
        <v>26</v>
      </c>
      <c r="C61" s="28">
        <f>IFERROR(__xludf.DUMMYFUNCTION("""COMPUTED_VALUE"""),114.0)</f>
        <v>114</v>
      </c>
      <c r="D61" s="28">
        <f>IFERROR(__xludf.DUMMYFUNCTION("""COMPUTED_VALUE"""),4.0)</f>
        <v>4</v>
      </c>
      <c r="E61" s="28">
        <f>IFERROR(__xludf.DUMMYFUNCTION("""COMPUTED_VALUE"""),2297.0)</f>
        <v>2297</v>
      </c>
      <c r="F61" s="28">
        <f>IFERROR(__xludf.DUMMYFUNCTION("""COMPUTED_VALUE"""),88.0)</f>
        <v>88</v>
      </c>
      <c r="G61" s="28">
        <f>IFERROR(__xludf.DUMMYFUNCTION("""COMPUTED_VALUE"""),16.0)</f>
        <v>16</v>
      </c>
      <c r="H61" s="28">
        <f>IFERROR(__xludf.DUMMYFUNCTION("""COMPUTED_VALUE"""),0.0)</f>
        <v>0</v>
      </c>
      <c r="I61" s="28">
        <f>IFERROR(__xludf.DUMMYFUNCTION("""COMPUTED_VALUE"""),10.0)</f>
        <v>10</v>
      </c>
      <c r="J61" s="28">
        <f>IFERROR(__xludf.DUMMYFUNCTION("""COMPUTED_VALUE"""),32.0)</f>
        <v>32</v>
      </c>
      <c r="K61" s="28">
        <f>IFERROR(__xludf.DUMMYFUNCTION("""COMPUTED_VALUE"""),18.0)</f>
        <v>18</v>
      </c>
      <c r="L61" s="28">
        <f>IFERROR(__xludf.DUMMYFUNCTION("""COMPUTED_VALUE"""),10.0)</f>
        <v>10</v>
      </c>
      <c r="M61" s="28">
        <f>IFERROR(__xludf.DUMMYFUNCTION("""COMPUTED_VALUE"""),1.0)</f>
        <v>1</v>
      </c>
      <c r="N61" s="28">
        <f>IFERROR(__xludf.DUMMYFUNCTION("""COMPUTED_VALUE"""),15.0)</f>
        <v>15</v>
      </c>
    </row>
    <row r="62">
      <c r="A62" s="26">
        <f>IFERROR(__xludf.DUMMYFUNCTION("""COMPUTED_VALUE"""),45177.0)</f>
        <v>45177</v>
      </c>
      <c r="B62" s="27">
        <f>IFERROR(__xludf.DUMMYFUNCTION("""COMPUTED_VALUE"""),24.0)</f>
        <v>24</v>
      </c>
      <c r="C62" s="28">
        <f>IFERROR(__xludf.DUMMYFUNCTION("""COMPUTED_VALUE"""),86.0)</f>
        <v>86</v>
      </c>
      <c r="D62" s="28">
        <f>IFERROR(__xludf.DUMMYFUNCTION("""COMPUTED_VALUE"""),4.0)</f>
        <v>4</v>
      </c>
      <c r="E62" s="28">
        <f>IFERROR(__xludf.DUMMYFUNCTION("""COMPUTED_VALUE"""),1499.0)</f>
        <v>1499</v>
      </c>
      <c r="F62" s="28">
        <f>IFERROR(__xludf.DUMMYFUNCTION("""COMPUTED_VALUE"""),62.0)</f>
        <v>62</v>
      </c>
      <c r="G62" s="28">
        <f>IFERROR(__xludf.DUMMYFUNCTION("""COMPUTED_VALUE"""),18.0)</f>
        <v>18</v>
      </c>
      <c r="H62" s="28">
        <f>IFERROR(__xludf.DUMMYFUNCTION("""COMPUTED_VALUE"""),0.0)</f>
        <v>0</v>
      </c>
      <c r="I62" s="28">
        <f>IFERROR(__xludf.DUMMYFUNCTION("""COMPUTED_VALUE"""),6.0)</f>
        <v>6</v>
      </c>
      <c r="J62" s="28">
        <f>IFERROR(__xludf.DUMMYFUNCTION("""COMPUTED_VALUE"""),15.0)</f>
        <v>15</v>
      </c>
      <c r="K62" s="28">
        <f>IFERROR(__xludf.DUMMYFUNCTION("""COMPUTED_VALUE"""),14.0)</f>
        <v>14</v>
      </c>
      <c r="L62" s="28">
        <f>IFERROR(__xludf.DUMMYFUNCTION("""COMPUTED_VALUE"""),5.0)</f>
        <v>5</v>
      </c>
      <c r="M62" s="28">
        <f>IFERROR(__xludf.DUMMYFUNCTION("""COMPUTED_VALUE"""),2.0)</f>
        <v>2</v>
      </c>
      <c r="N62" s="28">
        <f>IFERROR(__xludf.DUMMYFUNCTION("""COMPUTED_VALUE"""),12.0)</f>
        <v>12</v>
      </c>
    </row>
    <row r="63">
      <c r="A63" s="26">
        <f>IFERROR(__xludf.DUMMYFUNCTION("""COMPUTED_VALUE"""),45178.0)</f>
        <v>45178</v>
      </c>
      <c r="B63" s="27">
        <f>IFERROR(__xludf.DUMMYFUNCTION("""COMPUTED_VALUE"""),8.0)</f>
        <v>8</v>
      </c>
      <c r="C63" s="28">
        <f>IFERROR(__xludf.DUMMYFUNCTION("""COMPUTED_VALUE"""),24.0)</f>
        <v>24</v>
      </c>
      <c r="D63" s="28">
        <f>IFERROR(__xludf.DUMMYFUNCTION("""COMPUTED_VALUE"""),3.0)</f>
        <v>3</v>
      </c>
      <c r="E63" s="28">
        <f>IFERROR(__xludf.DUMMYFUNCTION("""COMPUTED_VALUE"""),349.0)</f>
        <v>349</v>
      </c>
      <c r="F63" s="28">
        <f>IFERROR(__xludf.DUMMYFUNCTION("""COMPUTED_VALUE"""),44.0)</f>
        <v>44</v>
      </c>
      <c r="G63" s="28">
        <f>IFERROR(__xludf.DUMMYFUNCTION("""COMPUTED_VALUE"""),6.0)</f>
        <v>6</v>
      </c>
      <c r="H63" s="28">
        <f>IFERROR(__xludf.DUMMYFUNCTION("""COMPUTED_VALUE"""),1.0)</f>
        <v>1</v>
      </c>
      <c r="I63" s="28">
        <f>IFERROR(__xludf.DUMMYFUNCTION("""COMPUTED_VALUE"""),1.0)</f>
        <v>1</v>
      </c>
      <c r="J63" s="28">
        <f>IFERROR(__xludf.DUMMYFUNCTION("""COMPUTED_VALUE"""),0.0)</f>
        <v>0</v>
      </c>
      <c r="K63" s="28">
        <f>IFERROR(__xludf.DUMMYFUNCTION("""COMPUTED_VALUE"""),5.0)</f>
        <v>5</v>
      </c>
      <c r="L63" s="28">
        <f>IFERROR(__xludf.DUMMYFUNCTION("""COMPUTED_VALUE"""),3.0)</f>
        <v>3</v>
      </c>
      <c r="M63" s="28">
        <f>IFERROR(__xludf.DUMMYFUNCTION("""COMPUTED_VALUE"""),0.0)</f>
        <v>0</v>
      </c>
      <c r="N63" s="28">
        <f>IFERROR(__xludf.DUMMYFUNCTION("""COMPUTED_VALUE"""),5.0)</f>
        <v>5</v>
      </c>
    </row>
    <row r="64">
      <c r="A64" s="26">
        <f>IFERROR(__xludf.DUMMYFUNCTION("""COMPUTED_VALUE"""),45179.0)</f>
        <v>45179</v>
      </c>
      <c r="B64" s="27">
        <f>IFERROR(__xludf.DUMMYFUNCTION("""COMPUTED_VALUE"""),0.0)</f>
        <v>0</v>
      </c>
      <c r="C64" s="28">
        <f>IFERROR(__xludf.DUMMYFUNCTION("""COMPUTED_VALUE"""),0.0)</f>
        <v>0</v>
      </c>
      <c r="D64" s="28">
        <f>IFERROR(__xludf.DUMMYFUNCTION("""COMPUTED_VALUE"""),0.0)</f>
        <v>0</v>
      </c>
      <c r="E64" s="28">
        <f>IFERROR(__xludf.DUMMYFUNCTION("""COMPUTED_VALUE"""),0.0)</f>
        <v>0</v>
      </c>
      <c r="F64" s="28">
        <f>IFERROR(__xludf.DUMMYFUNCTION("""COMPUTED_VALUE"""),0.0)</f>
        <v>0</v>
      </c>
      <c r="G64" s="28">
        <f>IFERROR(__xludf.DUMMYFUNCTION("""COMPUTED_VALUE"""),0.0)</f>
        <v>0</v>
      </c>
      <c r="H64" s="28">
        <f>IFERROR(__xludf.DUMMYFUNCTION("""COMPUTED_VALUE"""),0.0)</f>
        <v>0</v>
      </c>
      <c r="I64" s="28">
        <f>IFERROR(__xludf.DUMMYFUNCTION("""COMPUTED_VALUE"""),0.0)</f>
        <v>0</v>
      </c>
      <c r="J64" s="28">
        <f>IFERROR(__xludf.DUMMYFUNCTION("""COMPUTED_VALUE"""),0.0)</f>
        <v>0</v>
      </c>
      <c r="K64" s="28">
        <f>IFERROR(__xludf.DUMMYFUNCTION("""COMPUTED_VALUE"""),0.0)</f>
        <v>0</v>
      </c>
      <c r="L64" s="28">
        <f>IFERROR(__xludf.DUMMYFUNCTION("""COMPUTED_VALUE"""),0.0)</f>
        <v>0</v>
      </c>
      <c r="M64" s="28">
        <f>IFERROR(__xludf.DUMMYFUNCTION("""COMPUTED_VALUE"""),0.0)</f>
        <v>0</v>
      </c>
      <c r="N64" s="28">
        <f>IFERROR(__xludf.DUMMYFUNCTION("""COMPUTED_VALUE"""),0.0)</f>
        <v>0</v>
      </c>
    </row>
    <row r="65">
      <c r="A65" s="26">
        <f>IFERROR(__xludf.DUMMYFUNCTION("""COMPUTED_VALUE"""),45180.0)</f>
        <v>45180</v>
      </c>
      <c r="B65" s="27">
        <f>IFERROR(__xludf.DUMMYFUNCTION("""COMPUTED_VALUE"""),24.0)</f>
        <v>24</v>
      </c>
      <c r="C65" s="28">
        <f>IFERROR(__xludf.DUMMYFUNCTION("""COMPUTED_VALUE"""),86.0)</f>
        <v>86</v>
      </c>
      <c r="D65" s="28">
        <f>IFERROR(__xludf.DUMMYFUNCTION("""COMPUTED_VALUE"""),4.0)</f>
        <v>4</v>
      </c>
      <c r="E65" s="28">
        <f>IFERROR(__xludf.DUMMYFUNCTION("""COMPUTED_VALUE"""),1607.0)</f>
        <v>1607</v>
      </c>
      <c r="F65" s="28">
        <f>IFERROR(__xludf.DUMMYFUNCTION("""COMPUTED_VALUE"""),67.0)</f>
        <v>67</v>
      </c>
      <c r="G65" s="28">
        <f>IFERROR(__xludf.DUMMYFUNCTION("""COMPUTED_VALUE"""),15.0)</f>
        <v>15</v>
      </c>
      <c r="H65" s="28">
        <f>IFERROR(__xludf.DUMMYFUNCTION("""COMPUTED_VALUE"""),2.0)</f>
        <v>2</v>
      </c>
      <c r="I65" s="28">
        <f>IFERROR(__xludf.DUMMYFUNCTION("""COMPUTED_VALUE"""),7.0)</f>
        <v>7</v>
      </c>
      <c r="J65" s="28">
        <f>IFERROR(__xludf.DUMMYFUNCTION("""COMPUTED_VALUE"""),11.0)</f>
        <v>11</v>
      </c>
      <c r="K65" s="28">
        <f>IFERROR(__xludf.DUMMYFUNCTION("""COMPUTED_VALUE"""),18.0)</f>
        <v>18</v>
      </c>
      <c r="L65" s="28">
        <f>IFERROR(__xludf.DUMMYFUNCTION("""COMPUTED_VALUE"""),6.0)</f>
        <v>6</v>
      </c>
      <c r="M65" s="28">
        <f>IFERROR(__xludf.DUMMYFUNCTION("""COMPUTED_VALUE"""),0.0)</f>
        <v>0</v>
      </c>
      <c r="N65" s="28">
        <f>IFERROR(__xludf.DUMMYFUNCTION("""COMPUTED_VALUE"""),16.0)</f>
        <v>16</v>
      </c>
    </row>
    <row r="66">
      <c r="A66" s="26">
        <f>IFERROR(__xludf.DUMMYFUNCTION("""COMPUTED_VALUE"""),45181.0)</f>
        <v>45181</v>
      </c>
      <c r="B66" s="27">
        <f>IFERROR(__xludf.DUMMYFUNCTION("""COMPUTED_VALUE"""),23.0)</f>
        <v>23</v>
      </c>
      <c r="C66" s="28">
        <f>IFERROR(__xludf.DUMMYFUNCTION("""COMPUTED_VALUE"""),89.0)</f>
        <v>89</v>
      </c>
      <c r="D66" s="28">
        <f>IFERROR(__xludf.DUMMYFUNCTION("""COMPUTED_VALUE"""),4.0)</f>
        <v>4</v>
      </c>
      <c r="E66" s="28">
        <f>IFERROR(__xludf.DUMMYFUNCTION("""COMPUTED_VALUE"""),1582.0)</f>
        <v>1582</v>
      </c>
      <c r="F66" s="28">
        <f>IFERROR(__xludf.DUMMYFUNCTION("""COMPUTED_VALUE"""),69.0)</f>
        <v>69</v>
      </c>
      <c r="G66" s="28">
        <f>IFERROR(__xludf.DUMMYFUNCTION("""COMPUTED_VALUE"""),13.0)</f>
        <v>13</v>
      </c>
      <c r="H66" s="28">
        <f>IFERROR(__xludf.DUMMYFUNCTION("""COMPUTED_VALUE"""),0.0)</f>
        <v>0</v>
      </c>
      <c r="I66" s="28">
        <f>IFERROR(__xludf.DUMMYFUNCTION("""COMPUTED_VALUE"""),10.0)</f>
        <v>10</v>
      </c>
      <c r="J66" s="28">
        <f>IFERROR(__xludf.DUMMYFUNCTION("""COMPUTED_VALUE"""),12.0)</f>
        <v>12</v>
      </c>
      <c r="K66" s="28">
        <f>IFERROR(__xludf.DUMMYFUNCTION("""COMPUTED_VALUE"""),17.0)</f>
        <v>17</v>
      </c>
      <c r="L66" s="28">
        <f>IFERROR(__xludf.DUMMYFUNCTION("""COMPUTED_VALUE"""),7.0)</f>
        <v>7</v>
      </c>
      <c r="M66" s="28">
        <f>IFERROR(__xludf.DUMMYFUNCTION("""COMPUTED_VALUE"""),2.0)</f>
        <v>2</v>
      </c>
      <c r="N66" s="28">
        <f>IFERROR(__xludf.DUMMYFUNCTION("""COMPUTED_VALUE"""),13.0)</f>
        <v>13</v>
      </c>
    </row>
    <row r="67">
      <c r="A67" s="26">
        <f>IFERROR(__xludf.DUMMYFUNCTION("""COMPUTED_VALUE"""),45182.0)</f>
        <v>45182</v>
      </c>
      <c r="B67" s="27">
        <f>IFERROR(__xludf.DUMMYFUNCTION("""COMPUTED_VALUE"""),25.0)</f>
        <v>25</v>
      </c>
      <c r="C67" s="28">
        <f>IFERROR(__xludf.DUMMYFUNCTION("""COMPUTED_VALUE"""),115.0)</f>
        <v>115</v>
      </c>
      <c r="D67" s="28">
        <f>IFERROR(__xludf.DUMMYFUNCTION("""COMPUTED_VALUE"""),5.0)</f>
        <v>5</v>
      </c>
      <c r="E67" s="28">
        <f>IFERROR(__xludf.DUMMYFUNCTION("""COMPUTED_VALUE"""),2269.0)</f>
        <v>2269</v>
      </c>
      <c r="F67" s="28">
        <f>IFERROR(__xludf.DUMMYFUNCTION("""COMPUTED_VALUE"""),91.0)</f>
        <v>91</v>
      </c>
      <c r="G67" s="28">
        <f>IFERROR(__xludf.DUMMYFUNCTION("""COMPUTED_VALUE"""),20.0)</f>
        <v>20</v>
      </c>
      <c r="H67" s="28">
        <f>IFERROR(__xludf.DUMMYFUNCTION("""COMPUTED_VALUE"""),0.0)</f>
        <v>0</v>
      </c>
      <c r="I67" s="28">
        <f>IFERROR(__xludf.DUMMYFUNCTION("""COMPUTED_VALUE"""),5.0)</f>
        <v>5</v>
      </c>
      <c r="J67" s="28">
        <f>IFERROR(__xludf.DUMMYFUNCTION("""COMPUTED_VALUE"""),26.0)</f>
        <v>26</v>
      </c>
      <c r="K67" s="28">
        <f>IFERROR(__xludf.DUMMYFUNCTION("""COMPUTED_VALUE"""),10.0)</f>
        <v>10</v>
      </c>
      <c r="L67" s="28">
        <f>IFERROR(__xludf.DUMMYFUNCTION("""COMPUTED_VALUE"""),26.0)</f>
        <v>26</v>
      </c>
      <c r="M67" s="28">
        <f>IFERROR(__xludf.DUMMYFUNCTION("""COMPUTED_VALUE"""),0.0)</f>
        <v>0</v>
      </c>
      <c r="N67" s="28">
        <f>IFERROR(__xludf.DUMMYFUNCTION("""COMPUTED_VALUE"""),10.0)</f>
        <v>10</v>
      </c>
    </row>
    <row r="68">
      <c r="A68" s="26">
        <f>IFERROR(__xludf.DUMMYFUNCTION("""COMPUTED_VALUE"""),45183.0)</f>
        <v>45183</v>
      </c>
      <c r="B68" s="27">
        <f>IFERROR(__xludf.DUMMYFUNCTION("""COMPUTED_VALUE"""),33.0)</f>
        <v>33</v>
      </c>
      <c r="C68" s="28">
        <f>IFERROR(__xludf.DUMMYFUNCTION("""COMPUTED_VALUE"""),120.0)</f>
        <v>120</v>
      </c>
      <c r="D68" s="28">
        <f>IFERROR(__xludf.DUMMYFUNCTION("""COMPUTED_VALUE"""),4.0)</f>
        <v>4</v>
      </c>
      <c r="E68" s="28">
        <f>IFERROR(__xludf.DUMMYFUNCTION("""COMPUTED_VALUE"""),2154.0)</f>
        <v>2154</v>
      </c>
      <c r="F68" s="28">
        <f>IFERROR(__xludf.DUMMYFUNCTION("""COMPUTED_VALUE"""),65.0)</f>
        <v>65</v>
      </c>
      <c r="G68" s="28">
        <f>IFERROR(__xludf.DUMMYFUNCTION("""COMPUTED_VALUE"""),26.0)</f>
        <v>26</v>
      </c>
      <c r="H68" s="28">
        <f>IFERROR(__xludf.DUMMYFUNCTION("""COMPUTED_VALUE"""),0.0)</f>
        <v>0</v>
      </c>
      <c r="I68" s="28">
        <f>IFERROR(__xludf.DUMMYFUNCTION("""COMPUTED_VALUE"""),7.0)</f>
        <v>7</v>
      </c>
      <c r="J68" s="28">
        <f>IFERROR(__xludf.DUMMYFUNCTION("""COMPUTED_VALUE"""),19.0)</f>
        <v>19</v>
      </c>
      <c r="K68" s="28">
        <f>IFERROR(__xludf.DUMMYFUNCTION("""COMPUTED_VALUE"""),23.0)</f>
        <v>23</v>
      </c>
      <c r="L68" s="28">
        <f>IFERROR(__xludf.DUMMYFUNCTION("""COMPUTED_VALUE"""),8.0)</f>
        <v>8</v>
      </c>
      <c r="M68" s="28">
        <f>IFERROR(__xludf.DUMMYFUNCTION("""COMPUTED_VALUE"""),1.0)</f>
        <v>1</v>
      </c>
      <c r="N68" s="28">
        <f>IFERROR(__xludf.DUMMYFUNCTION("""COMPUTED_VALUE"""),21.0)</f>
        <v>21</v>
      </c>
    </row>
    <row r="69">
      <c r="A69" s="26">
        <f>IFERROR(__xludf.DUMMYFUNCTION("""COMPUTED_VALUE"""),45184.0)</f>
        <v>45184</v>
      </c>
      <c r="B69" s="27">
        <f>IFERROR(__xludf.DUMMYFUNCTION("""COMPUTED_VALUE"""),40.0)</f>
        <v>40</v>
      </c>
      <c r="C69" s="28">
        <f>IFERROR(__xludf.DUMMYFUNCTION("""COMPUTED_VALUE"""),166.0)</f>
        <v>166</v>
      </c>
      <c r="D69" s="28">
        <f>IFERROR(__xludf.DUMMYFUNCTION("""COMPUTED_VALUE"""),4.0)</f>
        <v>4</v>
      </c>
      <c r="E69" s="28">
        <f>IFERROR(__xludf.DUMMYFUNCTION("""COMPUTED_VALUE"""),3056.0)</f>
        <v>3056</v>
      </c>
      <c r="F69" s="28">
        <f>IFERROR(__xludf.DUMMYFUNCTION("""COMPUTED_VALUE"""),76.0)</f>
        <v>76</v>
      </c>
      <c r="G69" s="28">
        <f>IFERROR(__xludf.DUMMYFUNCTION("""COMPUTED_VALUE"""),27.0)</f>
        <v>27</v>
      </c>
      <c r="H69" s="28">
        <f>IFERROR(__xludf.DUMMYFUNCTION("""COMPUTED_VALUE"""),1.0)</f>
        <v>1</v>
      </c>
      <c r="I69" s="28">
        <f>IFERROR(__xludf.DUMMYFUNCTION("""COMPUTED_VALUE"""),12.0)</f>
        <v>12</v>
      </c>
      <c r="J69" s="28">
        <f>IFERROR(__xludf.DUMMYFUNCTION("""COMPUTED_VALUE"""),30.0)</f>
        <v>30</v>
      </c>
      <c r="K69" s="28">
        <f>IFERROR(__xludf.DUMMYFUNCTION("""COMPUTED_VALUE"""),27.0)</f>
        <v>27</v>
      </c>
      <c r="L69" s="28">
        <f>IFERROR(__xludf.DUMMYFUNCTION("""COMPUTED_VALUE"""),23.0)</f>
        <v>23</v>
      </c>
      <c r="M69" s="28">
        <f>IFERROR(__xludf.DUMMYFUNCTION("""COMPUTED_VALUE"""),0.0)</f>
        <v>0</v>
      </c>
      <c r="N69" s="28">
        <f>IFERROR(__xludf.DUMMYFUNCTION("""COMPUTED_VALUE"""),26.0)</f>
        <v>26</v>
      </c>
    </row>
    <row r="70">
      <c r="A70" s="26">
        <f>IFERROR(__xludf.DUMMYFUNCTION("""COMPUTED_VALUE"""),45185.0)</f>
        <v>45185</v>
      </c>
      <c r="B70" s="27">
        <f>IFERROR(__xludf.DUMMYFUNCTION("""COMPUTED_VALUE"""),19.0)</f>
        <v>19</v>
      </c>
      <c r="C70" s="28">
        <f>IFERROR(__xludf.DUMMYFUNCTION("""COMPUTED_VALUE"""),74.0)</f>
        <v>74</v>
      </c>
      <c r="D70" s="28">
        <f>IFERROR(__xludf.DUMMYFUNCTION("""COMPUTED_VALUE"""),4.0)</f>
        <v>4</v>
      </c>
      <c r="E70" s="28">
        <f>IFERROR(__xludf.DUMMYFUNCTION("""COMPUTED_VALUE"""),1362.0)</f>
        <v>1362</v>
      </c>
      <c r="F70" s="28">
        <f>IFERROR(__xludf.DUMMYFUNCTION("""COMPUTED_VALUE"""),72.0)</f>
        <v>72</v>
      </c>
      <c r="G70" s="28">
        <f>IFERROR(__xludf.DUMMYFUNCTION("""COMPUTED_VALUE"""),13.0)</f>
        <v>13</v>
      </c>
      <c r="H70" s="28">
        <f>IFERROR(__xludf.DUMMYFUNCTION("""COMPUTED_VALUE"""),0.0)</f>
        <v>0</v>
      </c>
      <c r="I70" s="28">
        <f>IFERROR(__xludf.DUMMYFUNCTION("""COMPUTED_VALUE"""),6.0)</f>
        <v>6</v>
      </c>
      <c r="J70" s="28">
        <f>IFERROR(__xludf.DUMMYFUNCTION("""COMPUTED_VALUE"""),16.0)</f>
        <v>16</v>
      </c>
      <c r="K70" s="28">
        <f>IFERROR(__xludf.DUMMYFUNCTION("""COMPUTED_VALUE"""),9.0)</f>
        <v>9</v>
      </c>
      <c r="L70" s="28">
        <f>IFERROR(__xludf.DUMMYFUNCTION("""COMPUTED_VALUE"""),11.0)</f>
        <v>11</v>
      </c>
      <c r="M70" s="28">
        <f>IFERROR(__xludf.DUMMYFUNCTION("""COMPUTED_VALUE"""),0.0)</f>
        <v>0</v>
      </c>
      <c r="N70" s="28">
        <f>IFERROR(__xludf.DUMMYFUNCTION("""COMPUTED_VALUE"""),6.0)</f>
        <v>6</v>
      </c>
    </row>
    <row r="71">
      <c r="A71" s="26">
        <f>IFERROR(__xludf.DUMMYFUNCTION("""COMPUTED_VALUE"""),45186.0)</f>
        <v>45186</v>
      </c>
      <c r="B71" s="27">
        <f>IFERROR(__xludf.DUMMYFUNCTION("""COMPUTED_VALUE"""),0.0)</f>
        <v>0</v>
      </c>
      <c r="C71" s="28">
        <f>IFERROR(__xludf.DUMMYFUNCTION("""COMPUTED_VALUE"""),0.0)</f>
        <v>0</v>
      </c>
      <c r="D71" s="28">
        <f>IFERROR(__xludf.DUMMYFUNCTION("""COMPUTED_VALUE"""),0.0)</f>
        <v>0</v>
      </c>
      <c r="E71" s="28">
        <f>IFERROR(__xludf.DUMMYFUNCTION("""COMPUTED_VALUE"""),0.0)</f>
        <v>0</v>
      </c>
      <c r="F71" s="28">
        <f>IFERROR(__xludf.DUMMYFUNCTION("""COMPUTED_VALUE"""),0.0)</f>
        <v>0</v>
      </c>
      <c r="G71" s="28">
        <f>IFERROR(__xludf.DUMMYFUNCTION("""COMPUTED_VALUE"""),0.0)</f>
        <v>0</v>
      </c>
      <c r="H71" s="28">
        <f>IFERROR(__xludf.DUMMYFUNCTION("""COMPUTED_VALUE"""),0.0)</f>
        <v>0</v>
      </c>
      <c r="I71" s="28">
        <f>IFERROR(__xludf.DUMMYFUNCTION("""COMPUTED_VALUE"""),0.0)</f>
        <v>0</v>
      </c>
      <c r="J71" s="28">
        <f>IFERROR(__xludf.DUMMYFUNCTION("""COMPUTED_VALUE"""),0.0)</f>
        <v>0</v>
      </c>
      <c r="K71" s="28">
        <f>IFERROR(__xludf.DUMMYFUNCTION("""COMPUTED_VALUE"""),0.0)</f>
        <v>0</v>
      </c>
      <c r="L71" s="28">
        <f>IFERROR(__xludf.DUMMYFUNCTION("""COMPUTED_VALUE"""),0.0)</f>
        <v>0</v>
      </c>
      <c r="M71" s="28">
        <f>IFERROR(__xludf.DUMMYFUNCTION("""COMPUTED_VALUE"""),0.0)</f>
        <v>0</v>
      </c>
      <c r="N71" s="28">
        <f>IFERROR(__xludf.DUMMYFUNCTION("""COMPUTED_VALUE"""),0.0)</f>
        <v>0</v>
      </c>
    </row>
    <row r="72">
      <c r="A72" s="26">
        <f>IFERROR(__xludf.DUMMYFUNCTION("""COMPUTED_VALUE"""),45187.0)</f>
        <v>45187</v>
      </c>
      <c r="B72" s="27">
        <f>IFERROR(__xludf.DUMMYFUNCTION("""COMPUTED_VALUE"""),24.0)</f>
        <v>24</v>
      </c>
      <c r="C72" s="28">
        <f>IFERROR(__xludf.DUMMYFUNCTION("""COMPUTED_VALUE"""),103.0)</f>
        <v>103</v>
      </c>
      <c r="D72" s="28">
        <f>IFERROR(__xludf.DUMMYFUNCTION("""COMPUTED_VALUE"""),4.0)</f>
        <v>4</v>
      </c>
      <c r="E72" s="28">
        <f>IFERROR(__xludf.DUMMYFUNCTION("""COMPUTED_VALUE"""),2088.0)</f>
        <v>2088</v>
      </c>
      <c r="F72" s="28">
        <f>IFERROR(__xludf.DUMMYFUNCTION("""COMPUTED_VALUE"""),87.0)</f>
        <v>87</v>
      </c>
      <c r="G72" s="28">
        <f>IFERROR(__xludf.DUMMYFUNCTION("""COMPUTED_VALUE"""),15.0)</f>
        <v>15</v>
      </c>
      <c r="H72" s="28">
        <f>IFERROR(__xludf.DUMMYFUNCTION("""COMPUTED_VALUE"""),0.0)</f>
        <v>0</v>
      </c>
      <c r="I72" s="28">
        <f>IFERROR(__xludf.DUMMYFUNCTION("""COMPUTED_VALUE"""),9.0)</f>
        <v>9</v>
      </c>
      <c r="J72" s="28">
        <f>IFERROR(__xludf.DUMMYFUNCTION("""COMPUTED_VALUE"""),21.0)</f>
        <v>21</v>
      </c>
      <c r="K72" s="28">
        <f>IFERROR(__xludf.DUMMYFUNCTION("""COMPUTED_VALUE"""),16.0)</f>
        <v>16</v>
      </c>
      <c r="L72" s="28">
        <f>IFERROR(__xludf.DUMMYFUNCTION("""COMPUTED_VALUE"""),17.0)</f>
        <v>17</v>
      </c>
      <c r="M72" s="28">
        <f>IFERROR(__xludf.DUMMYFUNCTION("""COMPUTED_VALUE"""),0.0)</f>
        <v>0</v>
      </c>
      <c r="N72" s="28">
        <f>IFERROR(__xludf.DUMMYFUNCTION("""COMPUTED_VALUE"""),14.0)</f>
        <v>14</v>
      </c>
    </row>
    <row r="73">
      <c r="A73" s="26">
        <f>IFERROR(__xludf.DUMMYFUNCTION("""COMPUTED_VALUE"""),45188.0)</f>
        <v>45188</v>
      </c>
      <c r="B73" s="27">
        <f>IFERROR(__xludf.DUMMYFUNCTION("""COMPUTED_VALUE"""),23.0)</f>
        <v>23</v>
      </c>
      <c r="C73" s="28">
        <f>IFERROR(__xludf.DUMMYFUNCTION("""COMPUTED_VALUE"""),86.0)</f>
        <v>86</v>
      </c>
      <c r="D73" s="28">
        <f>IFERROR(__xludf.DUMMYFUNCTION("""COMPUTED_VALUE"""),4.0)</f>
        <v>4</v>
      </c>
      <c r="E73" s="28">
        <f>IFERROR(__xludf.DUMMYFUNCTION("""COMPUTED_VALUE"""),1632.0)</f>
        <v>1632</v>
      </c>
      <c r="F73" s="28">
        <f>IFERROR(__xludf.DUMMYFUNCTION("""COMPUTED_VALUE"""),71.0)</f>
        <v>71</v>
      </c>
      <c r="G73" s="28">
        <f>IFERROR(__xludf.DUMMYFUNCTION("""COMPUTED_VALUE"""),16.0)</f>
        <v>16</v>
      </c>
      <c r="H73" s="28">
        <f>IFERROR(__xludf.DUMMYFUNCTION("""COMPUTED_VALUE"""),1.0)</f>
        <v>1</v>
      </c>
      <c r="I73" s="28">
        <f>IFERROR(__xludf.DUMMYFUNCTION("""COMPUTED_VALUE"""),6.0)</f>
        <v>6</v>
      </c>
      <c r="J73" s="28">
        <f>IFERROR(__xludf.DUMMYFUNCTION("""COMPUTED_VALUE"""),21.0)</f>
        <v>21</v>
      </c>
      <c r="K73" s="28">
        <f>IFERROR(__xludf.DUMMYFUNCTION("""COMPUTED_VALUE"""),13.0)</f>
        <v>13</v>
      </c>
      <c r="L73" s="28">
        <f>IFERROR(__xludf.DUMMYFUNCTION("""COMPUTED_VALUE"""),4.0)</f>
        <v>4</v>
      </c>
      <c r="M73" s="28">
        <f>IFERROR(__xludf.DUMMYFUNCTION("""COMPUTED_VALUE"""),2.0)</f>
        <v>2</v>
      </c>
      <c r="N73" s="28">
        <f>IFERROR(__xludf.DUMMYFUNCTION("""COMPUTED_VALUE"""),10.0)</f>
        <v>10</v>
      </c>
    </row>
    <row r="74">
      <c r="A74" s="26">
        <f>IFERROR(__xludf.DUMMYFUNCTION("""COMPUTED_VALUE"""),45189.0)</f>
        <v>45189</v>
      </c>
      <c r="B74" s="27">
        <f>IFERROR(__xludf.DUMMYFUNCTION("""COMPUTED_VALUE"""),14.0)</f>
        <v>14</v>
      </c>
      <c r="C74" s="28">
        <f>IFERROR(__xludf.DUMMYFUNCTION("""COMPUTED_VALUE"""),54.0)</f>
        <v>54</v>
      </c>
      <c r="D74" s="28">
        <f>IFERROR(__xludf.DUMMYFUNCTION("""COMPUTED_VALUE"""),4.0)</f>
        <v>4</v>
      </c>
      <c r="E74" s="28">
        <f>IFERROR(__xludf.DUMMYFUNCTION("""COMPUTED_VALUE"""),976.0)</f>
        <v>976</v>
      </c>
      <c r="F74" s="28">
        <f>IFERROR(__xludf.DUMMYFUNCTION("""COMPUTED_VALUE"""),70.0)</f>
        <v>70</v>
      </c>
      <c r="G74" s="28">
        <f>IFERROR(__xludf.DUMMYFUNCTION("""COMPUTED_VALUE"""),8.0)</f>
        <v>8</v>
      </c>
      <c r="H74" s="28">
        <f>IFERROR(__xludf.DUMMYFUNCTION("""COMPUTED_VALUE"""),0.0)</f>
        <v>0</v>
      </c>
      <c r="I74" s="28">
        <f>IFERROR(__xludf.DUMMYFUNCTION("""COMPUTED_VALUE"""),6.0)</f>
        <v>6</v>
      </c>
      <c r="J74" s="28">
        <f>IFERROR(__xludf.DUMMYFUNCTION("""COMPUTED_VALUE"""),13.0)</f>
        <v>13</v>
      </c>
      <c r="K74" s="28">
        <f>IFERROR(__xludf.DUMMYFUNCTION("""COMPUTED_VALUE"""),4.0)</f>
        <v>4</v>
      </c>
      <c r="L74" s="28">
        <f>IFERROR(__xludf.DUMMYFUNCTION("""COMPUTED_VALUE"""),8.0)</f>
        <v>8</v>
      </c>
      <c r="M74" s="28">
        <f>IFERROR(__xludf.DUMMYFUNCTION("""COMPUTED_VALUE"""),0.0)</f>
        <v>0</v>
      </c>
      <c r="N74" s="28">
        <f>IFERROR(__xludf.DUMMYFUNCTION("""COMPUTED_VALUE"""),4.0)</f>
        <v>4</v>
      </c>
    </row>
    <row r="75">
      <c r="A75" s="26">
        <f>IFERROR(__xludf.DUMMYFUNCTION("""COMPUTED_VALUE"""),45190.0)</f>
        <v>45190</v>
      </c>
      <c r="B75" s="27">
        <f>IFERROR(__xludf.DUMMYFUNCTION("""COMPUTED_VALUE"""),19.0)</f>
        <v>19</v>
      </c>
      <c r="C75" s="28">
        <f>IFERROR(__xludf.DUMMYFUNCTION("""COMPUTED_VALUE"""),65.0)</f>
        <v>65</v>
      </c>
      <c r="D75" s="28">
        <f>IFERROR(__xludf.DUMMYFUNCTION("""COMPUTED_VALUE"""),3.0)</f>
        <v>3</v>
      </c>
      <c r="E75" s="28">
        <f>IFERROR(__xludf.DUMMYFUNCTION("""COMPUTED_VALUE"""),1139.0)</f>
        <v>1139</v>
      </c>
      <c r="F75" s="28">
        <f>IFERROR(__xludf.DUMMYFUNCTION("""COMPUTED_VALUE"""),60.0)</f>
        <v>60</v>
      </c>
      <c r="G75" s="28">
        <f>IFERROR(__xludf.DUMMYFUNCTION("""COMPUTED_VALUE"""),11.0)</f>
        <v>11</v>
      </c>
      <c r="H75" s="28">
        <f>IFERROR(__xludf.DUMMYFUNCTION("""COMPUTED_VALUE"""),0.0)</f>
        <v>0</v>
      </c>
      <c r="I75" s="28">
        <f>IFERROR(__xludf.DUMMYFUNCTION("""COMPUTED_VALUE"""),8.0)</f>
        <v>8</v>
      </c>
      <c r="J75" s="28">
        <f>IFERROR(__xludf.DUMMYFUNCTION("""COMPUTED_VALUE"""),7.0)</f>
        <v>7</v>
      </c>
      <c r="K75" s="28">
        <f>IFERROR(__xludf.DUMMYFUNCTION("""COMPUTED_VALUE"""),12.0)</f>
        <v>12</v>
      </c>
      <c r="L75" s="28">
        <f>IFERROR(__xludf.DUMMYFUNCTION("""COMPUTED_VALUE"""),7.0)</f>
        <v>7</v>
      </c>
      <c r="M75" s="28">
        <f>IFERROR(__xludf.DUMMYFUNCTION("""COMPUTED_VALUE"""),0.0)</f>
        <v>0</v>
      </c>
      <c r="N75" s="28">
        <f>IFERROR(__xludf.DUMMYFUNCTION("""COMPUTED_VALUE"""),12.0)</f>
        <v>12</v>
      </c>
    </row>
    <row r="76">
      <c r="A76" s="26">
        <f>IFERROR(__xludf.DUMMYFUNCTION("""COMPUTED_VALUE"""),45191.0)</f>
        <v>45191</v>
      </c>
      <c r="B76" s="27">
        <f>IFERROR(__xludf.DUMMYFUNCTION("""COMPUTED_VALUE"""),24.0)</f>
        <v>24</v>
      </c>
      <c r="C76" s="28">
        <f>IFERROR(__xludf.DUMMYFUNCTION("""COMPUTED_VALUE"""),91.0)</f>
        <v>91</v>
      </c>
      <c r="D76" s="28">
        <f>IFERROR(__xludf.DUMMYFUNCTION("""COMPUTED_VALUE"""),4.0)</f>
        <v>4</v>
      </c>
      <c r="E76" s="28">
        <f>IFERROR(__xludf.DUMMYFUNCTION("""COMPUTED_VALUE"""),1609.0)</f>
        <v>1609</v>
      </c>
      <c r="F76" s="28">
        <f>IFERROR(__xludf.DUMMYFUNCTION("""COMPUTED_VALUE"""),67.0)</f>
        <v>67</v>
      </c>
      <c r="G76" s="28">
        <f>IFERROR(__xludf.DUMMYFUNCTION("""COMPUTED_VALUE"""),20.0)</f>
        <v>20</v>
      </c>
      <c r="H76" s="28">
        <f>IFERROR(__xludf.DUMMYFUNCTION("""COMPUTED_VALUE"""),0.0)</f>
        <v>0</v>
      </c>
      <c r="I76" s="28">
        <f>IFERROR(__xludf.DUMMYFUNCTION("""COMPUTED_VALUE"""),4.0)</f>
        <v>4</v>
      </c>
      <c r="J76" s="28">
        <f>IFERROR(__xludf.DUMMYFUNCTION("""COMPUTED_VALUE"""),13.0)</f>
        <v>13</v>
      </c>
      <c r="K76" s="28">
        <f>IFERROR(__xludf.DUMMYFUNCTION("""COMPUTED_VALUE"""),14.0)</f>
        <v>14</v>
      </c>
      <c r="L76" s="28">
        <f>IFERROR(__xludf.DUMMYFUNCTION("""COMPUTED_VALUE"""),13.0)</f>
        <v>13</v>
      </c>
      <c r="M76" s="28">
        <f>IFERROR(__xludf.DUMMYFUNCTION("""COMPUTED_VALUE"""),2.0)</f>
        <v>2</v>
      </c>
      <c r="N76" s="28">
        <f>IFERROR(__xludf.DUMMYFUNCTION("""COMPUTED_VALUE"""),12.0)</f>
        <v>12</v>
      </c>
    </row>
    <row r="77">
      <c r="A77" s="26">
        <f>IFERROR(__xludf.DUMMYFUNCTION("""COMPUTED_VALUE"""),45192.0)</f>
        <v>45192</v>
      </c>
      <c r="B77" s="27">
        <f>IFERROR(__xludf.DUMMYFUNCTION("""COMPUTED_VALUE"""),6.0)</f>
        <v>6</v>
      </c>
      <c r="C77" s="28">
        <f>IFERROR(__xludf.DUMMYFUNCTION("""COMPUTED_VALUE"""),20.0)</f>
        <v>20</v>
      </c>
      <c r="D77" s="28">
        <f>IFERROR(__xludf.DUMMYFUNCTION("""COMPUTED_VALUE"""),3.0)</f>
        <v>3</v>
      </c>
      <c r="E77" s="28">
        <f>IFERROR(__xludf.DUMMYFUNCTION("""COMPUTED_VALUE"""),300.0)</f>
        <v>300</v>
      </c>
      <c r="F77" s="28">
        <f>IFERROR(__xludf.DUMMYFUNCTION("""COMPUTED_VALUE"""),50.0)</f>
        <v>50</v>
      </c>
      <c r="G77" s="28">
        <f>IFERROR(__xludf.DUMMYFUNCTION("""COMPUTED_VALUE"""),5.0)</f>
        <v>5</v>
      </c>
      <c r="H77" s="28">
        <f>IFERROR(__xludf.DUMMYFUNCTION("""COMPUTED_VALUE"""),0.0)</f>
        <v>0</v>
      </c>
      <c r="I77" s="28">
        <f>IFERROR(__xludf.DUMMYFUNCTION("""COMPUTED_VALUE"""),1.0)</f>
        <v>1</v>
      </c>
      <c r="J77" s="28">
        <f>IFERROR(__xludf.DUMMYFUNCTION("""COMPUTED_VALUE"""),1.0)</f>
        <v>1</v>
      </c>
      <c r="K77" s="28">
        <f>IFERROR(__xludf.DUMMYFUNCTION("""COMPUTED_VALUE"""),3.0)</f>
        <v>3</v>
      </c>
      <c r="L77" s="28">
        <f>IFERROR(__xludf.DUMMYFUNCTION("""COMPUTED_VALUE"""),4.0)</f>
        <v>4</v>
      </c>
      <c r="M77" s="28">
        <f>IFERROR(__xludf.DUMMYFUNCTION("""COMPUTED_VALUE"""),0.0)</f>
        <v>0</v>
      </c>
      <c r="N77" s="28">
        <f>IFERROR(__xludf.DUMMYFUNCTION("""COMPUTED_VALUE"""),3.0)</f>
        <v>3</v>
      </c>
    </row>
    <row r="78">
      <c r="A78" s="26">
        <f>IFERROR(__xludf.DUMMYFUNCTION("""COMPUTED_VALUE"""),45193.0)</f>
        <v>45193</v>
      </c>
      <c r="B78" s="27">
        <f>IFERROR(__xludf.DUMMYFUNCTION("""COMPUTED_VALUE"""),0.0)</f>
        <v>0</v>
      </c>
      <c r="C78" s="28">
        <f>IFERROR(__xludf.DUMMYFUNCTION("""COMPUTED_VALUE"""),0.0)</f>
        <v>0</v>
      </c>
      <c r="D78" s="28">
        <f>IFERROR(__xludf.DUMMYFUNCTION("""COMPUTED_VALUE"""),0.0)</f>
        <v>0</v>
      </c>
      <c r="E78" s="28">
        <f>IFERROR(__xludf.DUMMYFUNCTION("""COMPUTED_VALUE"""),0.0)</f>
        <v>0</v>
      </c>
      <c r="F78" s="28">
        <f>IFERROR(__xludf.DUMMYFUNCTION("""COMPUTED_VALUE"""),0.0)</f>
        <v>0</v>
      </c>
      <c r="G78" s="28">
        <f>IFERROR(__xludf.DUMMYFUNCTION("""COMPUTED_VALUE"""),0.0)</f>
        <v>0</v>
      </c>
      <c r="H78" s="28">
        <f>IFERROR(__xludf.DUMMYFUNCTION("""COMPUTED_VALUE"""),0.0)</f>
        <v>0</v>
      </c>
      <c r="I78" s="28">
        <f>IFERROR(__xludf.DUMMYFUNCTION("""COMPUTED_VALUE"""),0.0)</f>
        <v>0</v>
      </c>
      <c r="J78" s="28">
        <f>IFERROR(__xludf.DUMMYFUNCTION("""COMPUTED_VALUE"""),0.0)</f>
        <v>0</v>
      </c>
      <c r="K78" s="28">
        <f>IFERROR(__xludf.DUMMYFUNCTION("""COMPUTED_VALUE"""),0.0)</f>
        <v>0</v>
      </c>
      <c r="L78" s="28">
        <f>IFERROR(__xludf.DUMMYFUNCTION("""COMPUTED_VALUE"""),0.0)</f>
        <v>0</v>
      </c>
      <c r="M78" s="28">
        <f>IFERROR(__xludf.DUMMYFUNCTION("""COMPUTED_VALUE"""),0.0)</f>
        <v>0</v>
      </c>
      <c r="N78" s="28">
        <f>IFERROR(__xludf.DUMMYFUNCTION("""COMPUTED_VALUE"""),0.0)</f>
        <v>0</v>
      </c>
    </row>
    <row r="79">
      <c r="A79" s="26">
        <f>IFERROR(__xludf.DUMMYFUNCTION("""COMPUTED_VALUE"""),45194.0)</f>
        <v>45194</v>
      </c>
      <c r="B79" s="27">
        <f>IFERROR(__xludf.DUMMYFUNCTION("""COMPUTED_VALUE"""),29.0)</f>
        <v>29</v>
      </c>
      <c r="C79" s="28">
        <f>IFERROR(__xludf.DUMMYFUNCTION("""COMPUTED_VALUE"""),121.0)</f>
        <v>121</v>
      </c>
      <c r="D79" s="28">
        <f>IFERROR(__xludf.DUMMYFUNCTION("""COMPUTED_VALUE"""),4.0)</f>
        <v>4</v>
      </c>
      <c r="E79" s="28">
        <f>IFERROR(__xludf.DUMMYFUNCTION("""COMPUTED_VALUE"""),2297.0)</f>
        <v>2297</v>
      </c>
      <c r="F79" s="28">
        <f>IFERROR(__xludf.DUMMYFUNCTION("""COMPUTED_VALUE"""),79.0)</f>
        <v>79</v>
      </c>
      <c r="G79" s="28">
        <f>IFERROR(__xludf.DUMMYFUNCTION("""COMPUTED_VALUE"""),24.0)</f>
        <v>24</v>
      </c>
      <c r="H79" s="28">
        <f>IFERROR(__xludf.DUMMYFUNCTION("""COMPUTED_VALUE"""),0.0)</f>
        <v>0</v>
      </c>
      <c r="I79" s="28">
        <f>IFERROR(__xludf.DUMMYFUNCTION("""COMPUTED_VALUE"""),5.0)</f>
        <v>5</v>
      </c>
      <c r="J79" s="28">
        <f>IFERROR(__xludf.DUMMYFUNCTION("""COMPUTED_VALUE"""),21.0)</f>
        <v>21</v>
      </c>
      <c r="K79" s="28">
        <f>IFERROR(__xludf.DUMMYFUNCTION("""COMPUTED_VALUE"""),19.0)</f>
        <v>19</v>
      </c>
      <c r="L79" s="28">
        <f>IFERROR(__xludf.DUMMYFUNCTION("""COMPUTED_VALUE"""),20.0)</f>
        <v>20</v>
      </c>
      <c r="M79" s="28">
        <f>IFERROR(__xludf.DUMMYFUNCTION("""COMPUTED_VALUE"""),1.0)</f>
        <v>1</v>
      </c>
      <c r="N79" s="28">
        <f>IFERROR(__xludf.DUMMYFUNCTION("""COMPUTED_VALUE"""),17.0)</f>
        <v>17</v>
      </c>
    </row>
    <row r="80">
      <c r="A80" s="26">
        <f>IFERROR(__xludf.DUMMYFUNCTION("""COMPUTED_VALUE"""),45195.0)</f>
        <v>45195</v>
      </c>
      <c r="B80" s="27">
        <f>IFERROR(__xludf.DUMMYFUNCTION("""COMPUTED_VALUE"""),17.0)</f>
        <v>17</v>
      </c>
      <c r="C80" s="28">
        <f>IFERROR(__xludf.DUMMYFUNCTION("""COMPUTED_VALUE"""),83.0)</f>
        <v>83</v>
      </c>
      <c r="D80" s="28">
        <f>IFERROR(__xludf.DUMMYFUNCTION("""COMPUTED_VALUE"""),5.0)</f>
        <v>5</v>
      </c>
      <c r="E80" s="28">
        <f>IFERROR(__xludf.DUMMYFUNCTION("""COMPUTED_VALUE"""),1712.0)</f>
        <v>1712</v>
      </c>
      <c r="F80" s="28">
        <f>IFERROR(__xludf.DUMMYFUNCTION("""COMPUTED_VALUE"""),101.0)</f>
        <v>101</v>
      </c>
      <c r="G80" s="28">
        <f>IFERROR(__xludf.DUMMYFUNCTION("""COMPUTED_VALUE"""),11.0)</f>
        <v>11</v>
      </c>
      <c r="H80" s="28">
        <f>IFERROR(__xludf.DUMMYFUNCTION("""COMPUTED_VALUE"""),0.0)</f>
        <v>0</v>
      </c>
      <c r="I80" s="28">
        <f>IFERROR(__xludf.DUMMYFUNCTION("""COMPUTED_VALUE"""),6.0)</f>
        <v>6</v>
      </c>
      <c r="J80" s="28">
        <f>IFERROR(__xludf.DUMMYFUNCTION("""COMPUTED_VALUE"""),25.0)</f>
        <v>25</v>
      </c>
      <c r="K80" s="28">
        <f>IFERROR(__xludf.DUMMYFUNCTION("""COMPUTED_VALUE"""),11.0)</f>
        <v>11</v>
      </c>
      <c r="L80" s="28">
        <f>IFERROR(__xludf.DUMMYFUNCTION("""COMPUTED_VALUE"""),11.0)</f>
        <v>11</v>
      </c>
      <c r="M80" s="28">
        <f>IFERROR(__xludf.DUMMYFUNCTION("""COMPUTED_VALUE"""),0.0)</f>
        <v>0</v>
      </c>
      <c r="N80" s="28">
        <f>IFERROR(__xludf.DUMMYFUNCTION("""COMPUTED_VALUE"""),8.0)</f>
        <v>8</v>
      </c>
    </row>
    <row r="81">
      <c r="A81" s="26">
        <f>IFERROR(__xludf.DUMMYFUNCTION("""COMPUTED_VALUE"""),45196.0)</f>
        <v>45196</v>
      </c>
      <c r="B81" s="27">
        <f>IFERROR(__xludf.DUMMYFUNCTION("""COMPUTED_VALUE"""),34.0)</f>
        <v>34</v>
      </c>
      <c r="C81" s="28">
        <f>IFERROR(__xludf.DUMMYFUNCTION("""COMPUTED_VALUE"""),124.0)</f>
        <v>124</v>
      </c>
      <c r="D81" s="28">
        <f>IFERROR(__xludf.DUMMYFUNCTION("""COMPUTED_VALUE"""),4.0)</f>
        <v>4</v>
      </c>
      <c r="E81" s="28">
        <f>IFERROR(__xludf.DUMMYFUNCTION("""COMPUTED_VALUE"""),2045.0)</f>
        <v>2045</v>
      </c>
      <c r="F81" s="28">
        <f>IFERROR(__xludf.DUMMYFUNCTION("""COMPUTED_VALUE"""),60.0)</f>
        <v>60</v>
      </c>
      <c r="G81" s="28">
        <f>IFERROR(__xludf.DUMMYFUNCTION("""COMPUTED_VALUE"""),28.0)</f>
        <v>28</v>
      </c>
      <c r="H81" s="28">
        <f>IFERROR(__xludf.DUMMYFUNCTION("""COMPUTED_VALUE"""),2.0)</f>
        <v>2</v>
      </c>
      <c r="I81" s="28">
        <f>IFERROR(__xludf.DUMMYFUNCTION("""COMPUTED_VALUE"""),4.0)</f>
        <v>4</v>
      </c>
      <c r="J81" s="28">
        <f>IFERROR(__xludf.DUMMYFUNCTION("""COMPUTED_VALUE"""),12.0)</f>
        <v>12</v>
      </c>
      <c r="K81" s="28">
        <f>IFERROR(__xludf.DUMMYFUNCTION("""COMPUTED_VALUE"""),24.0)</f>
        <v>24</v>
      </c>
      <c r="L81" s="28">
        <f>IFERROR(__xludf.DUMMYFUNCTION("""COMPUTED_VALUE"""),13.0)</f>
        <v>13</v>
      </c>
      <c r="M81" s="28">
        <f>IFERROR(__xludf.DUMMYFUNCTION("""COMPUTED_VALUE"""),4.0)</f>
        <v>4</v>
      </c>
      <c r="N81" s="28">
        <f>IFERROR(__xludf.DUMMYFUNCTION("""COMPUTED_VALUE"""),18.0)</f>
        <v>18</v>
      </c>
    </row>
    <row r="82">
      <c r="A82" s="26">
        <f>IFERROR(__xludf.DUMMYFUNCTION("""COMPUTED_VALUE"""),45197.0)</f>
        <v>45197</v>
      </c>
      <c r="B82" s="27">
        <f>IFERROR(__xludf.DUMMYFUNCTION("""COMPUTED_VALUE"""),43.0)</f>
        <v>43</v>
      </c>
      <c r="C82" s="28">
        <f>IFERROR(__xludf.DUMMYFUNCTION("""COMPUTED_VALUE"""),154.0)</f>
        <v>154</v>
      </c>
      <c r="D82" s="28">
        <f>IFERROR(__xludf.DUMMYFUNCTION("""COMPUTED_VALUE"""),4.0)</f>
        <v>4</v>
      </c>
      <c r="E82" s="28">
        <f>IFERROR(__xludf.DUMMYFUNCTION("""COMPUTED_VALUE"""),2647.0)</f>
        <v>2647</v>
      </c>
      <c r="F82" s="28">
        <f>IFERROR(__xludf.DUMMYFUNCTION("""COMPUTED_VALUE"""),62.0)</f>
        <v>62</v>
      </c>
      <c r="G82" s="28">
        <f>IFERROR(__xludf.DUMMYFUNCTION("""COMPUTED_VALUE"""),33.0)</f>
        <v>33</v>
      </c>
      <c r="H82" s="28">
        <f>IFERROR(__xludf.DUMMYFUNCTION("""COMPUTED_VALUE"""),3.0)</f>
        <v>3</v>
      </c>
      <c r="I82" s="28">
        <f>IFERROR(__xludf.DUMMYFUNCTION("""COMPUTED_VALUE"""),7.0)</f>
        <v>7</v>
      </c>
      <c r="J82" s="28">
        <f>IFERROR(__xludf.DUMMYFUNCTION("""COMPUTED_VALUE"""),17.0)</f>
        <v>17</v>
      </c>
      <c r="K82" s="28">
        <f>IFERROR(__xludf.DUMMYFUNCTION("""COMPUTED_VALUE"""),28.0)</f>
        <v>28</v>
      </c>
      <c r="L82" s="28">
        <f>IFERROR(__xludf.DUMMYFUNCTION("""COMPUTED_VALUE"""),20.0)</f>
        <v>20</v>
      </c>
      <c r="M82" s="28">
        <f>IFERROR(__xludf.DUMMYFUNCTION("""COMPUTED_VALUE"""),1.0)</f>
        <v>1</v>
      </c>
      <c r="N82" s="28">
        <f>IFERROR(__xludf.DUMMYFUNCTION("""COMPUTED_VALUE"""),21.0)</f>
        <v>21</v>
      </c>
    </row>
    <row r="83">
      <c r="A83" s="26">
        <f>IFERROR(__xludf.DUMMYFUNCTION("""COMPUTED_VALUE"""),45198.0)</f>
        <v>45198</v>
      </c>
      <c r="B83" s="27">
        <f>IFERROR(__xludf.DUMMYFUNCTION("""COMPUTED_VALUE"""),43.0)</f>
        <v>43</v>
      </c>
      <c r="C83" s="28">
        <f>IFERROR(__xludf.DUMMYFUNCTION("""COMPUTED_VALUE"""),167.0)</f>
        <v>167</v>
      </c>
      <c r="D83" s="28">
        <f>IFERROR(__xludf.DUMMYFUNCTION("""COMPUTED_VALUE"""),4.0)</f>
        <v>4</v>
      </c>
      <c r="E83" s="28">
        <f>IFERROR(__xludf.DUMMYFUNCTION("""COMPUTED_VALUE"""),2514.0)</f>
        <v>2514</v>
      </c>
      <c r="F83" s="28">
        <f>IFERROR(__xludf.DUMMYFUNCTION("""COMPUTED_VALUE"""),58.0)</f>
        <v>58</v>
      </c>
      <c r="G83" s="28">
        <f>IFERROR(__xludf.DUMMYFUNCTION("""COMPUTED_VALUE"""),32.0)</f>
        <v>32</v>
      </c>
      <c r="H83" s="28">
        <f>IFERROR(__xludf.DUMMYFUNCTION("""COMPUTED_VALUE"""),6.0)</f>
        <v>6</v>
      </c>
      <c r="I83" s="28">
        <f>IFERROR(__xludf.DUMMYFUNCTION("""COMPUTED_VALUE"""),5.0)</f>
        <v>5</v>
      </c>
      <c r="J83" s="28">
        <f>IFERROR(__xludf.DUMMYFUNCTION("""COMPUTED_VALUE"""),17.0)</f>
        <v>17</v>
      </c>
      <c r="K83" s="28">
        <f>IFERROR(__xludf.DUMMYFUNCTION("""COMPUTED_VALUE"""),27.0)</f>
        <v>27</v>
      </c>
      <c r="L83" s="28">
        <f>IFERROR(__xludf.DUMMYFUNCTION("""COMPUTED_VALUE"""),18.0)</f>
        <v>18</v>
      </c>
      <c r="M83" s="28">
        <f>IFERROR(__xludf.DUMMYFUNCTION("""COMPUTED_VALUE"""),1.0)</f>
        <v>1</v>
      </c>
      <c r="N83" s="28">
        <f>IFERROR(__xludf.DUMMYFUNCTION("""COMPUTED_VALUE"""),23.0)</f>
        <v>23</v>
      </c>
    </row>
    <row r="84">
      <c r="A84" s="26">
        <f>IFERROR(__xludf.DUMMYFUNCTION("""COMPUTED_VALUE"""),45199.0)</f>
        <v>45199</v>
      </c>
      <c r="B84" s="27">
        <f>IFERROR(__xludf.DUMMYFUNCTION("""COMPUTED_VALUE"""),22.0)</f>
        <v>22</v>
      </c>
      <c r="C84" s="28">
        <f>IFERROR(__xludf.DUMMYFUNCTION("""COMPUTED_VALUE"""),97.0)</f>
        <v>97</v>
      </c>
      <c r="D84" s="28">
        <f>IFERROR(__xludf.DUMMYFUNCTION("""COMPUTED_VALUE"""),4.0)</f>
        <v>4</v>
      </c>
      <c r="E84" s="28">
        <f>IFERROR(__xludf.DUMMYFUNCTION("""COMPUTED_VALUE"""),1413.0)</f>
        <v>1413</v>
      </c>
      <c r="F84" s="28">
        <f>IFERROR(__xludf.DUMMYFUNCTION("""COMPUTED_VALUE"""),64.0)</f>
        <v>64</v>
      </c>
      <c r="G84" s="28">
        <f>IFERROR(__xludf.DUMMYFUNCTION("""COMPUTED_VALUE"""),18.0)</f>
        <v>18</v>
      </c>
      <c r="H84" s="28">
        <f>IFERROR(__xludf.DUMMYFUNCTION("""COMPUTED_VALUE"""),2.0)</f>
        <v>2</v>
      </c>
      <c r="I84" s="28">
        <f>IFERROR(__xludf.DUMMYFUNCTION("""COMPUTED_VALUE"""),2.0)</f>
        <v>2</v>
      </c>
      <c r="J84" s="28">
        <f>IFERROR(__xludf.DUMMYFUNCTION("""COMPUTED_VALUE"""),14.0)</f>
        <v>14</v>
      </c>
      <c r="K84" s="28">
        <f>IFERROR(__xludf.DUMMYFUNCTION("""COMPUTED_VALUE"""),13.0)</f>
        <v>13</v>
      </c>
      <c r="L84" s="28">
        <f>IFERROR(__xludf.DUMMYFUNCTION("""COMPUTED_VALUE"""),20.0)</f>
        <v>20</v>
      </c>
      <c r="M84" s="28">
        <f>IFERROR(__xludf.DUMMYFUNCTION("""COMPUTED_VALUE"""),2.0)</f>
        <v>2</v>
      </c>
      <c r="N84" s="28">
        <f>IFERROR(__xludf.DUMMYFUNCTION("""COMPUTED_VALUE"""),10.0)</f>
        <v>10</v>
      </c>
    </row>
    <row r="85">
      <c r="A85" s="26">
        <f>IFERROR(__xludf.DUMMYFUNCTION("""COMPUTED_VALUE"""),45200.0)</f>
        <v>45200</v>
      </c>
      <c r="B85" s="27">
        <f>IFERROR(__xludf.DUMMYFUNCTION("""COMPUTED_VALUE"""),0.0)</f>
        <v>0</v>
      </c>
      <c r="C85" s="28">
        <f>IFERROR(__xludf.DUMMYFUNCTION("""COMPUTED_VALUE"""),0.0)</f>
        <v>0</v>
      </c>
      <c r="D85" s="28">
        <f>IFERROR(__xludf.DUMMYFUNCTION("""COMPUTED_VALUE"""),0.0)</f>
        <v>0</v>
      </c>
      <c r="E85" s="28">
        <f>IFERROR(__xludf.DUMMYFUNCTION("""COMPUTED_VALUE"""),0.0)</f>
        <v>0</v>
      </c>
      <c r="F85" s="28">
        <f>IFERROR(__xludf.DUMMYFUNCTION("""COMPUTED_VALUE"""),0.0)</f>
        <v>0</v>
      </c>
      <c r="G85" s="28">
        <f>IFERROR(__xludf.DUMMYFUNCTION("""COMPUTED_VALUE"""),0.0)</f>
        <v>0</v>
      </c>
      <c r="H85" s="28">
        <f>IFERROR(__xludf.DUMMYFUNCTION("""COMPUTED_VALUE"""),0.0)</f>
        <v>0</v>
      </c>
      <c r="I85" s="28">
        <f>IFERROR(__xludf.DUMMYFUNCTION("""COMPUTED_VALUE"""),0.0)</f>
        <v>0</v>
      </c>
      <c r="J85" s="28">
        <f>IFERROR(__xludf.DUMMYFUNCTION("""COMPUTED_VALUE"""),0.0)</f>
        <v>0</v>
      </c>
      <c r="K85" s="28">
        <f>IFERROR(__xludf.DUMMYFUNCTION("""COMPUTED_VALUE"""),0.0)</f>
        <v>0</v>
      </c>
      <c r="L85" s="28">
        <f>IFERROR(__xludf.DUMMYFUNCTION("""COMPUTED_VALUE"""),0.0)</f>
        <v>0</v>
      </c>
      <c r="M85" s="28">
        <f>IFERROR(__xludf.DUMMYFUNCTION("""COMPUTED_VALUE"""),0.0)</f>
        <v>0</v>
      </c>
      <c r="N85" s="28">
        <f>IFERROR(__xludf.DUMMYFUNCTION("""COMPUTED_VALUE"""),0.0)</f>
        <v>0</v>
      </c>
    </row>
    <row r="86">
      <c r="A86" s="26">
        <f>IFERROR(__xludf.DUMMYFUNCTION("""COMPUTED_VALUE"""),45201.0)</f>
        <v>45201</v>
      </c>
      <c r="B86" s="27">
        <f>IFERROR(__xludf.DUMMYFUNCTION("""COMPUTED_VALUE"""),45.0)</f>
        <v>45</v>
      </c>
      <c r="C86" s="28">
        <f>IFERROR(__xludf.DUMMYFUNCTION("""COMPUTED_VALUE"""),181.0)</f>
        <v>181</v>
      </c>
      <c r="D86" s="28">
        <f>IFERROR(__xludf.DUMMYFUNCTION("""COMPUTED_VALUE"""),4.0)</f>
        <v>4</v>
      </c>
      <c r="E86" s="28">
        <f>IFERROR(__xludf.DUMMYFUNCTION("""COMPUTED_VALUE"""),3329.0)</f>
        <v>3329</v>
      </c>
      <c r="F86" s="28">
        <f>IFERROR(__xludf.DUMMYFUNCTION("""COMPUTED_VALUE"""),74.0)</f>
        <v>74</v>
      </c>
      <c r="G86" s="28">
        <f>IFERROR(__xludf.DUMMYFUNCTION("""COMPUTED_VALUE"""),34.0)</f>
        <v>34</v>
      </c>
      <c r="H86" s="28">
        <f>IFERROR(__xludf.DUMMYFUNCTION("""COMPUTED_VALUE"""),4.0)</f>
        <v>4</v>
      </c>
      <c r="I86" s="28">
        <f>IFERROR(__xludf.DUMMYFUNCTION("""COMPUTED_VALUE"""),7.0)</f>
        <v>7</v>
      </c>
      <c r="J86" s="28">
        <f>IFERROR(__xludf.DUMMYFUNCTION("""COMPUTED_VALUE"""),35.0)</f>
        <v>35</v>
      </c>
      <c r="K86" s="28">
        <f>IFERROR(__xludf.DUMMYFUNCTION("""COMPUTED_VALUE"""),38.0)</f>
        <v>38</v>
      </c>
      <c r="L86" s="28">
        <f>IFERROR(__xludf.DUMMYFUNCTION("""COMPUTED_VALUE"""),14.0)</f>
        <v>14</v>
      </c>
      <c r="M86" s="28">
        <f>IFERROR(__xludf.DUMMYFUNCTION("""COMPUTED_VALUE"""),1.0)</f>
        <v>1</v>
      </c>
      <c r="N86" s="28">
        <f>IFERROR(__xludf.DUMMYFUNCTION("""COMPUTED_VALUE"""),34.0)</f>
        <v>34</v>
      </c>
    </row>
    <row r="87">
      <c r="A87" s="26">
        <f>IFERROR(__xludf.DUMMYFUNCTION("""COMPUTED_VALUE"""),45202.0)</f>
        <v>45202</v>
      </c>
      <c r="B87" s="27">
        <f>IFERROR(__xludf.DUMMYFUNCTION("""COMPUTED_VALUE"""),27.0)</f>
        <v>27</v>
      </c>
      <c r="C87" s="28">
        <f>IFERROR(__xludf.DUMMYFUNCTION("""COMPUTED_VALUE"""),94.0)</f>
        <v>94</v>
      </c>
      <c r="D87" s="28">
        <f>IFERROR(__xludf.DUMMYFUNCTION("""COMPUTED_VALUE"""),3.0)</f>
        <v>3</v>
      </c>
      <c r="E87" s="28">
        <f>IFERROR(__xludf.DUMMYFUNCTION("""COMPUTED_VALUE"""),1595.0)</f>
        <v>1595</v>
      </c>
      <c r="F87" s="28">
        <f>IFERROR(__xludf.DUMMYFUNCTION("""COMPUTED_VALUE"""),59.0)</f>
        <v>59</v>
      </c>
      <c r="G87" s="28">
        <f>IFERROR(__xludf.DUMMYFUNCTION("""COMPUTED_VALUE"""),22.0)</f>
        <v>22</v>
      </c>
      <c r="H87" s="28">
        <f>IFERROR(__xludf.DUMMYFUNCTION("""COMPUTED_VALUE"""),2.0)</f>
        <v>2</v>
      </c>
      <c r="I87" s="28">
        <f>IFERROR(__xludf.DUMMYFUNCTION("""COMPUTED_VALUE"""),3.0)</f>
        <v>3</v>
      </c>
      <c r="J87" s="28">
        <f>IFERROR(__xludf.DUMMYFUNCTION("""COMPUTED_VALUE"""),12.0)</f>
        <v>12</v>
      </c>
      <c r="K87" s="28">
        <f>IFERROR(__xludf.DUMMYFUNCTION("""COMPUTED_VALUE"""),17.0)</f>
        <v>17</v>
      </c>
      <c r="L87" s="28">
        <f>IFERROR(__xludf.DUMMYFUNCTION("""COMPUTED_VALUE"""),8.0)</f>
        <v>8</v>
      </c>
      <c r="M87" s="28">
        <f>IFERROR(__xludf.DUMMYFUNCTION("""COMPUTED_VALUE"""),1.0)</f>
        <v>1</v>
      </c>
      <c r="N87" s="28">
        <f>IFERROR(__xludf.DUMMYFUNCTION("""COMPUTED_VALUE"""),14.0)</f>
        <v>14</v>
      </c>
    </row>
    <row r="88">
      <c r="A88" s="26">
        <f>IFERROR(__xludf.DUMMYFUNCTION("""COMPUTED_VALUE"""),45203.0)</f>
        <v>45203</v>
      </c>
      <c r="B88" s="27">
        <f>IFERROR(__xludf.DUMMYFUNCTION("""COMPUTED_VALUE"""),29.0)</f>
        <v>29</v>
      </c>
      <c r="C88" s="28">
        <f>IFERROR(__xludf.DUMMYFUNCTION("""COMPUTED_VALUE"""),148.0)</f>
        <v>148</v>
      </c>
      <c r="D88" s="28">
        <f>IFERROR(__xludf.DUMMYFUNCTION("""COMPUTED_VALUE"""),5.0)</f>
        <v>5</v>
      </c>
      <c r="E88" s="28">
        <f>IFERROR(__xludf.DUMMYFUNCTION("""COMPUTED_VALUE"""),2608.0)</f>
        <v>2608</v>
      </c>
      <c r="F88" s="28">
        <f>IFERROR(__xludf.DUMMYFUNCTION("""COMPUTED_VALUE"""),90.0)</f>
        <v>90</v>
      </c>
      <c r="G88" s="28">
        <f>IFERROR(__xludf.DUMMYFUNCTION("""COMPUTED_VALUE"""),22.0)</f>
        <v>22</v>
      </c>
      <c r="H88" s="28">
        <f>IFERROR(__xludf.DUMMYFUNCTION("""COMPUTED_VALUE"""),0.0)</f>
        <v>0</v>
      </c>
      <c r="I88" s="28">
        <f>IFERROR(__xludf.DUMMYFUNCTION("""COMPUTED_VALUE"""),7.0)</f>
        <v>7</v>
      </c>
      <c r="J88" s="28">
        <f>IFERROR(__xludf.DUMMYFUNCTION("""COMPUTED_VALUE"""),32.0)</f>
        <v>32</v>
      </c>
      <c r="K88" s="28">
        <f>IFERROR(__xludf.DUMMYFUNCTION("""COMPUTED_VALUE"""),19.0)</f>
        <v>19</v>
      </c>
      <c r="L88" s="28">
        <f>IFERROR(__xludf.DUMMYFUNCTION("""COMPUTED_VALUE"""),20.0)</f>
        <v>20</v>
      </c>
      <c r="M88" s="28">
        <f>IFERROR(__xludf.DUMMYFUNCTION("""COMPUTED_VALUE"""),0.0)</f>
        <v>0</v>
      </c>
      <c r="N88" s="28">
        <f>IFERROR(__xludf.DUMMYFUNCTION("""COMPUTED_VALUE"""),14.0)</f>
        <v>14</v>
      </c>
    </row>
    <row r="89">
      <c r="A89" s="26">
        <f>IFERROR(__xludf.DUMMYFUNCTION("""COMPUTED_VALUE"""),45204.0)</f>
        <v>45204</v>
      </c>
      <c r="B89" s="27">
        <f>IFERROR(__xludf.DUMMYFUNCTION("""COMPUTED_VALUE"""),23.0)</f>
        <v>23</v>
      </c>
      <c r="C89" s="28">
        <f>IFERROR(__xludf.DUMMYFUNCTION("""COMPUTED_VALUE"""),82.0)</f>
        <v>82</v>
      </c>
      <c r="D89" s="28">
        <f>IFERROR(__xludf.DUMMYFUNCTION("""COMPUTED_VALUE"""),4.0)</f>
        <v>4</v>
      </c>
      <c r="E89" s="28">
        <f>IFERROR(__xludf.DUMMYFUNCTION("""COMPUTED_VALUE"""),1328.0)</f>
        <v>1328</v>
      </c>
      <c r="F89" s="28">
        <f>IFERROR(__xludf.DUMMYFUNCTION("""COMPUTED_VALUE"""),58.0)</f>
        <v>58</v>
      </c>
      <c r="G89" s="28">
        <f>IFERROR(__xludf.DUMMYFUNCTION("""COMPUTED_VALUE"""),21.0)</f>
        <v>21</v>
      </c>
      <c r="H89" s="28">
        <f>IFERROR(__xludf.DUMMYFUNCTION("""COMPUTED_VALUE"""),0.0)</f>
        <v>0</v>
      </c>
      <c r="I89" s="28">
        <f>IFERROR(__xludf.DUMMYFUNCTION("""COMPUTED_VALUE"""),2.0)</f>
        <v>2</v>
      </c>
      <c r="J89" s="28">
        <f>IFERROR(__xludf.DUMMYFUNCTION("""COMPUTED_VALUE"""),10.0)</f>
        <v>10</v>
      </c>
      <c r="K89" s="28">
        <f>IFERROR(__xludf.DUMMYFUNCTION("""COMPUTED_VALUE"""),15.0)</f>
        <v>15</v>
      </c>
      <c r="L89" s="28">
        <f>IFERROR(__xludf.DUMMYFUNCTION("""COMPUTED_VALUE"""),4.0)</f>
        <v>4</v>
      </c>
      <c r="M89" s="28">
        <f>IFERROR(__xludf.DUMMYFUNCTION("""COMPUTED_VALUE"""),0.0)</f>
        <v>0</v>
      </c>
      <c r="N89" s="28">
        <f>IFERROR(__xludf.DUMMYFUNCTION("""COMPUTED_VALUE"""),14.0)</f>
        <v>14</v>
      </c>
    </row>
    <row r="90">
      <c r="A90" s="26">
        <f>IFERROR(__xludf.DUMMYFUNCTION("""COMPUTED_VALUE"""),45205.0)</f>
        <v>45205</v>
      </c>
      <c r="B90" s="27">
        <f>IFERROR(__xludf.DUMMYFUNCTION("""COMPUTED_VALUE"""),30.0)</f>
        <v>30</v>
      </c>
      <c r="C90" s="28">
        <f>IFERROR(__xludf.DUMMYFUNCTION("""COMPUTED_VALUE"""),109.0)</f>
        <v>109</v>
      </c>
      <c r="D90" s="28">
        <f>IFERROR(__xludf.DUMMYFUNCTION("""COMPUTED_VALUE"""),4.0)</f>
        <v>4</v>
      </c>
      <c r="E90" s="28">
        <f>IFERROR(__xludf.DUMMYFUNCTION("""COMPUTED_VALUE"""),1807.0)</f>
        <v>1807</v>
      </c>
      <c r="F90" s="28">
        <f>IFERROR(__xludf.DUMMYFUNCTION("""COMPUTED_VALUE"""),60.0)</f>
        <v>60</v>
      </c>
      <c r="G90" s="28">
        <f>IFERROR(__xludf.DUMMYFUNCTION("""COMPUTED_VALUE"""),23.0)</f>
        <v>23</v>
      </c>
      <c r="H90" s="28">
        <f>IFERROR(__xludf.DUMMYFUNCTION("""COMPUTED_VALUE"""),1.0)</f>
        <v>1</v>
      </c>
      <c r="I90" s="28">
        <f>IFERROR(__xludf.DUMMYFUNCTION("""COMPUTED_VALUE"""),6.0)</f>
        <v>6</v>
      </c>
      <c r="J90" s="28">
        <f>IFERROR(__xludf.DUMMYFUNCTION("""COMPUTED_VALUE"""),12.0)</f>
        <v>12</v>
      </c>
      <c r="K90" s="28">
        <f>IFERROR(__xludf.DUMMYFUNCTION("""COMPUTED_VALUE"""),20.0)</f>
        <v>20</v>
      </c>
      <c r="L90" s="28">
        <f>IFERROR(__xludf.DUMMYFUNCTION("""COMPUTED_VALUE"""),11.0)</f>
        <v>11</v>
      </c>
      <c r="M90" s="28">
        <f>IFERROR(__xludf.DUMMYFUNCTION("""COMPUTED_VALUE"""),1.0)</f>
        <v>1</v>
      </c>
      <c r="N90" s="28">
        <f>IFERROR(__xludf.DUMMYFUNCTION("""COMPUTED_VALUE"""),20.0)</f>
        <v>20</v>
      </c>
    </row>
    <row r="91">
      <c r="A91" s="26">
        <f>IFERROR(__xludf.DUMMYFUNCTION("""COMPUTED_VALUE"""),45206.0)</f>
        <v>45206</v>
      </c>
      <c r="B91" s="27">
        <f>IFERROR(__xludf.DUMMYFUNCTION("""COMPUTED_VALUE"""),19.0)</f>
        <v>19</v>
      </c>
      <c r="C91" s="28">
        <f>IFERROR(__xludf.DUMMYFUNCTION("""COMPUTED_VALUE"""),70.0)</f>
        <v>70</v>
      </c>
      <c r="D91" s="28">
        <f>IFERROR(__xludf.DUMMYFUNCTION("""COMPUTED_VALUE"""),4.0)</f>
        <v>4</v>
      </c>
      <c r="E91" s="28">
        <f>IFERROR(__xludf.DUMMYFUNCTION("""COMPUTED_VALUE"""),1162.0)</f>
        <v>1162</v>
      </c>
      <c r="F91" s="28">
        <f>IFERROR(__xludf.DUMMYFUNCTION("""COMPUTED_VALUE"""),61.0)</f>
        <v>61</v>
      </c>
      <c r="G91" s="28">
        <f>IFERROR(__xludf.DUMMYFUNCTION("""COMPUTED_VALUE"""),14.0)</f>
        <v>14</v>
      </c>
      <c r="H91" s="28">
        <f>IFERROR(__xludf.DUMMYFUNCTION("""COMPUTED_VALUE"""),0.0)</f>
        <v>0</v>
      </c>
      <c r="I91" s="28">
        <f>IFERROR(__xludf.DUMMYFUNCTION("""COMPUTED_VALUE"""),5.0)</f>
        <v>5</v>
      </c>
      <c r="J91" s="28">
        <f>IFERROR(__xludf.DUMMYFUNCTION("""COMPUTED_VALUE"""),16.0)</f>
        <v>16</v>
      </c>
      <c r="K91" s="28">
        <f>IFERROR(__xludf.DUMMYFUNCTION("""COMPUTED_VALUE"""),6.0)</f>
        <v>6</v>
      </c>
      <c r="L91" s="28">
        <f>IFERROR(__xludf.DUMMYFUNCTION("""COMPUTED_VALUE"""),10.0)</f>
        <v>10</v>
      </c>
      <c r="M91" s="28">
        <f>IFERROR(__xludf.DUMMYFUNCTION("""COMPUTED_VALUE"""),0.0)</f>
        <v>0</v>
      </c>
      <c r="N91" s="28">
        <f>IFERROR(__xludf.DUMMYFUNCTION("""COMPUTED_VALUE"""),6.0)</f>
        <v>6</v>
      </c>
    </row>
    <row r="92">
      <c r="A92" s="26">
        <f>IFERROR(__xludf.DUMMYFUNCTION("""COMPUTED_VALUE"""),45207.0)</f>
        <v>45207</v>
      </c>
      <c r="B92" s="27">
        <f>IFERROR(__xludf.DUMMYFUNCTION("""COMPUTED_VALUE"""),0.0)</f>
        <v>0</v>
      </c>
      <c r="C92" s="28">
        <f>IFERROR(__xludf.DUMMYFUNCTION("""COMPUTED_VALUE"""),0.0)</f>
        <v>0</v>
      </c>
      <c r="D92" s="28">
        <f>IFERROR(__xludf.DUMMYFUNCTION("""COMPUTED_VALUE"""),0.0)</f>
        <v>0</v>
      </c>
      <c r="E92" s="28">
        <f>IFERROR(__xludf.DUMMYFUNCTION("""COMPUTED_VALUE"""),0.0)</f>
        <v>0</v>
      </c>
      <c r="F92" s="28">
        <f>IFERROR(__xludf.DUMMYFUNCTION("""COMPUTED_VALUE"""),0.0)</f>
        <v>0</v>
      </c>
      <c r="G92" s="28">
        <f>IFERROR(__xludf.DUMMYFUNCTION("""COMPUTED_VALUE"""),0.0)</f>
        <v>0</v>
      </c>
      <c r="H92" s="28">
        <f>IFERROR(__xludf.DUMMYFUNCTION("""COMPUTED_VALUE"""),0.0)</f>
        <v>0</v>
      </c>
      <c r="I92" s="28">
        <f>IFERROR(__xludf.DUMMYFUNCTION("""COMPUTED_VALUE"""),0.0)</f>
        <v>0</v>
      </c>
      <c r="J92" s="28">
        <f>IFERROR(__xludf.DUMMYFUNCTION("""COMPUTED_VALUE"""),0.0)</f>
        <v>0</v>
      </c>
      <c r="K92" s="28">
        <f>IFERROR(__xludf.DUMMYFUNCTION("""COMPUTED_VALUE"""),0.0)</f>
        <v>0</v>
      </c>
      <c r="L92" s="28">
        <f>IFERROR(__xludf.DUMMYFUNCTION("""COMPUTED_VALUE"""),0.0)</f>
        <v>0</v>
      </c>
      <c r="M92" s="28">
        <f>IFERROR(__xludf.DUMMYFUNCTION("""COMPUTED_VALUE"""),0.0)</f>
        <v>0</v>
      </c>
      <c r="N92" s="28">
        <f>IFERROR(__xludf.DUMMYFUNCTION("""COMPUTED_VALUE"""),0.0)</f>
        <v>0</v>
      </c>
    </row>
    <row r="93">
      <c r="A93" s="26">
        <f>IFERROR(__xludf.DUMMYFUNCTION("""COMPUTED_VALUE"""),45208.0)</f>
        <v>45208</v>
      </c>
      <c r="B93" s="27">
        <f>IFERROR(__xludf.DUMMYFUNCTION("""COMPUTED_VALUE"""),28.0)</f>
        <v>28</v>
      </c>
      <c r="C93" s="28">
        <f>IFERROR(__xludf.DUMMYFUNCTION("""COMPUTED_VALUE"""),106.0)</f>
        <v>106</v>
      </c>
      <c r="D93" s="28">
        <f>IFERROR(__xludf.DUMMYFUNCTION("""COMPUTED_VALUE"""),4.0)</f>
        <v>4</v>
      </c>
      <c r="E93" s="28">
        <f>IFERROR(__xludf.DUMMYFUNCTION("""COMPUTED_VALUE"""),1775.0)</f>
        <v>1775</v>
      </c>
      <c r="F93" s="28">
        <f>IFERROR(__xludf.DUMMYFUNCTION("""COMPUTED_VALUE"""),63.0)</f>
        <v>63</v>
      </c>
      <c r="G93" s="28">
        <f>IFERROR(__xludf.DUMMYFUNCTION("""COMPUTED_VALUE"""),20.0)</f>
        <v>20</v>
      </c>
      <c r="H93" s="28">
        <f>IFERROR(__xludf.DUMMYFUNCTION("""COMPUTED_VALUE"""),1.0)</f>
        <v>1</v>
      </c>
      <c r="I93" s="28">
        <f>IFERROR(__xludf.DUMMYFUNCTION("""COMPUTED_VALUE"""),7.0)</f>
        <v>7</v>
      </c>
      <c r="J93" s="28">
        <f>IFERROR(__xludf.DUMMYFUNCTION("""COMPUTED_VALUE"""),13.0)</f>
        <v>13</v>
      </c>
      <c r="K93" s="28">
        <f>IFERROR(__xludf.DUMMYFUNCTION("""COMPUTED_VALUE"""),17.0)</f>
        <v>17</v>
      </c>
      <c r="L93" s="28">
        <f>IFERROR(__xludf.DUMMYFUNCTION("""COMPUTED_VALUE"""),11.0)</f>
        <v>11</v>
      </c>
      <c r="M93" s="28">
        <f>IFERROR(__xludf.DUMMYFUNCTION("""COMPUTED_VALUE"""),0.0)</f>
        <v>0</v>
      </c>
      <c r="N93" s="28">
        <f>IFERROR(__xludf.DUMMYFUNCTION("""COMPUTED_VALUE"""),16.0)</f>
        <v>16</v>
      </c>
    </row>
    <row r="94">
      <c r="A94" s="26">
        <f>IFERROR(__xludf.DUMMYFUNCTION("""COMPUTED_VALUE"""),45209.0)</f>
        <v>45209</v>
      </c>
      <c r="B94" s="27">
        <f>IFERROR(__xludf.DUMMYFUNCTION("""COMPUTED_VALUE"""),34.0)</f>
        <v>34</v>
      </c>
      <c r="C94" s="28">
        <f>IFERROR(__xludf.DUMMYFUNCTION("""COMPUTED_VALUE"""),138.0)</f>
        <v>138</v>
      </c>
      <c r="D94" s="28">
        <f>IFERROR(__xludf.DUMMYFUNCTION("""COMPUTED_VALUE"""),4.0)</f>
        <v>4</v>
      </c>
      <c r="E94" s="28">
        <f>IFERROR(__xludf.DUMMYFUNCTION("""COMPUTED_VALUE"""),2501.0)</f>
        <v>2501</v>
      </c>
      <c r="F94" s="28">
        <f>IFERROR(__xludf.DUMMYFUNCTION("""COMPUTED_VALUE"""),74.0)</f>
        <v>74</v>
      </c>
      <c r="G94" s="28">
        <f>IFERROR(__xludf.DUMMYFUNCTION("""COMPUTED_VALUE"""),22.0)</f>
        <v>22</v>
      </c>
      <c r="H94" s="28">
        <f>IFERROR(__xludf.DUMMYFUNCTION("""COMPUTED_VALUE"""),6.0)</f>
        <v>6</v>
      </c>
      <c r="I94" s="28">
        <f>IFERROR(__xludf.DUMMYFUNCTION("""COMPUTED_VALUE"""),6.0)</f>
        <v>6</v>
      </c>
      <c r="J94" s="28">
        <f>IFERROR(__xludf.DUMMYFUNCTION("""COMPUTED_VALUE"""),21.0)</f>
        <v>21</v>
      </c>
      <c r="K94" s="28">
        <f>IFERROR(__xludf.DUMMYFUNCTION("""COMPUTED_VALUE"""),19.0)</f>
        <v>19</v>
      </c>
      <c r="L94" s="28">
        <f>IFERROR(__xludf.DUMMYFUNCTION("""COMPUTED_VALUE"""),26.0)</f>
        <v>26</v>
      </c>
      <c r="M94" s="28">
        <f>IFERROR(__xludf.DUMMYFUNCTION("""COMPUTED_VALUE"""),0.0)</f>
        <v>0</v>
      </c>
      <c r="N94" s="28">
        <f>IFERROR(__xludf.DUMMYFUNCTION("""COMPUTED_VALUE"""),17.0)</f>
        <v>17</v>
      </c>
    </row>
    <row r="95">
      <c r="A95" s="26">
        <f>IFERROR(__xludf.DUMMYFUNCTION("""COMPUTED_VALUE"""),45210.0)</f>
        <v>45210</v>
      </c>
      <c r="B95" s="27">
        <f>IFERROR(__xludf.DUMMYFUNCTION("""COMPUTED_VALUE"""),36.0)</f>
        <v>36</v>
      </c>
      <c r="C95" s="28">
        <f>IFERROR(__xludf.DUMMYFUNCTION("""COMPUTED_VALUE"""),228.0)</f>
        <v>228</v>
      </c>
      <c r="D95" s="28">
        <f>IFERROR(__xludf.DUMMYFUNCTION("""COMPUTED_VALUE"""),6.0)</f>
        <v>6</v>
      </c>
      <c r="E95" s="28">
        <f>IFERROR(__xludf.DUMMYFUNCTION("""COMPUTED_VALUE"""),3209.0)</f>
        <v>3209</v>
      </c>
      <c r="F95" s="28">
        <f>IFERROR(__xludf.DUMMYFUNCTION("""COMPUTED_VALUE"""),89.0)</f>
        <v>89</v>
      </c>
      <c r="G95" s="28">
        <f>IFERROR(__xludf.DUMMYFUNCTION("""COMPUTED_VALUE"""),31.0)</f>
        <v>31</v>
      </c>
      <c r="H95" s="28">
        <f>IFERROR(__xludf.DUMMYFUNCTION("""COMPUTED_VALUE"""),1.0)</f>
        <v>1</v>
      </c>
      <c r="I95" s="28">
        <f>IFERROR(__xludf.DUMMYFUNCTION("""COMPUTED_VALUE"""),4.0)</f>
        <v>4</v>
      </c>
      <c r="J95" s="28">
        <f>IFERROR(__xludf.DUMMYFUNCTION("""COMPUTED_VALUE"""),15.0)</f>
        <v>15</v>
      </c>
      <c r="K95" s="28">
        <f>IFERROR(__xludf.DUMMYFUNCTION("""COMPUTED_VALUE"""),20.0)</f>
        <v>20</v>
      </c>
      <c r="L95" s="28">
        <f>IFERROR(__xludf.DUMMYFUNCTION("""COMPUTED_VALUE"""),14.0)</f>
        <v>14</v>
      </c>
      <c r="M95" s="28">
        <f>IFERROR(__xludf.DUMMYFUNCTION("""COMPUTED_VALUE"""),0.0)</f>
        <v>0</v>
      </c>
      <c r="N95" s="28">
        <f>IFERROR(__xludf.DUMMYFUNCTION("""COMPUTED_VALUE"""),17.0)</f>
        <v>17</v>
      </c>
    </row>
    <row r="96">
      <c r="A96" s="26">
        <f>IFERROR(__xludf.DUMMYFUNCTION("""COMPUTED_VALUE"""),45211.0)</f>
        <v>45211</v>
      </c>
      <c r="B96" s="27">
        <f>IFERROR(__xludf.DUMMYFUNCTION("""COMPUTED_VALUE"""),25.0)</f>
        <v>25</v>
      </c>
      <c r="C96" s="28">
        <f>IFERROR(__xludf.DUMMYFUNCTION("""COMPUTED_VALUE"""),94.0)</f>
        <v>94</v>
      </c>
      <c r="D96" s="28">
        <f>IFERROR(__xludf.DUMMYFUNCTION("""COMPUTED_VALUE"""),4.0)</f>
        <v>4</v>
      </c>
      <c r="E96" s="28">
        <f>IFERROR(__xludf.DUMMYFUNCTION("""COMPUTED_VALUE"""),1654.0)</f>
        <v>1654</v>
      </c>
      <c r="F96" s="28">
        <f>IFERROR(__xludf.DUMMYFUNCTION("""COMPUTED_VALUE"""),66.0)</f>
        <v>66</v>
      </c>
      <c r="G96" s="28">
        <f>IFERROR(__xludf.DUMMYFUNCTION("""COMPUTED_VALUE"""),16.0)</f>
        <v>16</v>
      </c>
      <c r="H96" s="28">
        <f>IFERROR(__xludf.DUMMYFUNCTION("""COMPUTED_VALUE"""),2.0)</f>
        <v>2</v>
      </c>
      <c r="I96" s="28">
        <f>IFERROR(__xludf.DUMMYFUNCTION("""COMPUTED_VALUE"""),7.0)</f>
        <v>7</v>
      </c>
      <c r="J96" s="28">
        <f>IFERROR(__xludf.DUMMYFUNCTION("""COMPUTED_VALUE"""),9.0)</f>
        <v>9</v>
      </c>
      <c r="K96" s="28">
        <f>IFERROR(__xludf.DUMMYFUNCTION("""COMPUTED_VALUE"""),19.0)</f>
        <v>19</v>
      </c>
      <c r="L96" s="28">
        <f>IFERROR(__xludf.DUMMYFUNCTION("""COMPUTED_VALUE"""),14.0)</f>
        <v>14</v>
      </c>
      <c r="M96" s="28">
        <f>IFERROR(__xludf.DUMMYFUNCTION("""COMPUTED_VALUE"""),2.0)</f>
        <v>2</v>
      </c>
      <c r="N96" s="28">
        <f>IFERROR(__xludf.DUMMYFUNCTION("""COMPUTED_VALUE"""),14.0)</f>
        <v>14</v>
      </c>
    </row>
    <row r="97">
      <c r="A97" s="26">
        <f>IFERROR(__xludf.DUMMYFUNCTION("""COMPUTED_VALUE"""),45212.0)</f>
        <v>45212</v>
      </c>
      <c r="B97" s="27">
        <f>IFERROR(__xludf.DUMMYFUNCTION("""COMPUTED_VALUE"""),26.0)</f>
        <v>26</v>
      </c>
      <c r="C97" s="28">
        <f>IFERROR(__xludf.DUMMYFUNCTION("""COMPUTED_VALUE"""),114.0)</f>
        <v>114</v>
      </c>
      <c r="D97" s="28">
        <f>IFERROR(__xludf.DUMMYFUNCTION("""COMPUTED_VALUE"""),4.0)</f>
        <v>4</v>
      </c>
      <c r="E97" s="28">
        <f>IFERROR(__xludf.DUMMYFUNCTION("""COMPUTED_VALUE"""),1914.0)</f>
        <v>1914</v>
      </c>
      <c r="F97" s="28">
        <f>IFERROR(__xludf.DUMMYFUNCTION("""COMPUTED_VALUE"""),74.0)</f>
        <v>74</v>
      </c>
      <c r="G97" s="28">
        <f>IFERROR(__xludf.DUMMYFUNCTION("""COMPUTED_VALUE"""),22.0)</f>
        <v>22</v>
      </c>
      <c r="H97" s="28">
        <f>IFERROR(__xludf.DUMMYFUNCTION("""COMPUTED_VALUE"""),1.0)</f>
        <v>1</v>
      </c>
      <c r="I97" s="28">
        <f>IFERROR(__xludf.DUMMYFUNCTION("""COMPUTED_VALUE"""),3.0)</f>
        <v>3</v>
      </c>
      <c r="J97" s="28">
        <f>IFERROR(__xludf.DUMMYFUNCTION("""COMPUTED_VALUE"""),10.0)</f>
        <v>10</v>
      </c>
      <c r="K97" s="28">
        <f>IFERROR(__xludf.DUMMYFUNCTION("""COMPUTED_VALUE"""),20.0)</f>
        <v>20</v>
      </c>
      <c r="L97" s="28">
        <f>IFERROR(__xludf.DUMMYFUNCTION("""COMPUTED_VALUE"""),22.0)</f>
        <v>22</v>
      </c>
      <c r="M97" s="28">
        <f>IFERROR(__xludf.DUMMYFUNCTION("""COMPUTED_VALUE"""),3.0)</f>
        <v>3</v>
      </c>
      <c r="N97" s="28">
        <f>IFERROR(__xludf.DUMMYFUNCTION("""COMPUTED_VALUE"""),16.0)</f>
        <v>16</v>
      </c>
    </row>
    <row r="98">
      <c r="A98" s="26">
        <f>IFERROR(__xludf.DUMMYFUNCTION("""COMPUTED_VALUE"""),45213.0)</f>
        <v>45213</v>
      </c>
      <c r="B98" s="27">
        <f>IFERROR(__xludf.DUMMYFUNCTION("""COMPUTED_VALUE"""),14.0)</f>
        <v>14</v>
      </c>
      <c r="C98" s="28">
        <f>IFERROR(__xludf.DUMMYFUNCTION("""COMPUTED_VALUE"""),70.0)</f>
        <v>70</v>
      </c>
      <c r="D98" s="28">
        <f>IFERROR(__xludf.DUMMYFUNCTION("""COMPUTED_VALUE"""),5.0)</f>
        <v>5</v>
      </c>
      <c r="E98" s="28">
        <f>IFERROR(__xludf.DUMMYFUNCTION("""COMPUTED_VALUE"""),919.0)</f>
        <v>919</v>
      </c>
      <c r="F98" s="28">
        <f>IFERROR(__xludf.DUMMYFUNCTION("""COMPUTED_VALUE"""),66.0)</f>
        <v>66</v>
      </c>
      <c r="G98" s="28">
        <f>IFERROR(__xludf.DUMMYFUNCTION("""COMPUTED_VALUE"""),10.0)</f>
        <v>10</v>
      </c>
      <c r="H98" s="28">
        <f>IFERROR(__xludf.DUMMYFUNCTION("""COMPUTED_VALUE"""),0.0)</f>
        <v>0</v>
      </c>
      <c r="I98" s="28">
        <f>IFERROR(__xludf.DUMMYFUNCTION("""COMPUTED_VALUE"""),4.0)</f>
        <v>4</v>
      </c>
      <c r="J98" s="28">
        <f>IFERROR(__xludf.DUMMYFUNCTION("""COMPUTED_VALUE"""),8.0)</f>
        <v>8</v>
      </c>
      <c r="K98" s="28">
        <f>IFERROR(__xludf.DUMMYFUNCTION("""COMPUTED_VALUE"""),11.0)</f>
        <v>11</v>
      </c>
      <c r="L98" s="28">
        <f>IFERROR(__xludf.DUMMYFUNCTION("""COMPUTED_VALUE"""),8.0)</f>
        <v>8</v>
      </c>
      <c r="M98" s="28">
        <f>IFERROR(__xludf.DUMMYFUNCTION("""COMPUTED_VALUE"""),0.0)</f>
        <v>0</v>
      </c>
      <c r="N98" s="28">
        <f>IFERROR(__xludf.DUMMYFUNCTION("""COMPUTED_VALUE"""),10.0)</f>
        <v>10</v>
      </c>
    </row>
    <row r="99">
      <c r="A99" s="26">
        <f>IFERROR(__xludf.DUMMYFUNCTION("""COMPUTED_VALUE"""),45214.0)</f>
        <v>45214</v>
      </c>
      <c r="B99" s="27">
        <f>IFERROR(__xludf.DUMMYFUNCTION("""COMPUTED_VALUE"""),0.0)</f>
        <v>0</v>
      </c>
      <c r="C99" s="28">
        <f>IFERROR(__xludf.DUMMYFUNCTION("""COMPUTED_VALUE"""),0.0)</f>
        <v>0</v>
      </c>
      <c r="D99" s="28">
        <f>IFERROR(__xludf.DUMMYFUNCTION("""COMPUTED_VALUE"""),0.0)</f>
        <v>0</v>
      </c>
      <c r="E99" s="28">
        <f>IFERROR(__xludf.DUMMYFUNCTION("""COMPUTED_VALUE"""),0.0)</f>
        <v>0</v>
      </c>
      <c r="F99" s="28">
        <f>IFERROR(__xludf.DUMMYFUNCTION("""COMPUTED_VALUE"""),0.0)</f>
        <v>0</v>
      </c>
      <c r="G99" s="28">
        <f>IFERROR(__xludf.DUMMYFUNCTION("""COMPUTED_VALUE"""),0.0)</f>
        <v>0</v>
      </c>
      <c r="H99" s="28">
        <f>IFERROR(__xludf.DUMMYFUNCTION("""COMPUTED_VALUE"""),0.0)</f>
        <v>0</v>
      </c>
      <c r="I99" s="28">
        <f>IFERROR(__xludf.DUMMYFUNCTION("""COMPUTED_VALUE"""),0.0)</f>
        <v>0</v>
      </c>
      <c r="J99" s="28">
        <f>IFERROR(__xludf.DUMMYFUNCTION("""COMPUTED_VALUE"""),0.0)</f>
        <v>0</v>
      </c>
      <c r="K99" s="28">
        <f>IFERROR(__xludf.DUMMYFUNCTION("""COMPUTED_VALUE"""),0.0)</f>
        <v>0</v>
      </c>
      <c r="L99" s="28">
        <f>IFERROR(__xludf.DUMMYFUNCTION("""COMPUTED_VALUE"""),0.0)</f>
        <v>0</v>
      </c>
      <c r="M99" s="28">
        <f>IFERROR(__xludf.DUMMYFUNCTION("""COMPUTED_VALUE"""),0.0)</f>
        <v>0</v>
      </c>
      <c r="N99" s="28">
        <f>IFERROR(__xludf.DUMMYFUNCTION("""COMPUTED_VALUE"""),0.0)</f>
        <v>0</v>
      </c>
    </row>
    <row r="100">
      <c r="A100" s="26">
        <f>IFERROR(__xludf.DUMMYFUNCTION("""COMPUTED_VALUE"""),45215.0)</f>
        <v>45215</v>
      </c>
      <c r="B100" s="27">
        <f>IFERROR(__xludf.DUMMYFUNCTION("""COMPUTED_VALUE"""),43.0)</f>
        <v>43</v>
      </c>
      <c r="C100" s="28">
        <f>IFERROR(__xludf.DUMMYFUNCTION("""COMPUTED_VALUE"""),148.0)</f>
        <v>148</v>
      </c>
      <c r="D100" s="28">
        <f>IFERROR(__xludf.DUMMYFUNCTION("""COMPUTED_VALUE"""),3.0)</f>
        <v>3</v>
      </c>
      <c r="E100" s="28">
        <f>IFERROR(__xludf.DUMMYFUNCTION("""COMPUTED_VALUE"""),2274.0)</f>
        <v>2274</v>
      </c>
      <c r="F100" s="28">
        <f>IFERROR(__xludf.DUMMYFUNCTION("""COMPUTED_VALUE"""),53.0)</f>
        <v>53</v>
      </c>
      <c r="G100" s="28">
        <f>IFERROR(__xludf.DUMMYFUNCTION("""COMPUTED_VALUE"""),35.0)</f>
        <v>35</v>
      </c>
      <c r="H100" s="28">
        <f>IFERROR(__xludf.DUMMYFUNCTION("""COMPUTED_VALUE"""),1.0)</f>
        <v>1</v>
      </c>
      <c r="I100" s="28">
        <f>IFERROR(__xludf.DUMMYFUNCTION("""COMPUTED_VALUE"""),7.0)</f>
        <v>7</v>
      </c>
      <c r="J100" s="28">
        <f>IFERROR(__xludf.DUMMYFUNCTION("""COMPUTED_VALUE"""),18.0)</f>
        <v>18</v>
      </c>
      <c r="K100" s="28">
        <f>IFERROR(__xludf.DUMMYFUNCTION("""COMPUTED_VALUE"""),23.0)</f>
        <v>23</v>
      </c>
      <c r="L100" s="28">
        <f>IFERROR(__xludf.DUMMYFUNCTION("""COMPUTED_VALUE"""),16.0)</f>
        <v>16</v>
      </c>
      <c r="M100" s="28">
        <f>IFERROR(__xludf.DUMMYFUNCTION("""COMPUTED_VALUE"""),2.0)</f>
        <v>2</v>
      </c>
      <c r="N100" s="28">
        <f>IFERROR(__xludf.DUMMYFUNCTION("""COMPUTED_VALUE"""),16.0)</f>
        <v>16</v>
      </c>
    </row>
    <row r="101">
      <c r="A101" s="26">
        <f>IFERROR(__xludf.DUMMYFUNCTION("""COMPUTED_VALUE"""),45216.0)</f>
        <v>45216</v>
      </c>
      <c r="B101" s="27">
        <f>IFERROR(__xludf.DUMMYFUNCTION("""COMPUTED_VALUE"""),39.0)</f>
        <v>39</v>
      </c>
      <c r="C101" s="28">
        <f>IFERROR(__xludf.DUMMYFUNCTION("""COMPUTED_VALUE"""),153.0)</f>
        <v>153</v>
      </c>
      <c r="D101" s="28">
        <f>IFERROR(__xludf.DUMMYFUNCTION("""COMPUTED_VALUE"""),4.0)</f>
        <v>4</v>
      </c>
      <c r="E101" s="28">
        <f>IFERROR(__xludf.DUMMYFUNCTION("""COMPUTED_VALUE"""),2847.0)</f>
        <v>2847</v>
      </c>
      <c r="F101" s="28">
        <f>IFERROR(__xludf.DUMMYFUNCTION("""COMPUTED_VALUE"""),73.0)</f>
        <v>73</v>
      </c>
      <c r="G101" s="28">
        <f>IFERROR(__xludf.DUMMYFUNCTION("""COMPUTED_VALUE"""),33.0)</f>
        <v>33</v>
      </c>
      <c r="H101" s="28">
        <f>IFERROR(__xludf.DUMMYFUNCTION("""COMPUTED_VALUE"""),1.0)</f>
        <v>1</v>
      </c>
      <c r="I101" s="28">
        <f>IFERROR(__xludf.DUMMYFUNCTION("""COMPUTED_VALUE"""),5.0)</f>
        <v>5</v>
      </c>
      <c r="J101" s="28">
        <f>IFERROR(__xludf.DUMMYFUNCTION("""COMPUTED_VALUE"""),30.0)</f>
        <v>30</v>
      </c>
      <c r="K101" s="28">
        <f>IFERROR(__xludf.DUMMYFUNCTION("""COMPUTED_VALUE"""),24.0)</f>
        <v>24</v>
      </c>
      <c r="L101" s="28">
        <f>IFERROR(__xludf.DUMMYFUNCTION("""COMPUTED_VALUE"""),16.0)</f>
        <v>16</v>
      </c>
      <c r="M101" s="28">
        <f>IFERROR(__xludf.DUMMYFUNCTION("""COMPUTED_VALUE"""),4.0)</f>
        <v>4</v>
      </c>
      <c r="N101" s="28">
        <f>IFERROR(__xludf.DUMMYFUNCTION("""COMPUTED_VALUE"""),17.0)</f>
        <v>17</v>
      </c>
    </row>
    <row r="102">
      <c r="A102" s="26">
        <f>IFERROR(__xludf.DUMMYFUNCTION("""COMPUTED_VALUE"""),45217.0)</f>
        <v>45217</v>
      </c>
      <c r="B102" s="27">
        <f>IFERROR(__xludf.DUMMYFUNCTION("""COMPUTED_VALUE"""),29.0)</f>
        <v>29</v>
      </c>
      <c r="C102" s="28">
        <f>IFERROR(__xludf.DUMMYFUNCTION("""COMPUTED_VALUE"""),108.0)</f>
        <v>108</v>
      </c>
      <c r="D102" s="28">
        <f>IFERROR(__xludf.DUMMYFUNCTION("""COMPUTED_VALUE"""),4.0)</f>
        <v>4</v>
      </c>
      <c r="E102" s="28">
        <f>IFERROR(__xludf.DUMMYFUNCTION("""COMPUTED_VALUE"""),1955.0)</f>
        <v>1955</v>
      </c>
      <c r="F102" s="28">
        <f>IFERROR(__xludf.DUMMYFUNCTION("""COMPUTED_VALUE"""),67.0)</f>
        <v>67</v>
      </c>
      <c r="G102" s="28">
        <f>IFERROR(__xludf.DUMMYFUNCTION("""COMPUTED_VALUE"""),24.0)</f>
        <v>24</v>
      </c>
      <c r="H102" s="28">
        <f>IFERROR(__xludf.DUMMYFUNCTION("""COMPUTED_VALUE"""),3.0)</f>
        <v>3</v>
      </c>
      <c r="I102" s="28">
        <f>IFERROR(__xludf.DUMMYFUNCTION("""COMPUTED_VALUE"""),2.0)</f>
        <v>2</v>
      </c>
      <c r="J102" s="28">
        <f>IFERROR(__xludf.DUMMYFUNCTION("""COMPUTED_VALUE"""),14.0)</f>
        <v>14</v>
      </c>
      <c r="K102" s="28">
        <f>IFERROR(__xludf.DUMMYFUNCTION("""COMPUTED_VALUE"""),21.0)</f>
        <v>21</v>
      </c>
      <c r="L102" s="28">
        <f>IFERROR(__xludf.DUMMYFUNCTION("""COMPUTED_VALUE"""),13.0)</f>
        <v>13</v>
      </c>
      <c r="M102" s="28">
        <f>IFERROR(__xludf.DUMMYFUNCTION("""COMPUTED_VALUE"""),0.0)</f>
        <v>0</v>
      </c>
      <c r="N102" s="28">
        <f>IFERROR(__xludf.DUMMYFUNCTION("""COMPUTED_VALUE"""),21.0)</f>
        <v>21</v>
      </c>
    </row>
    <row r="103">
      <c r="A103" s="26">
        <f>IFERROR(__xludf.DUMMYFUNCTION("""COMPUTED_VALUE"""),45218.0)</f>
        <v>45218</v>
      </c>
      <c r="B103" s="27">
        <f>IFERROR(__xludf.DUMMYFUNCTION("""COMPUTED_VALUE"""),34.0)</f>
        <v>34</v>
      </c>
      <c r="C103" s="28">
        <f>IFERROR(__xludf.DUMMYFUNCTION("""COMPUTED_VALUE"""),142.0)</f>
        <v>142</v>
      </c>
      <c r="D103" s="28">
        <f>IFERROR(__xludf.DUMMYFUNCTION("""COMPUTED_VALUE"""),4.0)</f>
        <v>4</v>
      </c>
      <c r="E103" s="28">
        <f>IFERROR(__xludf.DUMMYFUNCTION("""COMPUTED_VALUE"""),2469.0)</f>
        <v>2469</v>
      </c>
      <c r="F103" s="28">
        <f>IFERROR(__xludf.DUMMYFUNCTION("""COMPUTED_VALUE"""),73.0)</f>
        <v>73</v>
      </c>
      <c r="G103" s="28">
        <f>IFERROR(__xludf.DUMMYFUNCTION("""COMPUTED_VALUE"""),32.0)</f>
        <v>32</v>
      </c>
      <c r="H103" s="28">
        <f>IFERROR(__xludf.DUMMYFUNCTION("""COMPUTED_VALUE"""),0.0)</f>
        <v>0</v>
      </c>
      <c r="I103" s="28">
        <f>IFERROR(__xludf.DUMMYFUNCTION("""COMPUTED_VALUE"""),2.0)</f>
        <v>2</v>
      </c>
      <c r="J103" s="28">
        <f>IFERROR(__xludf.DUMMYFUNCTION("""COMPUTED_VALUE"""),26.0)</f>
        <v>26</v>
      </c>
      <c r="K103" s="28">
        <f>IFERROR(__xludf.DUMMYFUNCTION("""COMPUTED_VALUE"""),16.0)</f>
        <v>16</v>
      </c>
      <c r="L103" s="28">
        <f>IFERROR(__xludf.DUMMYFUNCTION("""COMPUTED_VALUE"""),22.0)</f>
        <v>22</v>
      </c>
      <c r="M103" s="28">
        <f>IFERROR(__xludf.DUMMYFUNCTION("""COMPUTED_VALUE"""),0.0)</f>
        <v>0</v>
      </c>
      <c r="N103" s="28">
        <f>IFERROR(__xludf.DUMMYFUNCTION("""COMPUTED_VALUE"""),14.0)</f>
        <v>14</v>
      </c>
    </row>
    <row r="104">
      <c r="A104" s="26">
        <f>IFERROR(__xludf.DUMMYFUNCTION("""COMPUTED_VALUE"""),45219.0)</f>
        <v>45219</v>
      </c>
      <c r="B104" s="27">
        <f>IFERROR(__xludf.DUMMYFUNCTION("""COMPUTED_VALUE"""),24.0)</f>
        <v>24</v>
      </c>
      <c r="C104" s="28">
        <f>IFERROR(__xludf.DUMMYFUNCTION("""COMPUTED_VALUE"""),93.0)</f>
        <v>93</v>
      </c>
      <c r="D104" s="28">
        <f>IFERROR(__xludf.DUMMYFUNCTION("""COMPUTED_VALUE"""),4.0)</f>
        <v>4</v>
      </c>
      <c r="E104" s="28">
        <f>IFERROR(__xludf.DUMMYFUNCTION("""COMPUTED_VALUE"""),1737.0)</f>
        <v>1737</v>
      </c>
      <c r="F104" s="28">
        <f>IFERROR(__xludf.DUMMYFUNCTION("""COMPUTED_VALUE"""),72.0)</f>
        <v>72</v>
      </c>
      <c r="G104" s="28">
        <f>IFERROR(__xludf.DUMMYFUNCTION("""COMPUTED_VALUE"""),23.0)</f>
        <v>23</v>
      </c>
      <c r="H104" s="28">
        <f>IFERROR(__xludf.DUMMYFUNCTION("""COMPUTED_VALUE"""),0.0)</f>
        <v>0</v>
      </c>
      <c r="I104" s="28">
        <f>IFERROR(__xludf.DUMMYFUNCTION("""COMPUTED_VALUE"""),1.0)</f>
        <v>1</v>
      </c>
      <c r="J104" s="28">
        <f>IFERROR(__xludf.DUMMYFUNCTION("""COMPUTED_VALUE"""),11.0)</f>
        <v>11</v>
      </c>
      <c r="K104" s="28">
        <f>IFERROR(__xludf.DUMMYFUNCTION("""COMPUTED_VALUE"""),18.0)</f>
        <v>18</v>
      </c>
      <c r="L104" s="28">
        <f>IFERROR(__xludf.DUMMYFUNCTION("""COMPUTED_VALUE"""),13.0)</f>
        <v>13</v>
      </c>
      <c r="M104" s="28">
        <f>IFERROR(__xludf.DUMMYFUNCTION("""COMPUTED_VALUE"""),2.0)</f>
        <v>2</v>
      </c>
      <c r="N104" s="28">
        <f>IFERROR(__xludf.DUMMYFUNCTION("""COMPUTED_VALUE"""),13.0)</f>
        <v>13</v>
      </c>
    </row>
    <row r="105">
      <c r="A105" s="26">
        <f>IFERROR(__xludf.DUMMYFUNCTION("""COMPUTED_VALUE"""),45220.0)</f>
        <v>45220</v>
      </c>
      <c r="B105" s="27">
        <f>IFERROR(__xludf.DUMMYFUNCTION("""COMPUTED_VALUE"""),15.0)</f>
        <v>15</v>
      </c>
      <c r="C105" s="28">
        <f>IFERROR(__xludf.DUMMYFUNCTION("""COMPUTED_VALUE"""),64.0)</f>
        <v>64</v>
      </c>
      <c r="D105" s="28">
        <f>IFERROR(__xludf.DUMMYFUNCTION("""COMPUTED_VALUE"""),4.0)</f>
        <v>4</v>
      </c>
      <c r="E105" s="28">
        <f>IFERROR(__xludf.DUMMYFUNCTION("""COMPUTED_VALUE"""),1254.0)</f>
        <v>1254</v>
      </c>
      <c r="F105" s="28">
        <f>IFERROR(__xludf.DUMMYFUNCTION("""COMPUTED_VALUE"""),84.0)</f>
        <v>84</v>
      </c>
      <c r="G105" s="28">
        <f>IFERROR(__xludf.DUMMYFUNCTION("""COMPUTED_VALUE"""),14.0)</f>
        <v>14</v>
      </c>
      <c r="H105" s="28">
        <f>IFERROR(__xludf.DUMMYFUNCTION("""COMPUTED_VALUE"""),0.0)</f>
        <v>0</v>
      </c>
      <c r="I105" s="28">
        <f>IFERROR(__xludf.DUMMYFUNCTION("""COMPUTED_VALUE"""),1.0)</f>
        <v>1</v>
      </c>
      <c r="J105" s="28">
        <f>IFERROR(__xludf.DUMMYFUNCTION("""COMPUTED_VALUE"""),12.0)</f>
        <v>12</v>
      </c>
      <c r="K105" s="28">
        <f>IFERROR(__xludf.DUMMYFUNCTION("""COMPUTED_VALUE"""),10.0)</f>
        <v>10</v>
      </c>
      <c r="L105" s="28">
        <f>IFERROR(__xludf.DUMMYFUNCTION("""COMPUTED_VALUE"""),10.0)</f>
        <v>10</v>
      </c>
      <c r="M105" s="28">
        <f>IFERROR(__xludf.DUMMYFUNCTION("""COMPUTED_VALUE"""),2.0)</f>
        <v>2</v>
      </c>
      <c r="N105" s="28">
        <f>IFERROR(__xludf.DUMMYFUNCTION("""COMPUTED_VALUE"""),7.0)</f>
        <v>7</v>
      </c>
    </row>
    <row r="106">
      <c r="A106" s="26">
        <f>IFERROR(__xludf.DUMMYFUNCTION("""COMPUTED_VALUE"""),45221.0)</f>
        <v>45221</v>
      </c>
      <c r="B106" s="27">
        <f>IFERROR(__xludf.DUMMYFUNCTION("""COMPUTED_VALUE"""),0.0)</f>
        <v>0</v>
      </c>
      <c r="C106" s="28">
        <f>IFERROR(__xludf.DUMMYFUNCTION("""COMPUTED_VALUE"""),0.0)</f>
        <v>0</v>
      </c>
      <c r="D106" s="28">
        <f>IFERROR(__xludf.DUMMYFUNCTION("""COMPUTED_VALUE"""),0.0)</f>
        <v>0</v>
      </c>
      <c r="E106" s="28">
        <f>IFERROR(__xludf.DUMMYFUNCTION("""COMPUTED_VALUE"""),0.0)</f>
        <v>0</v>
      </c>
      <c r="F106" s="28">
        <f>IFERROR(__xludf.DUMMYFUNCTION("""COMPUTED_VALUE"""),0.0)</f>
        <v>0</v>
      </c>
      <c r="G106" s="28">
        <f>IFERROR(__xludf.DUMMYFUNCTION("""COMPUTED_VALUE"""),0.0)</f>
        <v>0</v>
      </c>
      <c r="H106" s="28">
        <f>IFERROR(__xludf.DUMMYFUNCTION("""COMPUTED_VALUE"""),0.0)</f>
        <v>0</v>
      </c>
      <c r="I106" s="28">
        <f>IFERROR(__xludf.DUMMYFUNCTION("""COMPUTED_VALUE"""),0.0)</f>
        <v>0</v>
      </c>
      <c r="J106" s="28">
        <f>IFERROR(__xludf.DUMMYFUNCTION("""COMPUTED_VALUE"""),0.0)</f>
        <v>0</v>
      </c>
      <c r="K106" s="28">
        <f>IFERROR(__xludf.DUMMYFUNCTION("""COMPUTED_VALUE"""),0.0)</f>
        <v>0</v>
      </c>
      <c r="L106" s="28">
        <f>IFERROR(__xludf.DUMMYFUNCTION("""COMPUTED_VALUE"""),0.0)</f>
        <v>0</v>
      </c>
      <c r="M106" s="28">
        <f>IFERROR(__xludf.DUMMYFUNCTION("""COMPUTED_VALUE"""),0.0)</f>
        <v>0</v>
      </c>
      <c r="N106" s="28">
        <f>IFERROR(__xludf.DUMMYFUNCTION("""COMPUTED_VALUE"""),0.0)</f>
        <v>0</v>
      </c>
    </row>
    <row r="107">
      <c r="A107" s="26">
        <f>IFERROR(__xludf.DUMMYFUNCTION("""COMPUTED_VALUE"""),45222.0)</f>
        <v>45222</v>
      </c>
      <c r="B107" s="27">
        <f>IFERROR(__xludf.DUMMYFUNCTION("""COMPUTED_VALUE"""),44.0)</f>
        <v>44</v>
      </c>
      <c r="C107" s="28">
        <f>IFERROR(__xludf.DUMMYFUNCTION("""COMPUTED_VALUE"""),171.0)</f>
        <v>171</v>
      </c>
      <c r="D107" s="28">
        <f>IFERROR(__xludf.DUMMYFUNCTION("""COMPUTED_VALUE"""),4.0)</f>
        <v>4</v>
      </c>
      <c r="E107" s="28">
        <f>IFERROR(__xludf.DUMMYFUNCTION("""COMPUTED_VALUE"""),3111.0)</f>
        <v>3111</v>
      </c>
      <c r="F107" s="28">
        <f>IFERROR(__xludf.DUMMYFUNCTION("""COMPUTED_VALUE"""),71.0)</f>
        <v>71</v>
      </c>
      <c r="G107" s="28">
        <f>IFERROR(__xludf.DUMMYFUNCTION("""COMPUTED_VALUE"""),37.0)</f>
        <v>37</v>
      </c>
      <c r="H107" s="28">
        <f>IFERROR(__xludf.DUMMYFUNCTION("""COMPUTED_VALUE"""),3.0)</f>
        <v>3</v>
      </c>
      <c r="I107" s="28">
        <f>IFERROR(__xludf.DUMMYFUNCTION("""COMPUTED_VALUE"""),4.0)</f>
        <v>4</v>
      </c>
      <c r="J107" s="28">
        <f>IFERROR(__xludf.DUMMYFUNCTION("""COMPUTED_VALUE"""),26.0)</f>
        <v>26</v>
      </c>
      <c r="K107" s="28">
        <f>IFERROR(__xludf.DUMMYFUNCTION("""COMPUTED_VALUE"""),35.0)</f>
        <v>35</v>
      </c>
      <c r="L107" s="28">
        <f>IFERROR(__xludf.DUMMYFUNCTION("""COMPUTED_VALUE"""),16.0)</f>
        <v>16</v>
      </c>
      <c r="M107" s="28">
        <f>IFERROR(__xludf.DUMMYFUNCTION("""COMPUTED_VALUE"""),2.0)</f>
        <v>2</v>
      </c>
      <c r="N107" s="28">
        <f>IFERROR(__xludf.DUMMYFUNCTION("""COMPUTED_VALUE"""),32.0)</f>
        <v>32</v>
      </c>
    </row>
    <row r="108">
      <c r="A108" s="26">
        <f>IFERROR(__xludf.DUMMYFUNCTION("""COMPUTED_VALUE"""),45223.0)</f>
        <v>45223</v>
      </c>
      <c r="B108" s="27">
        <f>IFERROR(__xludf.DUMMYFUNCTION("""COMPUTED_VALUE"""),34.0)</f>
        <v>34</v>
      </c>
      <c r="C108" s="28">
        <f>IFERROR(__xludf.DUMMYFUNCTION("""COMPUTED_VALUE"""),143.0)</f>
        <v>143</v>
      </c>
      <c r="D108" s="28">
        <f>IFERROR(__xludf.DUMMYFUNCTION("""COMPUTED_VALUE"""),4.0)</f>
        <v>4</v>
      </c>
      <c r="E108" s="28">
        <f>IFERROR(__xludf.DUMMYFUNCTION("""COMPUTED_VALUE"""),2865.0)</f>
        <v>2865</v>
      </c>
      <c r="F108" s="28">
        <f>IFERROR(__xludf.DUMMYFUNCTION("""COMPUTED_VALUE"""),84.0)</f>
        <v>84</v>
      </c>
      <c r="G108" s="28">
        <f>IFERROR(__xludf.DUMMYFUNCTION("""COMPUTED_VALUE"""),31.0)</f>
        <v>31</v>
      </c>
      <c r="H108" s="28">
        <f>IFERROR(__xludf.DUMMYFUNCTION("""COMPUTED_VALUE"""),0.0)</f>
        <v>0</v>
      </c>
      <c r="I108" s="28">
        <f>IFERROR(__xludf.DUMMYFUNCTION("""COMPUTED_VALUE"""),3.0)</f>
        <v>3</v>
      </c>
      <c r="J108" s="28">
        <f>IFERROR(__xludf.DUMMYFUNCTION("""COMPUTED_VALUE"""),27.0)</f>
        <v>27</v>
      </c>
      <c r="K108" s="28">
        <f>IFERROR(__xludf.DUMMYFUNCTION("""COMPUTED_VALUE"""),29.0)</f>
        <v>29</v>
      </c>
      <c r="L108" s="28">
        <f>IFERROR(__xludf.DUMMYFUNCTION("""COMPUTED_VALUE"""),18.0)</f>
        <v>18</v>
      </c>
      <c r="M108" s="28">
        <f>IFERROR(__xludf.DUMMYFUNCTION("""COMPUTED_VALUE"""),3.0)</f>
        <v>3</v>
      </c>
      <c r="N108" s="28">
        <f>IFERROR(__xludf.DUMMYFUNCTION("""COMPUTED_VALUE"""),20.0)</f>
        <v>20</v>
      </c>
    </row>
    <row r="109">
      <c r="A109" s="26">
        <f>IFERROR(__xludf.DUMMYFUNCTION("""COMPUTED_VALUE"""),45224.0)</f>
        <v>45224</v>
      </c>
      <c r="B109" s="27">
        <f>IFERROR(__xludf.DUMMYFUNCTION("""COMPUTED_VALUE"""),28.0)</f>
        <v>28</v>
      </c>
      <c r="C109" s="28">
        <f>IFERROR(__xludf.DUMMYFUNCTION("""COMPUTED_VALUE"""),110.0)</f>
        <v>110</v>
      </c>
      <c r="D109" s="28">
        <f>IFERROR(__xludf.DUMMYFUNCTION("""COMPUTED_VALUE"""),4.0)</f>
        <v>4</v>
      </c>
      <c r="E109" s="28">
        <f>IFERROR(__xludf.DUMMYFUNCTION("""COMPUTED_VALUE"""),1629.0)</f>
        <v>1629</v>
      </c>
      <c r="F109" s="28">
        <f>IFERROR(__xludf.DUMMYFUNCTION("""COMPUTED_VALUE"""),58.0)</f>
        <v>58</v>
      </c>
      <c r="G109" s="28">
        <f>IFERROR(__xludf.DUMMYFUNCTION("""COMPUTED_VALUE"""),26.0)</f>
        <v>26</v>
      </c>
      <c r="H109" s="28">
        <f>IFERROR(__xludf.DUMMYFUNCTION("""COMPUTED_VALUE"""),1.0)</f>
        <v>1</v>
      </c>
      <c r="I109" s="28">
        <f>IFERROR(__xludf.DUMMYFUNCTION("""COMPUTED_VALUE"""),1.0)</f>
        <v>1</v>
      </c>
      <c r="J109" s="28">
        <f>IFERROR(__xludf.DUMMYFUNCTION("""COMPUTED_VALUE"""),11.0)</f>
        <v>11</v>
      </c>
      <c r="K109" s="28">
        <f>IFERROR(__xludf.DUMMYFUNCTION("""COMPUTED_VALUE"""),18.0)</f>
        <v>18</v>
      </c>
      <c r="L109" s="28">
        <f>IFERROR(__xludf.DUMMYFUNCTION("""COMPUTED_VALUE"""),14.0)</f>
        <v>14</v>
      </c>
      <c r="M109" s="28">
        <f>IFERROR(__xludf.DUMMYFUNCTION("""COMPUTED_VALUE"""),3.0)</f>
        <v>3</v>
      </c>
      <c r="N109" s="28">
        <f>IFERROR(__xludf.DUMMYFUNCTION("""COMPUTED_VALUE"""),12.0)</f>
        <v>12</v>
      </c>
    </row>
    <row r="110">
      <c r="A110" s="26">
        <f>IFERROR(__xludf.DUMMYFUNCTION("""COMPUTED_VALUE"""),45225.0)</f>
        <v>45225</v>
      </c>
      <c r="B110" s="27">
        <f>IFERROR(__xludf.DUMMYFUNCTION("""COMPUTED_VALUE"""),31.0)</f>
        <v>31</v>
      </c>
      <c r="C110" s="28">
        <f>IFERROR(__xludf.DUMMYFUNCTION("""COMPUTED_VALUE"""),129.0)</f>
        <v>129</v>
      </c>
      <c r="D110" s="28">
        <f>IFERROR(__xludf.DUMMYFUNCTION("""COMPUTED_VALUE"""),4.0)</f>
        <v>4</v>
      </c>
      <c r="E110" s="28">
        <f>IFERROR(__xludf.DUMMYFUNCTION("""COMPUTED_VALUE"""),2165.0)</f>
        <v>2165</v>
      </c>
      <c r="F110" s="28">
        <f>IFERROR(__xludf.DUMMYFUNCTION("""COMPUTED_VALUE"""),70.0)</f>
        <v>70</v>
      </c>
      <c r="G110" s="28">
        <f>IFERROR(__xludf.DUMMYFUNCTION("""COMPUTED_VALUE"""),24.0)</f>
        <v>24</v>
      </c>
      <c r="H110" s="28">
        <f>IFERROR(__xludf.DUMMYFUNCTION("""COMPUTED_VALUE"""),0.0)</f>
        <v>0</v>
      </c>
      <c r="I110" s="28">
        <f>IFERROR(__xludf.DUMMYFUNCTION("""COMPUTED_VALUE"""),7.0)</f>
        <v>7</v>
      </c>
      <c r="J110" s="28">
        <f>IFERROR(__xludf.DUMMYFUNCTION("""COMPUTED_VALUE"""),12.0)</f>
        <v>12</v>
      </c>
      <c r="K110" s="28">
        <f>IFERROR(__xludf.DUMMYFUNCTION("""COMPUTED_VALUE"""),19.0)</f>
        <v>19</v>
      </c>
      <c r="L110" s="28">
        <f>IFERROR(__xludf.DUMMYFUNCTION("""COMPUTED_VALUE"""),14.0)</f>
        <v>14</v>
      </c>
      <c r="M110" s="28">
        <f>IFERROR(__xludf.DUMMYFUNCTION("""COMPUTED_VALUE"""),1.0)</f>
        <v>1</v>
      </c>
      <c r="N110" s="28">
        <f>IFERROR(__xludf.DUMMYFUNCTION("""COMPUTED_VALUE"""),13.0)</f>
        <v>13</v>
      </c>
    </row>
    <row r="111">
      <c r="A111" s="26">
        <f>IFERROR(__xludf.DUMMYFUNCTION("""COMPUTED_VALUE"""),45226.0)</f>
        <v>45226</v>
      </c>
      <c r="B111" s="27">
        <f>IFERROR(__xludf.DUMMYFUNCTION("""COMPUTED_VALUE"""),32.0)</f>
        <v>32</v>
      </c>
      <c r="C111" s="28">
        <f>IFERROR(__xludf.DUMMYFUNCTION("""COMPUTED_VALUE"""),116.0)</f>
        <v>116</v>
      </c>
      <c r="D111" s="28">
        <f>IFERROR(__xludf.DUMMYFUNCTION("""COMPUTED_VALUE"""),4.0)</f>
        <v>4</v>
      </c>
      <c r="E111" s="28">
        <f>IFERROR(__xludf.DUMMYFUNCTION("""COMPUTED_VALUE"""),2182.0)</f>
        <v>2182</v>
      </c>
      <c r="F111" s="28">
        <f>IFERROR(__xludf.DUMMYFUNCTION("""COMPUTED_VALUE"""),68.0)</f>
        <v>68</v>
      </c>
      <c r="G111" s="28">
        <f>IFERROR(__xludf.DUMMYFUNCTION("""COMPUTED_VALUE"""),23.0)</f>
        <v>23</v>
      </c>
      <c r="H111" s="28">
        <f>IFERROR(__xludf.DUMMYFUNCTION("""COMPUTED_VALUE"""),4.0)</f>
        <v>4</v>
      </c>
      <c r="I111" s="28">
        <f>IFERROR(__xludf.DUMMYFUNCTION("""COMPUTED_VALUE"""),5.0)</f>
        <v>5</v>
      </c>
      <c r="J111" s="28">
        <f>IFERROR(__xludf.DUMMYFUNCTION("""COMPUTED_VALUE"""),15.0)</f>
        <v>15</v>
      </c>
      <c r="K111" s="28">
        <f>IFERROR(__xludf.DUMMYFUNCTION("""COMPUTED_VALUE"""),24.0)</f>
        <v>24</v>
      </c>
      <c r="L111" s="28">
        <f>IFERROR(__xludf.DUMMYFUNCTION("""COMPUTED_VALUE"""),12.0)</f>
        <v>12</v>
      </c>
      <c r="M111" s="28">
        <f>IFERROR(__xludf.DUMMYFUNCTION("""COMPUTED_VALUE"""),1.0)</f>
        <v>1</v>
      </c>
      <c r="N111" s="28">
        <f>IFERROR(__xludf.DUMMYFUNCTION("""COMPUTED_VALUE"""),22.0)</f>
        <v>22</v>
      </c>
    </row>
    <row r="112">
      <c r="A112" s="26">
        <f>IFERROR(__xludf.DUMMYFUNCTION("""COMPUTED_VALUE"""),45227.0)</f>
        <v>45227</v>
      </c>
      <c r="B112" s="27">
        <f>IFERROR(__xludf.DUMMYFUNCTION("""COMPUTED_VALUE"""),25.0)</f>
        <v>25</v>
      </c>
      <c r="C112" s="28">
        <f>IFERROR(__xludf.DUMMYFUNCTION("""COMPUTED_VALUE"""),107.0)</f>
        <v>107</v>
      </c>
      <c r="D112" s="28">
        <f>IFERROR(__xludf.DUMMYFUNCTION("""COMPUTED_VALUE"""),4.0)</f>
        <v>4</v>
      </c>
      <c r="E112" s="28">
        <f>IFERROR(__xludf.DUMMYFUNCTION("""COMPUTED_VALUE"""),1852.0)</f>
        <v>1852</v>
      </c>
      <c r="F112" s="28">
        <f>IFERROR(__xludf.DUMMYFUNCTION("""COMPUTED_VALUE"""),74.0)</f>
        <v>74</v>
      </c>
      <c r="G112" s="28">
        <f>IFERROR(__xludf.DUMMYFUNCTION("""COMPUTED_VALUE"""),18.0)</f>
        <v>18</v>
      </c>
      <c r="H112" s="28">
        <f>IFERROR(__xludf.DUMMYFUNCTION("""COMPUTED_VALUE"""),1.0)</f>
        <v>1</v>
      </c>
      <c r="I112" s="28">
        <f>IFERROR(__xludf.DUMMYFUNCTION("""COMPUTED_VALUE"""),6.0)</f>
        <v>6</v>
      </c>
      <c r="J112" s="28">
        <f>IFERROR(__xludf.DUMMYFUNCTION("""COMPUTED_VALUE"""),16.0)</f>
        <v>16</v>
      </c>
      <c r="K112" s="28">
        <f>IFERROR(__xludf.DUMMYFUNCTION("""COMPUTED_VALUE"""),15.0)</f>
        <v>15</v>
      </c>
      <c r="L112" s="28">
        <f>IFERROR(__xludf.DUMMYFUNCTION("""COMPUTED_VALUE"""),21.0)</f>
        <v>21</v>
      </c>
      <c r="M112" s="28">
        <f>IFERROR(__xludf.DUMMYFUNCTION("""COMPUTED_VALUE"""),1.0)</f>
        <v>1</v>
      </c>
      <c r="N112" s="28">
        <f>IFERROR(__xludf.DUMMYFUNCTION("""COMPUTED_VALUE"""),13.0)</f>
        <v>13</v>
      </c>
    </row>
    <row r="113">
      <c r="A113" s="26">
        <f>IFERROR(__xludf.DUMMYFUNCTION("""COMPUTED_VALUE"""),45228.0)</f>
        <v>45228</v>
      </c>
      <c r="B113" s="27">
        <f>IFERROR(__xludf.DUMMYFUNCTION("""COMPUTED_VALUE"""),0.0)</f>
        <v>0</v>
      </c>
      <c r="C113" s="28">
        <f>IFERROR(__xludf.DUMMYFUNCTION("""COMPUTED_VALUE"""),0.0)</f>
        <v>0</v>
      </c>
      <c r="D113" s="28">
        <f>IFERROR(__xludf.DUMMYFUNCTION("""COMPUTED_VALUE"""),0.0)</f>
        <v>0</v>
      </c>
      <c r="E113" s="28">
        <f>IFERROR(__xludf.DUMMYFUNCTION("""COMPUTED_VALUE"""),0.0)</f>
        <v>0</v>
      </c>
      <c r="F113" s="28">
        <f>IFERROR(__xludf.DUMMYFUNCTION("""COMPUTED_VALUE"""),0.0)</f>
        <v>0</v>
      </c>
      <c r="G113" s="28">
        <f>IFERROR(__xludf.DUMMYFUNCTION("""COMPUTED_VALUE"""),0.0)</f>
        <v>0</v>
      </c>
      <c r="H113" s="28">
        <f>IFERROR(__xludf.DUMMYFUNCTION("""COMPUTED_VALUE"""),0.0)</f>
        <v>0</v>
      </c>
      <c r="I113" s="28">
        <f>IFERROR(__xludf.DUMMYFUNCTION("""COMPUTED_VALUE"""),0.0)</f>
        <v>0</v>
      </c>
      <c r="J113" s="28">
        <f>IFERROR(__xludf.DUMMYFUNCTION("""COMPUTED_VALUE"""),0.0)</f>
        <v>0</v>
      </c>
      <c r="K113" s="28">
        <f>IFERROR(__xludf.DUMMYFUNCTION("""COMPUTED_VALUE"""),0.0)</f>
        <v>0</v>
      </c>
      <c r="L113" s="28">
        <f>IFERROR(__xludf.DUMMYFUNCTION("""COMPUTED_VALUE"""),0.0)</f>
        <v>0</v>
      </c>
      <c r="M113" s="28">
        <f>IFERROR(__xludf.DUMMYFUNCTION("""COMPUTED_VALUE"""),0.0)</f>
        <v>0</v>
      </c>
      <c r="N113" s="28">
        <f>IFERROR(__xludf.DUMMYFUNCTION("""COMPUTED_VALUE"""),0.0)</f>
        <v>0</v>
      </c>
    </row>
    <row r="114">
      <c r="A114" s="26">
        <f>IFERROR(__xludf.DUMMYFUNCTION("""COMPUTED_VALUE"""),45229.0)</f>
        <v>45229</v>
      </c>
      <c r="B114" s="27">
        <f>IFERROR(__xludf.DUMMYFUNCTION("""COMPUTED_VALUE"""),49.0)</f>
        <v>49</v>
      </c>
      <c r="C114" s="28">
        <f>IFERROR(__xludf.DUMMYFUNCTION("""COMPUTED_VALUE"""),192.0)</f>
        <v>192</v>
      </c>
      <c r="D114" s="28">
        <f>IFERROR(__xludf.DUMMYFUNCTION("""COMPUTED_VALUE"""),4.0)</f>
        <v>4</v>
      </c>
      <c r="E114" s="28">
        <f>IFERROR(__xludf.DUMMYFUNCTION("""COMPUTED_VALUE"""),3413.0)</f>
        <v>3413</v>
      </c>
      <c r="F114" s="28">
        <f>IFERROR(__xludf.DUMMYFUNCTION("""COMPUTED_VALUE"""),70.0)</f>
        <v>70</v>
      </c>
      <c r="G114" s="28">
        <f>IFERROR(__xludf.DUMMYFUNCTION("""COMPUTED_VALUE"""),37.0)</f>
        <v>37</v>
      </c>
      <c r="H114" s="28">
        <f>IFERROR(__xludf.DUMMYFUNCTION("""COMPUTED_VALUE"""),3.0)</f>
        <v>3</v>
      </c>
      <c r="I114" s="28">
        <f>IFERROR(__xludf.DUMMYFUNCTION("""COMPUTED_VALUE"""),9.0)</f>
        <v>9</v>
      </c>
      <c r="J114" s="28">
        <f>IFERROR(__xludf.DUMMYFUNCTION("""COMPUTED_VALUE"""),26.0)</f>
        <v>26</v>
      </c>
      <c r="K114" s="28">
        <f>IFERROR(__xludf.DUMMYFUNCTION("""COMPUTED_VALUE"""),40.0)</f>
        <v>40</v>
      </c>
      <c r="L114" s="28">
        <f>IFERROR(__xludf.DUMMYFUNCTION("""COMPUTED_VALUE"""),18.0)</f>
        <v>18</v>
      </c>
      <c r="M114" s="28">
        <f>IFERROR(__xludf.DUMMYFUNCTION("""COMPUTED_VALUE"""),5.0)</f>
        <v>5</v>
      </c>
      <c r="N114" s="28">
        <f>IFERROR(__xludf.DUMMYFUNCTION("""COMPUTED_VALUE"""),31.0)</f>
        <v>31</v>
      </c>
    </row>
    <row r="115">
      <c r="A115" s="26">
        <f>IFERROR(__xludf.DUMMYFUNCTION("""COMPUTED_VALUE"""),45230.0)</f>
        <v>45230</v>
      </c>
      <c r="B115" s="27">
        <f>IFERROR(__xludf.DUMMYFUNCTION("""COMPUTED_VALUE"""),51.0)</f>
        <v>51</v>
      </c>
      <c r="C115" s="28">
        <f>IFERROR(__xludf.DUMMYFUNCTION("""COMPUTED_VALUE"""),198.0)</f>
        <v>198</v>
      </c>
      <c r="D115" s="28">
        <f>IFERROR(__xludf.DUMMYFUNCTION("""COMPUTED_VALUE"""),4.0)</f>
        <v>4</v>
      </c>
      <c r="E115" s="28">
        <f>IFERROR(__xludf.DUMMYFUNCTION("""COMPUTED_VALUE"""),3410.0)</f>
        <v>3410</v>
      </c>
      <c r="F115" s="28">
        <f>IFERROR(__xludf.DUMMYFUNCTION("""COMPUTED_VALUE"""),67.0)</f>
        <v>67</v>
      </c>
      <c r="G115" s="28">
        <f>IFERROR(__xludf.DUMMYFUNCTION("""COMPUTED_VALUE"""),44.0)</f>
        <v>44</v>
      </c>
      <c r="H115" s="28">
        <f>IFERROR(__xludf.DUMMYFUNCTION("""COMPUTED_VALUE"""),0.0)</f>
        <v>0</v>
      </c>
      <c r="I115" s="28">
        <f>IFERROR(__xludf.DUMMYFUNCTION("""COMPUTED_VALUE"""),7.0)</f>
        <v>7</v>
      </c>
      <c r="J115" s="28">
        <f>IFERROR(__xludf.DUMMYFUNCTION("""COMPUTED_VALUE"""),22.0)</f>
        <v>22</v>
      </c>
      <c r="K115" s="28">
        <f>IFERROR(__xludf.DUMMYFUNCTION("""COMPUTED_VALUE"""),40.0)</f>
        <v>40</v>
      </c>
      <c r="L115" s="28">
        <f>IFERROR(__xludf.DUMMYFUNCTION("""COMPUTED_VALUE"""),21.0)</f>
        <v>21</v>
      </c>
      <c r="M115" s="28">
        <f>IFERROR(__xludf.DUMMYFUNCTION("""COMPUTED_VALUE"""),4.0)</f>
        <v>4</v>
      </c>
      <c r="N115" s="28">
        <f>IFERROR(__xludf.DUMMYFUNCTION("""COMPUTED_VALUE"""),32.0)</f>
        <v>32</v>
      </c>
    </row>
    <row r="116">
      <c r="A116" s="26">
        <f>IFERROR(__xludf.DUMMYFUNCTION("""COMPUTED_VALUE"""),45231.0)</f>
        <v>45231</v>
      </c>
      <c r="B116" s="27">
        <f>IFERROR(__xludf.DUMMYFUNCTION("""COMPUTED_VALUE"""),0.0)</f>
        <v>0</v>
      </c>
      <c r="C116" s="28">
        <f>IFERROR(__xludf.DUMMYFUNCTION("""COMPUTED_VALUE"""),0.0)</f>
        <v>0</v>
      </c>
      <c r="D116" s="28">
        <f>IFERROR(__xludf.DUMMYFUNCTION("""COMPUTED_VALUE"""),0.0)</f>
        <v>0</v>
      </c>
      <c r="E116" s="28">
        <f>IFERROR(__xludf.DUMMYFUNCTION("""COMPUTED_VALUE"""),0.0)</f>
        <v>0</v>
      </c>
      <c r="F116" s="28">
        <f>IFERROR(__xludf.DUMMYFUNCTION("""COMPUTED_VALUE"""),0.0)</f>
        <v>0</v>
      </c>
      <c r="G116" s="28">
        <f>IFERROR(__xludf.DUMMYFUNCTION("""COMPUTED_VALUE"""),0.0)</f>
        <v>0</v>
      </c>
      <c r="H116" s="28">
        <f>IFERROR(__xludf.DUMMYFUNCTION("""COMPUTED_VALUE"""),0.0)</f>
        <v>0</v>
      </c>
      <c r="I116" s="28">
        <f>IFERROR(__xludf.DUMMYFUNCTION("""COMPUTED_VALUE"""),0.0)</f>
        <v>0</v>
      </c>
      <c r="J116" s="28">
        <f>IFERROR(__xludf.DUMMYFUNCTION("""COMPUTED_VALUE"""),0.0)</f>
        <v>0</v>
      </c>
      <c r="K116" s="28">
        <f>IFERROR(__xludf.DUMMYFUNCTION("""COMPUTED_VALUE"""),0.0)</f>
        <v>0</v>
      </c>
      <c r="L116" s="28">
        <f>IFERROR(__xludf.DUMMYFUNCTION("""COMPUTED_VALUE"""),0.0)</f>
        <v>0</v>
      </c>
      <c r="M116" s="28">
        <f>IFERROR(__xludf.DUMMYFUNCTION("""COMPUTED_VALUE"""),0.0)</f>
        <v>0</v>
      </c>
      <c r="N116" s="28">
        <f>IFERROR(__xludf.DUMMYFUNCTION("""COMPUTED_VALUE"""),0.0)</f>
        <v>0</v>
      </c>
    </row>
    <row r="117">
      <c r="A117" s="26">
        <f>IFERROR(__xludf.DUMMYFUNCTION("""COMPUTED_VALUE"""),45232.0)</f>
        <v>45232</v>
      </c>
      <c r="B117" s="27">
        <f>IFERROR(__xludf.DUMMYFUNCTION("""COMPUTED_VALUE"""),58.0)</f>
        <v>58</v>
      </c>
      <c r="C117" s="28">
        <f>IFERROR(__xludf.DUMMYFUNCTION("""COMPUTED_VALUE"""),215.0)</f>
        <v>215</v>
      </c>
      <c r="D117" s="28">
        <f>IFERROR(__xludf.DUMMYFUNCTION("""COMPUTED_VALUE"""),4.0)</f>
        <v>4</v>
      </c>
      <c r="E117" s="28">
        <f>IFERROR(__xludf.DUMMYFUNCTION("""COMPUTED_VALUE"""),4139.0)</f>
        <v>4139</v>
      </c>
      <c r="F117" s="28">
        <f>IFERROR(__xludf.DUMMYFUNCTION("""COMPUTED_VALUE"""),71.0)</f>
        <v>71</v>
      </c>
      <c r="G117" s="28">
        <f>IFERROR(__xludf.DUMMYFUNCTION("""COMPUTED_VALUE"""),43.0)</f>
        <v>43</v>
      </c>
      <c r="H117" s="28">
        <f>IFERROR(__xludf.DUMMYFUNCTION("""COMPUTED_VALUE"""),3.0)</f>
        <v>3</v>
      </c>
      <c r="I117" s="28">
        <f>IFERROR(__xludf.DUMMYFUNCTION("""COMPUTED_VALUE"""),12.0)</f>
        <v>12</v>
      </c>
      <c r="J117" s="28">
        <f>IFERROR(__xludf.DUMMYFUNCTION("""COMPUTED_VALUE"""),32.0)</f>
        <v>32</v>
      </c>
      <c r="K117" s="28">
        <f>IFERROR(__xludf.DUMMYFUNCTION("""COMPUTED_VALUE"""),46.0)</f>
        <v>46</v>
      </c>
      <c r="L117" s="28">
        <f>IFERROR(__xludf.DUMMYFUNCTION("""COMPUTED_VALUE"""),16.0)</f>
        <v>16</v>
      </c>
      <c r="M117" s="28">
        <f>IFERROR(__xludf.DUMMYFUNCTION("""COMPUTED_VALUE"""),3.0)</f>
        <v>3</v>
      </c>
      <c r="N117" s="28">
        <f>IFERROR(__xludf.DUMMYFUNCTION("""COMPUTED_VALUE"""),36.0)</f>
        <v>36</v>
      </c>
    </row>
    <row r="118">
      <c r="A118" s="26">
        <f>IFERROR(__xludf.DUMMYFUNCTION("""COMPUTED_VALUE"""),45233.0)</f>
        <v>45233</v>
      </c>
      <c r="B118" s="27">
        <f>IFERROR(__xludf.DUMMYFUNCTION("""COMPUTED_VALUE"""),53.0)</f>
        <v>53</v>
      </c>
      <c r="C118" s="28">
        <f>IFERROR(__xludf.DUMMYFUNCTION("""COMPUTED_VALUE"""),244.0)</f>
        <v>244</v>
      </c>
      <c r="D118" s="28">
        <f>IFERROR(__xludf.DUMMYFUNCTION("""COMPUTED_VALUE"""),5.0)</f>
        <v>5</v>
      </c>
      <c r="E118" s="28">
        <f>IFERROR(__xludf.DUMMYFUNCTION("""COMPUTED_VALUE"""),4044.0)</f>
        <v>4044</v>
      </c>
      <c r="F118" s="28">
        <f>IFERROR(__xludf.DUMMYFUNCTION("""COMPUTED_VALUE"""),76.0)</f>
        <v>76</v>
      </c>
      <c r="G118" s="28">
        <f>IFERROR(__xludf.DUMMYFUNCTION("""COMPUTED_VALUE"""),37.0)</f>
        <v>37</v>
      </c>
      <c r="H118" s="28">
        <f>IFERROR(__xludf.DUMMYFUNCTION("""COMPUTED_VALUE"""),1.0)</f>
        <v>1</v>
      </c>
      <c r="I118" s="28">
        <f>IFERROR(__xludf.DUMMYFUNCTION("""COMPUTED_VALUE"""),14.0)</f>
        <v>14</v>
      </c>
      <c r="J118" s="28">
        <f>IFERROR(__xludf.DUMMYFUNCTION("""COMPUTED_VALUE"""),35.0)</f>
        <v>35</v>
      </c>
      <c r="K118" s="28">
        <f>IFERROR(__xludf.DUMMYFUNCTION("""COMPUTED_VALUE"""),42.0)</f>
        <v>42</v>
      </c>
      <c r="L118" s="28">
        <f>IFERROR(__xludf.DUMMYFUNCTION("""COMPUTED_VALUE"""),14.0)</f>
        <v>14</v>
      </c>
      <c r="M118" s="28">
        <f>IFERROR(__xludf.DUMMYFUNCTION("""COMPUTED_VALUE"""),3.0)</f>
        <v>3</v>
      </c>
      <c r="N118" s="28">
        <f>IFERROR(__xludf.DUMMYFUNCTION("""COMPUTED_VALUE"""),35.0)</f>
        <v>35</v>
      </c>
    </row>
    <row r="119">
      <c r="A119" s="26">
        <f>IFERROR(__xludf.DUMMYFUNCTION("""COMPUTED_VALUE"""),45234.0)</f>
        <v>45234</v>
      </c>
      <c r="B119" s="27">
        <f>IFERROR(__xludf.DUMMYFUNCTION("""COMPUTED_VALUE"""),19.0)</f>
        <v>19</v>
      </c>
      <c r="C119" s="28">
        <f>IFERROR(__xludf.DUMMYFUNCTION("""COMPUTED_VALUE"""),68.0)</f>
        <v>68</v>
      </c>
      <c r="D119" s="28">
        <f>IFERROR(__xludf.DUMMYFUNCTION("""COMPUTED_VALUE"""),4.0)</f>
        <v>4</v>
      </c>
      <c r="E119" s="28">
        <f>IFERROR(__xludf.DUMMYFUNCTION("""COMPUTED_VALUE"""),1195.0)</f>
        <v>1195</v>
      </c>
      <c r="F119" s="28">
        <f>IFERROR(__xludf.DUMMYFUNCTION("""COMPUTED_VALUE"""),63.0)</f>
        <v>63</v>
      </c>
      <c r="G119" s="28">
        <f>IFERROR(__xludf.DUMMYFUNCTION("""COMPUTED_VALUE"""),13.0)</f>
        <v>13</v>
      </c>
      <c r="H119" s="28">
        <f>IFERROR(__xludf.DUMMYFUNCTION("""COMPUTED_VALUE"""),2.0)</f>
        <v>2</v>
      </c>
      <c r="I119" s="28">
        <f>IFERROR(__xludf.DUMMYFUNCTION("""COMPUTED_VALUE"""),4.0)</f>
        <v>4</v>
      </c>
      <c r="J119" s="28">
        <f>IFERROR(__xludf.DUMMYFUNCTION("""COMPUTED_VALUE"""),7.0)</f>
        <v>7</v>
      </c>
      <c r="K119" s="28">
        <f>IFERROR(__xludf.DUMMYFUNCTION("""COMPUTED_VALUE"""),15.0)</f>
        <v>15</v>
      </c>
      <c r="L119" s="28">
        <f>IFERROR(__xludf.DUMMYFUNCTION("""COMPUTED_VALUE"""),8.0)</f>
        <v>8</v>
      </c>
      <c r="M119" s="28">
        <f>IFERROR(__xludf.DUMMYFUNCTION("""COMPUTED_VALUE"""),0.0)</f>
        <v>0</v>
      </c>
      <c r="N119" s="28">
        <f>IFERROR(__xludf.DUMMYFUNCTION("""COMPUTED_VALUE"""),12.0)</f>
        <v>12</v>
      </c>
    </row>
    <row r="120">
      <c r="A120" s="26">
        <f>IFERROR(__xludf.DUMMYFUNCTION("""COMPUTED_VALUE"""),45235.0)</f>
        <v>45235</v>
      </c>
      <c r="B120" s="27">
        <f>IFERROR(__xludf.DUMMYFUNCTION("""COMPUTED_VALUE"""),0.0)</f>
        <v>0</v>
      </c>
      <c r="C120" s="28">
        <f>IFERROR(__xludf.DUMMYFUNCTION("""COMPUTED_VALUE"""),0.0)</f>
        <v>0</v>
      </c>
      <c r="D120" s="28">
        <f>IFERROR(__xludf.DUMMYFUNCTION("""COMPUTED_VALUE"""),0.0)</f>
        <v>0</v>
      </c>
      <c r="E120" s="28">
        <f>IFERROR(__xludf.DUMMYFUNCTION("""COMPUTED_VALUE"""),0.0)</f>
        <v>0</v>
      </c>
      <c r="F120" s="28">
        <f>IFERROR(__xludf.DUMMYFUNCTION("""COMPUTED_VALUE"""),0.0)</f>
        <v>0</v>
      </c>
      <c r="G120" s="28">
        <f>IFERROR(__xludf.DUMMYFUNCTION("""COMPUTED_VALUE"""),0.0)</f>
        <v>0</v>
      </c>
      <c r="H120" s="28">
        <f>IFERROR(__xludf.DUMMYFUNCTION("""COMPUTED_VALUE"""),0.0)</f>
        <v>0</v>
      </c>
      <c r="I120" s="28">
        <f>IFERROR(__xludf.DUMMYFUNCTION("""COMPUTED_VALUE"""),0.0)</f>
        <v>0</v>
      </c>
      <c r="J120" s="28">
        <f>IFERROR(__xludf.DUMMYFUNCTION("""COMPUTED_VALUE"""),0.0)</f>
        <v>0</v>
      </c>
      <c r="K120" s="28">
        <f>IFERROR(__xludf.DUMMYFUNCTION("""COMPUTED_VALUE"""),0.0)</f>
        <v>0</v>
      </c>
      <c r="L120" s="28">
        <f>IFERROR(__xludf.DUMMYFUNCTION("""COMPUTED_VALUE"""),0.0)</f>
        <v>0</v>
      </c>
      <c r="M120" s="28">
        <f>IFERROR(__xludf.DUMMYFUNCTION("""COMPUTED_VALUE"""),0.0)</f>
        <v>0</v>
      </c>
      <c r="N120" s="28">
        <f>IFERROR(__xludf.DUMMYFUNCTION("""COMPUTED_VALUE"""),0.0)</f>
        <v>0</v>
      </c>
    </row>
    <row r="121">
      <c r="A121" s="26">
        <f>IFERROR(__xludf.DUMMYFUNCTION("""COMPUTED_VALUE"""),45236.0)</f>
        <v>45236</v>
      </c>
      <c r="B121" s="27">
        <f>IFERROR(__xludf.DUMMYFUNCTION("""COMPUTED_VALUE"""),53.0)</f>
        <v>53</v>
      </c>
      <c r="C121" s="28">
        <f>IFERROR(__xludf.DUMMYFUNCTION("""COMPUTED_VALUE"""),215.0)</f>
        <v>215</v>
      </c>
      <c r="D121" s="28">
        <f>IFERROR(__xludf.DUMMYFUNCTION("""COMPUTED_VALUE"""),4.0)</f>
        <v>4</v>
      </c>
      <c r="E121" s="28">
        <f>IFERROR(__xludf.DUMMYFUNCTION("""COMPUTED_VALUE"""),4054.0)</f>
        <v>4054</v>
      </c>
      <c r="F121" s="28">
        <f>IFERROR(__xludf.DUMMYFUNCTION("""COMPUTED_VALUE"""),76.0)</f>
        <v>76</v>
      </c>
      <c r="G121" s="28">
        <f>IFERROR(__xludf.DUMMYFUNCTION("""COMPUTED_VALUE"""),36.0)</f>
        <v>36</v>
      </c>
      <c r="H121" s="28">
        <f>IFERROR(__xludf.DUMMYFUNCTION("""COMPUTED_VALUE"""),1.0)</f>
        <v>1</v>
      </c>
      <c r="I121" s="28">
        <f>IFERROR(__xludf.DUMMYFUNCTION("""COMPUTED_VALUE"""),16.0)</f>
        <v>16</v>
      </c>
      <c r="J121" s="28">
        <f>IFERROR(__xludf.DUMMYFUNCTION("""COMPUTED_VALUE"""),43.0)</f>
        <v>43</v>
      </c>
      <c r="K121" s="28">
        <f>IFERROR(__xludf.DUMMYFUNCTION("""COMPUTED_VALUE"""),36.0)</f>
        <v>36</v>
      </c>
      <c r="L121" s="28">
        <f>IFERROR(__xludf.DUMMYFUNCTION("""COMPUTED_VALUE"""),22.0)</f>
        <v>22</v>
      </c>
      <c r="M121" s="28">
        <f>IFERROR(__xludf.DUMMYFUNCTION("""COMPUTED_VALUE"""),3.0)</f>
        <v>3</v>
      </c>
      <c r="N121" s="28">
        <f>IFERROR(__xludf.DUMMYFUNCTION("""COMPUTED_VALUE"""),29.0)</f>
        <v>29</v>
      </c>
    </row>
    <row r="122">
      <c r="A122" s="26">
        <f>IFERROR(__xludf.DUMMYFUNCTION("""COMPUTED_VALUE"""),45237.0)</f>
        <v>45237</v>
      </c>
      <c r="B122" s="27">
        <f>IFERROR(__xludf.DUMMYFUNCTION("""COMPUTED_VALUE"""),42.0)</f>
        <v>42</v>
      </c>
      <c r="C122" s="28">
        <f>IFERROR(__xludf.DUMMYFUNCTION("""COMPUTED_VALUE"""),168.0)</f>
        <v>168</v>
      </c>
      <c r="D122" s="28">
        <f>IFERROR(__xludf.DUMMYFUNCTION("""COMPUTED_VALUE"""),4.0)</f>
        <v>4</v>
      </c>
      <c r="E122" s="28">
        <f>IFERROR(__xludf.DUMMYFUNCTION("""COMPUTED_VALUE"""),3206.0)</f>
        <v>3206</v>
      </c>
      <c r="F122" s="28">
        <f>IFERROR(__xludf.DUMMYFUNCTION("""COMPUTED_VALUE"""),76.0)</f>
        <v>76</v>
      </c>
      <c r="G122" s="28">
        <f>IFERROR(__xludf.DUMMYFUNCTION("""COMPUTED_VALUE"""),32.0)</f>
        <v>32</v>
      </c>
      <c r="H122" s="28">
        <f>IFERROR(__xludf.DUMMYFUNCTION("""COMPUTED_VALUE"""),2.0)</f>
        <v>2</v>
      </c>
      <c r="I122" s="28">
        <f>IFERROR(__xludf.DUMMYFUNCTION("""COMPUTED_VALUE"""),8.0)</f>
        <v>8</v>
      </c>
      <c r="J122" s="28">
        <f>IFERROR(__xludf.DUMMYFUNCTION("""COMPUTED_VALUE"""),27.0)</f>
        <v>27</v>
      </c>
      <c r="K122" s="28">
        <f>IFERROR(__xludf.DUMMYFUNCTION("""COMPUTED_VALUE"""),35.0)</f>
        <v>35</v>
      </c>
      <c r="L122" s="28">
        <f>IFERROR(__xludf.DUMMYFUNCTION("""COMPUTED_VALUE"""),16.0)</f>
        <v>16</v>
      </c>
      <c r="M122" s="28">
        <f>IFERROR(__xludf.DUMMYFUNCTION("""COMPUTED_VALUE"""),1.0)</f>
        <v>1</v>
      </c>
      <c r="N122" s="28">
        <f>IFERROR(__xludf.DUMMYFUNCTION("""COMPUTED_VALUE"""),29.0)</f>
        <v>29</v>
      </c>
    </row>
    <row r="123">
      <c r="A123" s="26">
        <f>IFERROR(__xludf.DUMMYFUNCTION("""COMPUTED_VALUE"""),45238.0)</f>
        <v>45238</v>
      </c>
      <c r="B123" s="27">
        <f>IFERROR(__xludf.DUMMYFUNCTION("""COMPUTED_VALUE"""),47.0)</f>
        <v>47</v>
      </c>
      <c r="C123" s="28">
        <f>IFERROR(__xludf.DUMMYFUNCTION("""COMPUTED_VALUE"""),203.0)</f>
        <v>203</v>
      </c>
      <c r="D123" s="28">
        <f>IFERROR(__xludf.DUMMYFUNCTION("""COMPUTED_VALUE"""),4.0)</f>
        <v>4</v>
      </c>
      <c r="E123" s="28">
        <f>IFERROR(__xludf.DUMMYFUNCTION("""COMPUTED_VALUE"""),4314.0)</f>
        <v>4314</v>
      </c>
      <c r="F123" s="28">
        <f>IFERROR(__xludf.DUMMYFUNCTION("""COMPUTED_VALUE"""),92.0)</f>
        <v>92</v>
      </c>
      <c r="G123" s="28">
        <f>IFERROR(__xludf.DUMMYFUNCTION("""COMPUTED_VALUE"""),33.0)</f>
        <v>33</v>
      </c>
      <c r="H123" s="28">
        <f>IFERROR(__xludf.DUMMYFUNCTION("""COMPUTED_VALUE"""),0.0)</f>
        <v>0</v>
      </c>
      <c r="I123" s="28">
        <f>IFERROR(__xludf.DUMMYFUNCTION("""COMPUTED_VALUE"""),14.0)</f>
        <v>14</v>
      </c>
      <c r="J123" s="28">
        <f>IFERROR(__xludf.DUMMYFUNCTION("""COMPUTED_VALUE"""),48.0)</f>
        <v>48</v>
      </c>
      <c r="K123" s="28">
        <f>IFERROR(__xludf.DUMMYFUNCTION("""COMPUTED_VALUE"""),34.0)</f>
        <v>34</v>
      </c>
      <c r="L123" s="28">
        <f>IFERROR(__xludf.DUMMYFUNCTION("""COMPUTED_VALUE"""),22.0)</f>
        <v>22</v>
      </c>
      <c r="M123" s="28">
        <f>IFERROR(__xludf.DUMMYFUNCTION("""COMPUTED_VALUE"""),2.0)</f>
        <v>2</v>
      </c>
      <c r="N123" s="28">
        <f>IFERROR(__xludf.DUMMYFUNCTION("""COMPUTED_VALUE"""),29.0)</f>
        <v>29</v>
      </c>
    </row>
    <row r="124">
      <c r="A124" s="26">
        <f>IFERROR(__xludf.DUMMYFUNCTION("""COMPUTED_VALUE"""),45239.0)</f>
        <v>45239</v>
      </c>
      <c r="B124" s="27">
        <f>IFERROR(__xludf.DUMMYFUNCTION("""COMPUTED_VALUE"""),39.0)</f>
        <v>39</v>
      </c>
      <c r="C124" s="28">
        <f>IFERROR(__xludf.DUMMYFUNCTION("""COMPUTED_VALUE"""),149.0)</f>
        <v>149</v>
      </c>
      <c r="D124" s="28">
        <f>IFERROR(__xludf.DUMMYFUNCTION("""COMPUTED_VALUE"""),4.0)</f>
        <v>4</v>
      </c>
      <c r="E124" s="28">
        <f>IFERROR(__xludf.DUMMYFUNCTION("""COMPUTED_VALUE"""),2458.0)</f>
        <v>2458</v>
      </c>
      <c r="F124" s="28">
        <f>IFERROR(__xludf.DUMMYFUNCTION("""COMPUTED_VALUE"""),63.0)</f>
        <v>63</v>
      </c>
      <c r="G124" s="28">
        <f>IFERROR(__xludf.DUMMYFUNCTION("""COMPUTED_VALUE"""),25.0)</f>
        <v>25</v>
      </c>
      <c r="H124" s="28">
        <f>IFERROR(__xludf.DUMMYFUNCTION("""COMPUTED_VALUE"""),0.0)</f>
        <v>0</v>
      </c>
      <c r="I124" s="28">
        <f>IFERROR(__xludf.DUMMYFUNCTION("""COMPUTED_VALUE"""),14.0)</f>
        <v>14</v>
      </c>
      <c r="J124" s="28">
        <f>IFERROR(__xludf.DUMMYFUNCTION("""COMPUTED_VALUE"""),22.0)</f>
        <v>22</v>
      </c>
      <c r="K124" s="28">
        <f>IFERROR(__xludf.DUMMYFUNCTION("""COMPUTED_VALUE"""),26.0)</f>
        <v>26</v>
      </c>
      <c r="L124" s="28">
        <f>IFERROR(__xludf.DUMMYFUNCTION("""COMPUTED_VALUE"""),14.0)</f>
        <v>14</v>
      </c>
      <c r="M124" s="28">
        <f>IFERROR(__xludf.DUMMYFUNCTION("""COMPUTED_VALUE"""),2.0)</f>
        <v>2</v>
      </c>
      <c r="N124" s="28">
        <f>IFERROR(__xludf.DUMMYFUNCTION("""COMPUTED_VALUE"""),23.0)</f>
        <v>23</v>
      </c>
    </row>
    <row r="125">
      <c r="A125" s="26">
        <f>IFERROR(__xludf.DUMMYFUNCTION("""COMPUTED_VALUE"""),45240.0)</f>
        <v>45240</v>
      </c>
      <c r="B125" s="27">
        <f>IFERROR(__xludf.DUMMYFUNCTION("""COMPUTED_VALUE"""),32.0)</f>
        <v>32</v>
      </c>
      <c r="C125" s="28">
        <f>IFERROR(__xludf.DUMMYFUNCTION("""COMPUTED_VALUE"""),139.0)</f>
        <v>139</v>
      </c>
      <c r="D125" s="28">
        <f>IFERROR(__xludf.DUMMYFUNCTION("""COMPUTED_VALUE"""),4.0)</f>
        <v>4</v>
      </c>
      <c r="E125" s="28">
        <f>IFERROR(__xludf.DUMMYFUNCTION("""COMPUTED_VALUE"""),2636.0)</f>
        <v>2636</v>
      </c>
      <c r="F125" s="28">
        <f>IFERROR(__xludf.DUMMYFUNCTION("""COMPUTED_VALUE"""),82.0)</f>
        <v>82</v>
      </c>
      <c r="G125" s="28">
        <f>IFERROR(__xludf.DUMMYFUNCTION("""COMPUTED_VALUE"""),28.0)</f>
        <v>28</v>
      </c>
      <c r="H125" s="28">
        <f>IFERROR(__xludf.DUMMYFUNCTION("""COMPUTED_VALUE"""),0.0)</f>
        <v>0</v>
      </c>
      <c r="I125" s="28">
        <f>IFERROR(__xludf.DUMMYFUNCTION("""COMPUTED_VALUE"""),4.0)</f>
        <v>4</v>
      </c>
      <c r="J125" s="28">
        <f>IFERROR(__xludf.DUMMYFUNCTION("""COMPUTED_VALUE"""),27.0)</f>
        <v>27</v>
      </c>
      <c r="K125" s="28">
        <f>IFERROR(__xludf.DUMMYFUNCTION("""COMPUTED_VALUE"""),22.0)</f>
        <v>22</v>
      </c>
      <c r="L125" s="28">
        <f>IFERROR(__xludf.DUMMYFUNCTION("""COMPUTED_VALUE"""),22.0)</f>
        <v>22</v>
      </c>
      <c r="M125" s="28">
        <f>IFERROR(__xludf.DUMMYFUNCTION("""COMPUTED_VALUE"""),0.0)</f>
        <v>0</v>
      </c>
      <c r="N125" s="28">
        <f>IFERROR(__xludf.DUMMYFUNCTION("""COMPUTED_VALUE"""),19.0)</f>
        <v>19</v>
      </c>
    </row>
    <row r="126">
      <c r="A126" s="26">
        <f>IFERROR(__xludf.DUMMYFUNCTION("""COMPUTED_VALUE"""),45241.0)</f>
        <v>45241</v>
      </c>
      <c r="B126" s="27">
        <f>IFERROR(__xludf.DUMMYFUNCTION("""COMPUTED_VALUE"""),0.0)</f>
        <v>0</v>
      </c>
      <c r="C126" s="28">
        <f>IFERROR(__xludf.DUMMYFUNCTION("""COMPUTED_VALUE"""),0.0)</f>
        <v>0</v>
      </c>
      <c r="D126" s="28">
        <f>IFERROR(__xludf.DUMMYFUNCTION("""COMPUTED_VALUE"""),0.0)</f>
        <v>0</v>
      </c>
      <c r="E126" s="28">
        <f>IFERROR(__xludf.DUMMYFUNCTION("""COMPUTED_VALUE"""),0.0)</f>
        <v>0</v>
      </c>
      <c r="F126" s="28">
        <f>IFERROR(__xludf.DUMMYFUNCTION("""COMPUTED_VALUE"""),0.0)</f>
        <v>0</v>
      </c>
      <c r="G126" s="28">
        <f>IFERROR(__xludf.DUMMYFUNCTION("""COMPUTED_VALUE"""),0.0)</f>
        <v>0</v>
      </c>
      <c r="H126" s="28">
        <f>IFERROR(__xludf.DUMMYFUNCTION("""COMPUTED_VALUE"""),0.0)</f>
        <v>0</v>
      </c>
      <c r="I126" s="28">
        <f>IFERROR(__xludf.DUMMYFUNCTION("""COMPUTED_VALUE"""),0.0)</f>
        <v>0</v>
      </c>
      <c r="J126" s="28">
        <f>IFERROR(__xludf.DUMMYFUNCTION("""COMPUTED_VALUE"""),0.0)</f>
        <v>0</v>
      </c>
      <c r="K126" s="28">
        <f>IFERROR(__xludf.DUMMYFUNCTION("""COMPUTED_VALUE"""),0.0)</f>
        <v>0</v>
      </c>
      <c r="L126" s="28">
        <f>IFERROR(__xludf.DUMMYFUNCTION("""COMPUTED_VALUE"""),0.0)</f>
        <v>0</v>
      </c>
      <c r="M126" s="28">
        <f>IFERROR(__xludf.DUMMYFUNCTION("""COMPUTED_VALUE"""),0.0)</f>
        <v>0</v>
      </c>
      <c r="N126" s="28">
        <f>IFERROR(__xludf.DUMMYFUNCTION("""COMPUTED_VALUE"""),0.0)</f>
        <v>0</v>
      </c>
    </row>
    <row r="127">
      <c r="A127" s="26">
        <f>IFERROR(__xludf.DUMMYFUNCTION("""COMPUTED_VALUE"""),45242.0)</f>
        <v>45242</v>
      </c>
      <c r="B127" s="27">
        <f>IFERROR(__xludf.DUMMYFUNCTION("""COMPUTED_VALUE"""),0.0)</f>
        <v>0</v>
      </c>
      <c r="C127" s="28">
        <f>IFERROR(__xludf.DUMMYFUNCTION("""COMPUTED_VALUE"""),0.0)</f>
        <v>0</v>
      </c>
      <c r="D127" s="28">
        <f>IFERROR(__xludf.DUMMYFUNCTION("""COMPUTED_VALUE"""),0.0)</f>
        <v>0</v>
      </c>
      <c r="E127" s="28">
        <f>IFERROR(__xludf.DUMMYFUNCTION("""COMPUTED_VALUE"""),0.0)</f>
        <v>0</v>
      </c>
      <c r="F127" s="28">
        <f>IFERROR(__xludf.DUMMYFUNCTION("""COMPUTED_VALUE"""),0.0)</f>
        <v>0</v>
      </c>
      <c r="G127" s="28">
        <f>IFERROR(__xludf.DUMMYFUNCTION("""COMPUTED_VALUE"""),0.0)</f>
        <v>0</v>
      </c>
      <c r="H127" s="28">
        <f>IFERROR(__xludf.DUMMYFUNCTION("""COMPUTED_VALUE"""),0.0)</f>
        <v>0</v>
      </c>
      <c r="I127" s="28">
        <f>IFERROR(__xludf.DUMMYFUNCTION("""COMPUTED_VALUE"""),0.0)</f>
        <v>0</v>
      </c>
      <c r="J127" s="28">
        <f>IFERROR(__xludf.DUMMYFUNCTION("""COMPUTED_VALUE"""),0.0)</f>
        <v>0</v>
      </c>
      <c r="K127" s="28">
        <f>IFERROR(__xludf.DUMMYFUNCTION("""COMPUTED_VALUE"""),0.0)</f>
        <v>0</v>
      </c>
      <c r="L127" s="28">
        <f>IFERROR(__xludf.DUMMYFUNCTION("""COMPUTED_VALUE"""),0.0)</f>
        <v>0</v>
      </c>
      <c r="M127" s="28">
        <f>IFERROR(__xludf.DUMMYFUNCTION("""COMPUTED_VALUE"""),0.0)</f>
        <v>0</v>
      </c>
      <c r="N127" s="28">
        <f>IFERROR(__xludf.DUMMYFUNCTION("""COMPUTED_VALUE"""),0.0)</f>
        <v>0</v>
      </c>
    </row>
    <row r="128">
      <c r="A128" s="26">
        <f>IFERROR(__xludf.DUMMYFUNCTION("""COMPUTED_VALUE"""),45243.0)</f>
        <v>45243</v>
      </c>
      <c r="B128" s="27">
        <f>IFERROR(__xludf.DUMMYFUNCTION("""COMPUTED_VALUE"""),43.0)</f>
        <v>43</v>
      </c>
      <c r="C128" s="28">
        <f>IFERROR(__xludf.DUMMYFUNCTION("""COMPUTED_VALUE"""),148.0)</f>
        <v>148</v>
      </c>
      <c r="D128" s="28">
        <f>IFERROR(__xludf.DUMMYFUNCTION("""COMPUTED_VALUE"""),3.0)</f>
        <v>3</v>
      </c>
      <c r="E128" s="28">
        <f>IFERROR(__xludf.DUMMYFUNCTION("""COMPUTED_VALUE"""),2613.0)</f>
        <v>2613</v>
      </c>
      <c r="F128" s="28">
        <f>IFERROR(__xludf.DUMMYFUNCTION("""COMPUTED_VALUE"""),61.0)</f>
        <v>61</v>
      </c>
      <c r="G128" s="28">
        <f>IFERROR(__xludf.DUMMYFUNCTION("""COMPUTED_VALUE"""),36.0)</f>
        <v>36</v>
      </c>
      <c r="H128" s="28">
        <f>IFERROR(__xludf.DUMMYFUNCTION("""COMPUTED_VALUE"""),0.0)</f>
        <v>0</v>
      </c>
      <c r="I128" s="28">
        <f>IFERROR(__xludf.DUMMYFUNCTION("""COMPUTED_VALUE"""),7.0)</f>
        <v>7</v>
      </c>
      <c r="J128" s="28">
        <f>IFERROR(__xludf.DUMMYFUNCTION("""COMPUTED_VALUE"""),18.0)</f>
        <v>18</v>
      </c>
      <c r="K128" s="28">
        <f>IFERROR(__xludf.DUMMYFUNCTION("""COMPUTED_VALUE"""),29.0)</f>
        <v>29</v>
      </c>
      <c r="L128" s="28">
        <f>IFERROR(__xludf.DUMMYFUNCTION("""COMPUTED_VALUE"""),13.0)</f>
        <v>13</v>
      </c>
      <c r="M128" s="28">
        <f>IFERROR(__xludf.DUMMYFUNCTION("""COMPUTED_VALUE"""),3.0)</f>
        <v>3</v>
      </c>
      <c r="N128" s="28">
        <f>IFERROR(__xludf.DUMMYFUNCTION("""COMPUTED_VALUE"""),22.0)</f>
        <v>22</v>
      </c>
    </row>
    <row r="129">
      <c r="A129" s="26">
        <f>IFERROR(__xludf.DUMMYFUNCTION("""COMPUTED_VALUE"""),45244.0)</f>
        <v>45244</v>
      </c>
      <c r="B129" s="27">
        <f>IFERROR(__xludf.DUMMYFUNCTION("""COMPUTED_VALUE"""),41.0)</f>
        <v>41</v>
      </c>
      <c r="C129" s="28">
        <f>IFERROR(__xludf.DUMMYFUNCTION("""COMPUTED_VALUE"""),157.0)</f>
        <v>157</v>
      </c>
      <c r="D129" s="28">
        <f>IFERROR(__xludf.DUMMYFUNCTION("""COMPUTED_VALUE"""),4.0)</f>
        <v>4</v>
      </c>
      <c r="E129" s="28">
        <f>IFERROR(__xludf.DUMMYFUNCTION("""COMPUTED_VALUE"""),2834.0)</f>
        <v>2834</v>
      </c>
      <c r="F129" s="28">
        <f>IFERROR(__xludf.DUMMYFUNCTION("""COMPUTED_VALUE"""),69.0)</f>
        <v>69</v>
      </c>
      <c r="G129" s="28">
        <f>IFERROR(__xludf.DUMMYFUNCTION("""COMPUTED_VALUE"""),23.0)</f>
        <v>23</v>
      </c>
      <c r="H129" s="28">
        <f>IFERROR(__xludf.DUMMYFUNCTION("""COMPUTED_VALUE"""),8.0)</f>
        <v>8</v>
      </c>
      <c r="I129" s="28">
        <f>IFERROR(__xludf.DUMMYFUNCTION("""COMPUTED_VALUE"""),10.0)</f>
        <v>10</v>
      </c>
      <c r="J129" s="28">
        <f>IFERROR(__xludf.DUMMYFUNCTION("""COMPUTED_VALUE"""),21.0)</f>
        <v>21</v>
      </c>
      <c r="K129" s="28">
        <f>IFERROR(__xludf.DUMMYFUNCTION("""COMPUTED_VALUE"""),31.0)</f>
        <v>31</v>
      </c>
      <c r="L129" s="28">
        <f>IFERROR(__xludf.DUMMYFUNCTION("""COMPUTED_VALUE"""),15.0)</f>
        <v>15</v>
      </c>
      <c r="M129" s="28">
        <f>IFERROR(__xludf.DUMMYFUNCTION("""COMPUTED_VALUE"""),1.0)</f>
        <v>1</v>
      </c>
      <c r="N129" s="28">
        <f>IFERROR(__xludf.DUMMYFUNCTION("""COMPUTED_VALUE"""),27.0)</f>
        <v>27</v>
      </c>
    </row>
    <row r="130">
      <c r="A130" s="26">
        <f>IFERROR(__xludf.DUMMYFUNCTION("""COMPUTED_VALUE"""),45245.0)</f>
        <v>45245</v>
      </c>
      <c r="B130" s="27">
        <f>IFERROR(__xludf.DUMMYFUNCTION("""COMPUTED_VALUE"""),34.0)</f>
        <v>34</v>
      </c>
      <c r="C130" s="28">
        <f>IFERROR(__xludf.DUMMYFUNCTION("""COMPUTED_VALUE"""),114.0)</f>
        <v>114</v>
      </c>
      <c r="D130" s="28">
        <f>IFERROR(__xludf.DUMMYFUNCTION("""COMPUTED_VALUE"""),3.0)</f>
        <v>3</v>
      </c>
      <c r="E130" s="28">
        <f>IFERROR(__xludf.DUMMYFUNCTION("""COMPUTED_VALUE"""),1894.0)</f>
        <v>1894</v>
      </c>
      <c r="F130" s="28">
        <f>IFERROR(__xludf.DUMMYFUNCTION("""COMPUTED_VALUE"""),56.0)</f>
        <v>56</v>
      </c>
      <c r="G130" s="28">
        <f>IFERROR(__xludf.DUMMYFUNCTION("""COMPUTED_VALUE"""),25.0)</f>
        <v>25</v>
      </c>
      <c r="H130" s="28">
        <f>IFERROR(__xludf.DUMMYFUNCTION("""COMPUTED_VALUE"""),3.0)</f>
        <v>3</v>
      </c>
      <c r="I130" s="28">
        <f>IFERROR(__xludf.DUMMYFUNCTION("""COMPUTED_VALUE"""),6.0)</f>
        <v>6</v>
      </c>
      <c r="J130" s="28">
        <f>IFERROR(__xludf.DUMMYFUNCTION("""COMPUTED_VALUE"""),7.0)</f>
        <v>7</v>
      </c>
      <c r="K130" s="28">
        <f>IFERROR(__xludf.DUMMYFUNCTION("""COMPUTED_VALUE"""),26.0)</f>
        <v>26</v>
      </c>
      <c r="L130" s="28">
        <f>IFERROR(__xludf.DUMMYFUNCTION("""COMPUTED_VALUE"""),11.0)</f>
        <v>11</v>
      </c>
      <c r="M130" s="28">
        <f>IFERROR(__xludf.DUMMYFUNCTION("""COMPUTED_VALUE"""),0.0)</f>
        <v>0</v>
      </c>
      <c r="N130" s="28">
        <f>IFERROR(__xludf.DUMMYFUNCTION("""COMPUTED_VALUE"""),24.0)</f>
        <v>24</v>
      </c>
    </row>
    <row r="131">
      <c r="A131" s="26">
        <f>IFERROR(__xludf.DUMMYFUNCTION("""COMPUTED_VALUE"""),45246.0)</f>
        <v>45246</v>
      </c>
      <c r="B131" s="27">
        <f>IFERROR(__xludf.DUMMYFUNCTION("""COMPUTED_VALUE"""),51.0)</f>
        <v>51</v>
      </c>
      <c r="C131" s="28">
        <f>IFERROR(__xludf.DUMMYFUNCTION("""COMPUTED_VALUE"""),205.0)</f>
        <v>205</v>
      </c>
      <c r="D131" s="28">
        <f>IFERROR(__xludf.DUMMYFUNCTION("""COMPUTED_VALUE"""),4.0)</f>
        <v>4</v>
      </c>
      <c r="E131" s="28">
        <f>IFERROR(__xludf.DUMMYFUNCTION("""COMPUTED_VALUE"""),3211.0)</f>
        <v>3211</v>
      </c>
      <c r="F131" s="28">
        <f>IFERROR(__xludf.DUMMYFUNCTION("""COMPUTED_VALUE"""),63.0)</f>
        <v>63</v>
      </c>
      <c r="G131" s="28">
        <f>IFERROR(__xludf.DUMMYFUNCTION("""COMPUTED_VALUE"""),35.0)</f>
        <v>35</v>
      </c>
      <c r="H131" s="28">
        <f>IFERROR(__xludf.DUMMYFUNCTION("""COMPUTED_VALUE"""),1.0)</f>
        <v>1</v>
      </c>
      <c r="I131" s="28">
        <f>IFERROR(__xludf.DUMMYFUNCTION("""COMPUTED_VALUE"""),14.0)</f>
        <v>14</v>
      </c>
      <c r="J131" s="28">
        <f>IFERROR(__xludf.DUMMYFUNCTION("""COMPUTED_VALUE"""),21.0)</f>
        <v>21</v>
      </c>
      <c r="K131" s="28">
        <f>IFERROR(__xludf.DUMMYFUNCTION("""COMPUTED_VALUE"""),31.0)</f>
        <v>31</v>
      </c>
      <c r="L131" s="28">
        <f>IFERROR(__xludf.DUMMYFUNCTION("""COMPUTED_VALUE"""),24.0)</f>
        <v>24</v>
      </c>
      <c r="M131" s="28">
        <f>IFERROR(__xludf.DUMMYFUNCTION("""COMPUTED_VALUE"""),2.0)</f>
        <v>2</v>
      </c>
      <c r="N131" s="28">
        <f>IFERROR(__xludf.DUMMYFUNCTION("""COMPUTED_VALUE"""),27.0)</f>
        <v>27</v>
      </c>
    </row>
    <row r="132">
      <c r="A132" s="26">
        <f>IFERROR(__xludf.DUMMYFUNCTION("""COMPUTED_VALUE"""),45247.0)</f>
        <v>45247</v>
      </c>
      <c r="B132" s="27">
        <f>IFERROR(__xludf.DUMMYFUNCTION("""COMPUTED_VALUE"""),44.0)</f>
        <v>44</v>
      </c>
      <c r="C132" s="28">
        <f>IFERROR(__xludf.DUMMYFUNCTION("""COMPUTED_VALUE"""),175.0)</f>
        <v>175</v>
      </c>
      <c r="D132" s="28">
        <f>IFERROR(__xludf.DUMMYFUNCTION("""COMPUTED_VALUE"""),4.0)</f>
        <v>4</v>
      </c>
      <c r="E132" s="28">
        <f>IFERROR(__xludf.DUMMYFUNCTION("""COMPUTED_VALUE"""),2887.0)</f>
        <v>2887</v>
      </c>
      <c r="F132" s="28">
        <f>IFERROR(__xludf.DUMMYFUNCTION("""COMPUTED_VALUE"""),66.0)</f>
        <v>66</v>
      </c>
      <c r="G132" s="28">
        <f>IFERROR(__xludf.DUMMYFUNCTION("""COMPUTED_VALUE"""),37.0)</f>
        <v>37</v>
      </c>
      <c r="H132" s="28">
        <f>IFERROR(__xludf.DUMMYFUNCTION("""COMPUTED_VALUE"""),0.0)</f>
        <v>0</v>
      </c>
      <c r="I132" s="28">
        <f>IFERROR(__xludf.DUMMYFUNCTION("""COMPUTED_VALUE"""),7.0)</f>
        <v>7</v>
      </c>
      <c r="J132" s="28">
        <f>IFERROR(__xludf.DUMMYFUNCTION("""COMPUTED_VALUE"""),17.0)</f>
        <v>17</v>
      </c>
      <c r="K132" s="28">
        <f>IFERROR(__xludf.DUMMYFUNCTION("""COMPUTED_VALUE"""),35.0)</f>
        <v>35</v>
      </c>
      <c r="L132" s="28">
        <f>IFERROR(__xludf.DUMMYFUNCTION("""COMPUTED_VALUE"""),19.0)</f>
        <v>19</v>
      </c>
      <c r="M132" s="28">
        <f>IFERROR(__xludf.DUMMYFUNCTION("""COMPUTED_VALUE"""),0.0)</f>
        <v>0</v>
      </c>
      <c r="N132" s="28">
        <f>IFERROR(__xludf.DUMMYFUNCTION("""COMPUTED_VALUE"""),35.0)</f>
        <v>35</v>
      </c>
    </row>
    <row r="133">
      <c r="A133" s="26">
        <f>IFERROR(__xludf.DUMMYFUNCTION("""COMPUTED_VALUE"""),45248.0)</f>
        <v>45248</v>
      </c>
      <c r="B133" s="27">
        <f>IFERROR(__xludf.DUMMYFUNCTION("""COMPUTED_VALUE"""),31.0)</f>
        <v>31</v>
      </c>
      <c r="C133" s="28">
        <f>IFERROR(__xludf.DUMMYFUNCTION("""COMPUTED_VALUE"""),105.0)</f>
        <v>105</v>
      </c>
      <c r="D133" s="28">
        <f>IFERROR(__xludf.DUMMYFUNCTION("""COMPUTED_VALUE"""),3.0)</f>
        <v>3</v>
      </c>
      <c r="E133" s="28">
        <f>IFERROR(__xludf.DUMMYFUNCTION("""COMPUTED_VALUE"""),1835.0)</f>
        <v>1835</v>
      </c>
      <c r="F133" s="28">
        <f>IFERROR(__xludf.DUMMYFUNCTION("""COMPUTED_VALUE"""),59.0)</f>
        <v>59</v>
      </c>
      <c r="G133" s="28">
        <f>IFERROR(__xludf.DUMMYFUNCTION("""COMPUTED_VALUE"""),23.0)</f>
        <v>23</v>
      </c>
      <c r="H133" s="28">
        <f>IFERROR(__xludf.DUMMYFUNCTION("""COMPUTED_VALUE"""),3.0)</f>
        <v>3</v>
      </c>
      <c r="I133" s="28">
        <f>IFERROR(__xludf.DUMMYFUNCTION("""COMPUTED_VALUE"""),4.0)</f>
        <v>4</v>
      </c>
      <c r="J133" s="28">
        <f>IFERROR(__xludf.DUMMYFUNCTION("""COMPUTED_VALUE"""),12.0)</f>
        <v>12</v>
      </c>
      <c r="K133" s="28">
        <f>IFERROR(__xludf.DUMMYFUNCTION("""COMPUTED_VALUE"""),18.0)</f>
        <v>18</v>
      </c>
      <c r="L133" s="28">
        <f>IFERROR(__xludf.DUMMYFUNCTION("""COMPUTED_VALUE"""),10.0)</f>
        <v>10</v>
      </c>
      <c r="M133" s="28">
        <f>IFERROR(__xludf.DUMMYFUNCTION("""COMPUTED_VALUE"""),1.0)</f>
        <v>1</v>
      </c>
      <c r="N133" s="28">
        <f>IFERROR(__xludf.DUMMYFUNCTION("""COMPUTED_VALUE"""),17.0)</f>
        <v>17</v>
      </c>
    </row>
    <row r="134">
      <c r="A134" s="26">
        <f>IFERROR(__xludf.DUMMYFUNCTION("""COMPUTED_VALUE"""),45249.0)</f>
        <v>45249</v>
      </c>
      <c r="B134" s="27">
        <f>IFERROR(__xludf.DUMMYFUNCTION("""COMPUTED_VALUE"""),0.0)</f>
        <v>0</v>
      </c>
      <c r="C134" s="28">
        <f>IFERROR(__xludf.DUMMYFUNCTION("""COMPUTED_VALUE"""),0.0)</f>
        <v>0</v>
      </c>
      <c r="D134" s="28">
        <f>IFERROR(__xludf.DUMMYFUNCTION("""COMPUTED_VALUE"""),0.0)</f>
        <v>0</v>
      </c>
      <c r="E134" s="28">
        <f>IFERROR(__xludf.DUMMYFUNCTION("""COMPUTED_VALUE"""),0.0)</f>
        <v>0</v>
      </c>
      <c r="F134" s="28">
        <f>IFERROR(__xludf.DUMMYFUNCTION("""COMPUTED_VALUE"""),0.0)</f>
        <v>0</v>
      </c>
      <c r="G134" s="28">
        <f>IFERROR(__xludf.DUMMYFUNCTION("""COMPUTED_VALUE"""),0.0)</f>
        <v>0</v>
      </c>
      <c r="H134" s="28">
        <f>IFERROR(__xludf.DUMMYFUNCTION("""COMPUTED_VALUE"""),0.0)</f>
        <v>0</v>
      </c>
      <c r="I134" s="28">
        <f>IFERROR(__xludf.DUMMYFUNCTION("""COMPUTED_VALUE"""),0.0)</f>
        <v>0</v>
      </c>
      <c r="J134" s="28">
        <f>IFERROR(__xludf.DUMMYFUNCTION("""COMPUTED_VALUE"""),0.0)</f>
        <v>0</v>
      </c>
      <c r="K134" s="28">
        <f>IFERROR(__xludf.DUMMYFUNCTION("""COMPUTED_VALUE"""),0.0)</f>
        <v>0</v>
      </c>
      <c r="L134" s="28">
        <f>IFERROR(__xludf.DUMMYFUNCTION("""COMPUTED_VALUE"""),0.0)</f>
        <v>0</v>
      </c>
      <c r="M134" s="28">
        <f>IFERROR(__xludf.DUMMYFUNCTION("""COMPUTED_VALUE"""),0.0)</f>
        <v>0</v>
      </c>
      <c r="N134" s="28">
        <f>IFERROR(__xludf.DUMMYFUNCTION("""COMPUTED_VALUE"""),0.0)</f>
        <v>0</v>
      </c>
    </row>
    <row r="135">
      <c r="A135" s="26">
        <f>IFERROR(__xludf.DUMMYFUNCTION("""COMPUTED_VALUE"""),45250.0)</f>
        <v>45250</v>
      </c>
      <c r="B135" s="27">
        <f>IFERROR(__xludf.DUMMYFUNCTION("""COMPUTED_VALUE"""),63.0)</f>
        <v>63</v>
      </c>
      <c r="C135" s="28">
        <f>IFERROR(__xludf.DUMMYFUNCTION("""COMPUTED_VALUE"""),270.0)</f>
        <v>270</v>
      </c>
      <c r="D135" s="28">
        <f>IFERROR(__xludf.DUMMYFUNCTION("""COMPUTED_VALUE"""),4.0)</f>
        <v>4</v>
      </c>
      <c r="E135" s="28">
        <f>IFERROR(__xludf.DUMMYFUNCTION("""COMPUTED_VALUE"""),4927.0)</f>
        <v>4927</v>
      </c>
      <c r="F135" s="28">
        <f>IFERROR(__xludf.DUMMYFUNCTION("""COMPUTED_VALUE"""),78.0)</f>
        <v>78</v>
      </c>
      <c r="G135" s="28">
        <f>IFERROR(__xludf.DUMMYFUNCTION("""COMPUTED_VALUE"""),45.0)</f>
        <v>45</v>
      </c>
      <c r="H135" s="28">
        <f>IFERROR(__xludf.DUMMYFUNCTION("""COMPUTED_VALUE"""),8.0)</f>
        <v>8</v>
      </c>
      <c r="I135" s="28">
        <f>IFERROR(__xludf.DUMMYFUNCTION("""COMPUTED_VALUE"""),9.0)</f>
        <v>9</v>
      </c>
      <c r="J135" s="28">
        <f>IFERROR(__xludf.DUMMYFUNCTION("""COMPUTED_VALUE"""),44.0)</f>
        <v>44</v>
      </c>
      <c r="K135" s="28">
        <f>IFERROR(__xludf.DUMMYFUNCTION("""COMPUTED_VALUE"""),42.0)</f>
        <v>42</v>
      </c>
      <c r="L135" s="28">
        <f>IFERROR(__xludf.DUMMYFUNCTION("""COMPUTED_VALUE"""),40.0)</f>
        <v>40</v>
      </c>
      <c r="M135" s="28">
        <f>IFERROR(__xludf.DUMMYFUNCTION("""COMPUTED_VALUE"""),3.0)</f>
        <v>3</v>
      </c>
      <c r="N135" s="28">
        <f>IFERROR(__xludf.DUMMYFUNCTION("""COMPUTED_VALUE"""),36.0)</f>
        <v>36</v>
      </c>
    </row>
    <row r="136">
      <c r="A136" s="26">
        <f>IFERROR(__xludf.DUMMYFUNCTION("""COMPUTED_VALUE"""),45251.0)</f>
        <v>45251</v>
      </c>
      <c r="B136" s="27">
        <f>IFERROR(__xludf.DUMMYFUNCTION("""COMPUTED_VALUE"""),63.0)</f>
        <v>63</v>
      </c>
      <c r="C136" s="28">
        <f>IFERROR(__xludf.DUMMYFUNCTION("""COMPUTED_VALUE"""),245.0)</f>
        <v>245</v>
      </c>
      <c r="D136" s="28">
        <f>IFERROR(__xludf.DUMMYFUNCTION("""COMPUTED_VALUE"""),4.0)</f>
        <v>4</v>
      </c>
      <c r="E136" s="28">
        <f>IFERROR(__xludf.DUMMYFUNCTION("""COMPUTED_VALUE"""),4657.0)</f>
        <v>4657</v>
      </c>
      <c r="F136" s="28">
        <f>IFERROR(__xludf.DUMMYFUNCTION("""COMPUTED_VALUE"""),74.0)</f>
        <v>74</v>
      </c>
      <c r="G136" s="28">
        <f>IFERROR(__xludf.DUMMYFUNCTION("""COMPUTED_VALUE"""),55.0)</f>
        <v>55</v>
      </c>
      <c r="H136" s="28">
        <f>IFERROR(__xludf.DUMMYFUNCTION("""COMPUTED_VALUE"""),0.0)</f>
        <v>0</v>
      </c>
      <c r="I136" s="28">
        <f>IFERROR(__xludf.DUMMYFUNCTION("""COMPUTED_VALUE"""),8.0)</f>
        <v>8</v>
      </c>
      <c r="J136" s="28">
        <f>IFERROR(__xludf.DUMMYFUNCTION("""COMPUTED_VALUE"""),44.0)</f>
        <v>44</v>
      </c>
      <c r="K136" s="28">
        <f>IFERROR(__xludf.DUMMYFUNCTION("""COMPUTED_VALUE"""),44.0)</f>
        <v>44</v>
      </c>
      <c r="L136" s="28">
        <f>IFERROR(__xludf.DUMMYFUNCTION("""COMPUTED_VALUE"""),20.0)</f>
        <v>20</v>
      </c>
      <c r="M136" s="28">
        <f>IFERROR(__xludf.DUMMYFUNCTION("""COMPUTED_VALUE"""),5.0)</f>
        <v>5</v>
      </c>
      <c r="N136" s="28">
        <f>IFERROR(__xludf.DUMMYFUNCTION("""COMPUTED_VALUE"""),32.0)</f>
        <v>32</v>
      </c>
    </row>
    <row r="137">
      <c r="A137" s="26">
        <f>IFERROR(__xludf.DUMMYFUNCTION("""COMPUTED_VALUE"""),45252.0)</f>
        <v>45252</v>
      </c>
      <c r="B137" s="27">
        <f>IFERROR(__xludf.DUMMYFUNCTION("""COMPUTED_VALUE"""),70.0)</f>
        <v>70</v>
      </c>
      <c r="C137" s="28">
        <f>IFERROR(__xludf.DUMMYFUNCTION("""COMPUTED_VALUE"""),282.0)</f>
        <v>282</v>
      </c>
      <c r="D137" s="28">
        <f>IFERROR(__xludf.DUMMYFUNCTION("""COMPUTED_VALUE"""),4.0)</f>
        <v>4</v>
      </c>
      <c r="E137" s="28">
        <f>IFERROR(__xludf.DUMMYFUNCTION("""COMPUTED_VALUE"""),5439.0)</f>
        <v>5439</v>
      </c>
      <c r="F137" s="28">
        <f>IFERROR(__xludf.DUMMYFUNCTION("""COMPUTED_VALUE"""),78.0)</f>
        <v>78</v>
      </c>
      <c r="G137" s="28">
        <f>IFERROR(__xludf.DUMMYFUNCTION("""COMPUTED_VALUE"""),52.0)</f>
        <v>52</v>
      </c>
      <c r="H137" s="28">
        <f>IFERROR(__xludf.DUMMYFUNCTION("""COMPUTED_VALUE"""),3.0)</f>
        <v>3</v>
      </c>
      <c r="I137" s="28">
        <f>IFERROR(__xludf.DUMMYFUNCTION("""COMPUTED_VALUE"""),15.0)</f>
        <v>15</v>
      </c>
      <c r="J137" s="28">
        <f>IFERROR(__xludf.DUMMYFUNCTION("""COMPUTED_VALUE"""),36.0)</f>
        <v>36</v>
      </c>
      <c r="K137" s="28">
        <f>IFERROR(__xludf.DUMMYFUNCTION("""COMPUTED_VALUE"""),54.0)</f>
        <v>54</v>
      </c>
      <c r="L137" s="28">
        <f>IFERROR(__xludf.DUMMYFUNCTION("""COMPUTED_VALUE"""),46.0)</f>
        <v>46</v>
      </c>
      <c r="M137" s="28">
        <f>IFERROR(__xludf.DUMMYFUNCTION("""COMPUTED_VALUE"""),5.0)</f>
        <v>5</v>
      </c>
      <c r="N137" s="28">
        <f>IFERROR(__xludf.DUMMYFUNCTION("""COMPUTED_VALUE"""),43.0)</f>
        <v>43</v>
      </c>
    </row>
    <row r="138">
      <c r="A138" s="26">
        <f>IFERROR(__xludf.DUMMYFUNCTION("""COMPUTED_VALUE"""),45253.0)</f>
        <v>45253</v>
      </c>
      <c r="B138" s="27">
        <f>IFERROR(__xludf.DUMMYFUNCTION("""COMPUTED_VALUE"""),76.0)</f>
        <v>76</v>
      </c>
      <c r="C138" s="28">
        <f>IFERROR(__xludf.DUMMYFUNCTION("""COMPUTED_VALUE"""),300.0)</f>
        <v>300</v>
      </c>
      <c r="D138" s="28">
        <f>IFERROR(__xludf.DUMMYFUNCTION("""COMPUTED_VALUE"""),4.0)</f>
        <v>4</v>
      </c>
      <c r="E138" s="28">
        <f>IFERROR(__xludf.DUMMYFUNCTION("""COMPUTED_VALUE"""),5416.0)</f>
        <v>5416</v>
      </c>
      <c r="F138" s="28">
        <f>IFERROR(__xludf.DUMMYFUNCTION("""COMPUTED_VALUE"""),71.0)</f>
        <v>71</v>
      </c>
      <c r="G138" s="28">
        <f>IFERROR(__xludf.DUMMYFUNCTION("""COMPUTED_VALUE"""),57.0)</f>
        <v>57</v>
      </c>
      <c r="H138" s="28">
        <f>IFERROR(__xludf.DUMMYFUNCTION("""COMPUTED_VALUE"""),4.0)</f>
        <v>4</v>
      </c>
      <c r="I138" s="28">
        <f>IFERROR(__xludf.DUMMYFUNCTION("""COMPUTED_VALUE"""),14.0)</f>
        <v>14</v>
      </c>
      <c r="J138" s="28">
        <f>IFERROR(__xludf.DUMMYFUNCTION("""COMPUTED_VALUE"""),53.0)</f>
        <v>53</v>
      </c>
      <c r="K138" s="28">
        <f>IFERROR(__xludf.DUMMYFUNCTION("""COMPUTED_VALUE"""),49.0)</f>
        <v>49</v>
      </c>
      <c r="L138" s="28">
        <f>IFERROR(__xludf.DUMMYFUNCTION("""COMPUTED_VALUE"""),29.0)</f>
        <v>29</v>
      </c>
      <c r="M138" s="28">
        <f>IFERROR(__xludf.DUMMYFUNCTION("""COMPUTED_VALUE"""),5.0)</f>
        <v>5</v>
      </c>
      <c r="N138" s="28">
        <f>IFERROR(__xludf.DUMMYFUNCTION("""COMPUTED_VALUE"""),40.0)</f>
        <v>40</v>
      </c>
    </row>
    <row r="139">
      <c r="A139" s="26">
        <f>IFERROR(__xludf.DUMMYFUNCTION("""COMPUTED_VALUE"""),45254.0)</f>
        <v>45254</v>
      </c>
      <c r="B139" s="27">
        <f>IFERROR(__xludf.DUMMYFUNCTION("""COMPUTED_VALUE"""),57.0)</f>
        <v>57</v>
      </c>
      <c r="C139" s="28">
        <f>IFERROR(__xludf.DUMMYFUNCTION("""COMPUTED_VALUE"""),222.0)</f>
        <v>222</v>
      </c>
      <c r="D139" s="28">
        <f>IFERROR(__xludf.DUMMYFUNCTION("""COMPUTED_VALUE"""),4.0)</f>
        <v>4</v>
      </c>
      <c r="E139" s="28">
        <f>IFERROR(__xludf.DUMMYFUNCTION("""COMPUTED_VALUE"""),4100.0)</f>
        <v>4100</v>
      </c>
      <c r="F139" s="28">
        <f>IFERROR(__xludf.DUMMYFUNCTION("""COMPUTED_VALUE"""),72.0)</f>
        <v>72</v>
      </c>
      <c r="G139" s="28">
        <f>IFERROR(__xludf.DUMMYFUNCTION("""COMPUTED_VALUE"""),46.0)</f>
        <v>46</v>
      </c>
      <c r="H139" s="28">
        <f>IFERROR(__xludf.DUMMYFUNCTION("""COMPUTED_VALUE"""),0.0)</f>
        <v>0</v>
      </c>
      <c r="I139" s="28">
        <f>IFERROR(__xludf.DUMMYFUNCTION("""COMPUTED_VALUE"""),11.0)</f>
        <v>11</v>
      </c>
      <c r="J139" s="28">
        <f>IFERROR(__xludf.DUMMYFUNCTION("""COMPUTED_VALUE"""),30.0)</f>
        <v>30</v>
      </c>
      <c r="K139" s="28">
        <f>IFERROR(__xludf.DUMMYFUNCTION("""COMPUTED_VALUE"""),41.0)</f>
        <v>41</v>
      </c>
      <c r="L139" s="28">
        <f>IFERROR(__xludf.DUMMYFUNCTION("""COMPUTED_VALUE"""),25.0)</f>
        <v>25</v>
      </c>
      <c r="M139" s="28">
        <f>IFERROR(__xludf.DUMMYFUNCTION("""COMPUTED_VALUE"""),4.0)</f>
        <v>4</v>
      </c>
      <c r="N139" s="28">
        <f>IFERROR(__xludf.DUMMYFUNCTION("""COMPUTED_VALUE"""),32.0)</f>
        <v>32</v>
      </c>
    </row>
    <row r="140">
      <c r="A140" s="26">
        <f>IFERROR(__xludf.DUMMYFUNCTION("""COMPUTED_VALUE"""),45255.0)</f>
        <v>45255</v>
      </c>
      <c r="B140" s="27">
        <f>IFERROR(__xludf.DUMMYFUNCTION("""COMPUTED_VALUE"""),46.0)</f>
        <v>46</v>
      </c>
      <c r="C140" s="28">
        <f>IFERROR(__xludf.DUMMYFUNCTION("""COMPUTED_VALUE"""),204.0)</f>
        <v>204</v>
      </c>
      <c r="D140" s="28">
        <f>IFERROR(__xludf.DUMMYFUNCTION("""COMPUTED_VALUE"""),4.0)</f>
        <v>4</v>
      </c>
      <c r="E140" s="28">
        <f>IFERROR(__xludf.DUMMYFUNCTION("""COMPUTED_VALUE"""),3280.0)</f>
        <v>3280</v>
      </c>
      <c r="F140" s="28">
        <f>IFERROR(__xludf.DUMMYFUNCTION("""COMPUTED_VALUE"""),71.0)</f>
        <v>71</v>
      </c>
      <c r="G140" s="28">
        <f>IFERROR(__xludf.DUMMYFUNCTION("""COMPUTED_VALUE"""),34.0)</f>
        <v>34</v>
      </c>
      <c r="H140" s="28">
        <f>IFERROR(__xludf.DUMMYFUNCTION("""COMPUTED_VALUE"""),0.0)</f>
        <v>0</v>
      </c>
      <c r="I140" s="28">
        <f>IFERROR(__xludf.DUMMYFUNCTION("""COMPUTED_VALUE"""),12.0)</f>
        <v>12</v>
      </c>
      <c r="J140" s="28">
        <f>IFERROR(__xludf.DUMMYFUNCTION("""COMPUTED_VALUE"""),32.0)</f>
        <v>32</v>
      </c>
      <c r="K140" s="28">
        <f>IFERROR(__xludf.DUMMYFUNCTION("""COMPUTED_VALUE"""),33.0)</f>
        <v>33</v>
      </c>
      <c r="L140" s="28">
        <f>IFERROR(__xludf.DUMMYFUNCTION("""COMPUTED_VALUE"""),17.0)</f>
        <v>17</v>
      </c>
      <c r="M140" s="28">
        <f>IFERROR(__xludf.DUMMYFUNCTION("""COMPUTED_VALUE"""),3.0)</f>
        <v>3</v>
      </c>
      <c r="N140" s="28">
        <f>IFERROR(__xludf.DUMMYFUNCTION("""COMPUTED_VALUE"""),27.0)</f>
        <v>27</v>
      </c>
    </row>
    <row r="141">
      <c r="A141" s="26">
        <f>IFERROR(__xludf.DUMMYFUNCTION("""COMPUTED_VALUE"""),45256.0)</f>
        <v>45256</v>
      </c>
      <c r="B141" s="27">
        <f>IFERROR(__xludf.DUMMYFUNCTION("""COMPUTED_VALUE"""),0.0)</f>
        <v>0</v>
      </c>
      <c r="C141" s="28">
        <f>IFERROR(__xludf.DUMMYFUNCTION("""COMPUTED_VALUE"""),0.0)</f>
        <v>0</v>
      </c>
      <c r="D141" s="28">
        <f>IFERROR(__xludf.DUMMYFUNCTION("""COMPUTED_VALUE"""),0.0)</f>
        <v>0</v>
      </c>
      <c r="E141" s="28">
        <f>IFERROR(__xludf.DUMMYFUNCTION("""COMPUTED_VALUE"""),0.0)</f>
        <v>0</v>
      </c>
      <c r="F141" s="28">
        <f>IFERROR(__xludf.DUMMYFUNCTION("""COMPUTED_VALUE"""),0.0)</f>
        <v>0</v>
      </c>
      <c r="G141" s="28">
        <f>IFERROR(__xludf.DUMMYFUNCTION("""COMPUTED_VALUE"""),0.0)</f>
        <v>0</v>
      </c>
      <c r="H141" s="28">
        <f>IFERROR(__xludf.DUMMYFUNCTION("""COMPUTED_VALUE"""),0.0)</f>
        <v>0</v>
      </c>
      <c r="I141" s="28">
        <f>IFERROR(__xludf.DUMMYFUNCTION("""COMPUTED_VALUE"""),0.0)</f>
        <v>0</v>
      </c>
      <c r="J141" s="28">
        <f>IFERROR(__xludf.DUMMYFUNCTION("""COMPUTED_VALUE"""),0.0)</f>
        <v>0</v>
      </c>
      <c r="K141" s="28">
        <f>IFERROR(__xludf.DUMMYFUNCTION("""COMPUTED_VALUE"""),0.0)</f>
        <v>0</v>
      </c>
      <c r="L141" s="28">
        <f>IFERROR(__xludf.DUMMYFUNCTION("""COMPUTED_VALUE"""),0.0)</f>
        <v>0</v>
      </c>
      <c r="M141" s="28">
        <f>IFERROR(__xludf.DUMMYFUNCTION("""COMPUTED_VALUE"""),0.0)</f>
        <v>0</v>
      </c>
      <c r="N141" s="28">
        <f>IFERROR(__xludf.DUMMYFUNCTION("""COMPUTED_VALUE"""),0.0)</f>
        <v>0</v>
      </c>
    </row>
    <row r="142">
      <c r="A142" s="26">
        <f>IFERROR(__xludf.DUMMYFUNCTION("""COMPUTED_VALUE"""),45257.0)</f>
        <v>45257</v>
      </c>
      <c r="B142" s="27">
        <f>IFERROR(__xludf.DUMMYFUNCTION("""COMPUTED_VALUE"""),79.0)</f>
        <v>79</v>
      </c>
      <c r="C142" s="28">
        <f>IFERROR(__xludf.DUMMYFUNCTION("""COMPUTED_VALUE"""),358.0)</f>
        <v>358</v>
      </c>
      <c r="D142" s="28">
        <f>IFERROR(__xludf.DUMMYFUNCTION("""COMPUTED_VALUE"""),5.0)</f>
        <v>5</v>
      </c>
      <c r="E142" s="28">
        <f>IFERROR(__xludf.DUMMYFUNCTION("""COMPUTED_VALUE"""),7198.0)</f>
        <v>7198</v>
      </c>
      <c r="F142" s="28">
        <f>IFERROR(__xludf.DUMMYFUNCTION("""COMPUTED_VALUE"""),91.0)</f>
        <v>91</v>
      </c>
      <c r="G142" s="28">
        <f>IFERROR(__xludf.DUMMYFUNCTION("""COMPUTED_VALUE"""),42.0)</f>
        <v>42</v>
      </c>
      <c r="H142" s="28">
        <f>IFERROR(__xludf.DUMMYFUNCTION("""COMPUTED_VALUE"""),3.0)</f>
        <v>3</v>
      </c>
      <c r="I142" s="28">
        <f>IFERROR(__xludf.DUMMYFUNCTION("""COMPUTED_VALUE"""),34.0)</f>
        <v>34</v>
      </c>
      <c r="J142" s="28">
        <f>IFERROR(__xludf.DUMMYFUNCTION("""COMPUTED_VALUE"""),93.0)</f>
        <v>93</v>
      </c>
      <c r="K142" s="28">
        <f>IFERROR(__xludf.DUMMYFUNCTION("""COMPUTED_VALUE"""),61.0)</f>
        <v>61</v>
      </c>
      <c r="L142" s="28">
        <f>IFERROR(__xludf.DUMMYFUNCTION("""COMPUTED_VALUE"""),22.0)</f>
        <v>22</v>
      </c>
      <c r="M142" s="28">
        <f>IFERROR(__xludf.DUMMYFUNCTION("""COMPUTED_VALUE"""),9.0)</f>
        <v>9</v>
      </c>
      <c r="N142" s="28">
        <f>IFERROR(__xludf.DUMMYFUNCTION("""COMPUTED_VALUE"""),48.0)</f>
        <v>48</v>
      </c>
    </row>
    <row r="143">
      <c r="A143" s="26">
        <f>IFERROR(__xludf.DUMMYFUNCTION("""COMPUTED_VALUE"""),45258.0)</f>
        <v>45258</v>
      </c>
      <c r="B143" s="27">
        <f>IFERROR(__xludf.DUMMYFUNCTION("""COMPUTED_VALUE"""),95.0)</f>
        <v>95</v>
      </c>
      <c r="C143" s="28">
        <f>IFERROR(__xludf.DUMMYFUNCTION("""COMPUTED_VALUE"""),376.0)</f>
        <v>376</v>
      </c>
      <c r="D143" s="28">
        <f>IFERROR(__xludf.DUMMYFUNCTION("""COMPUTED_VALUE"""),4.0)</f>
        <v>4</v>
      </c>
      <c r="E143" s="28">
        <f>IFERROR(__xludf.DUMMYFUNCTION("""COMPUTED_VALUE"""),6522.0)</f>
        <v>6522</v>
      </c>
      <c r="F143" s="28">
        <f>IFERROR(__xludf.DUMMYFUNCTION("""COMPUTED_VALUE"""),69.0)</f>
        <v>69</v>
      </c>
      <c r="G143" s="28">
        <f>IFERROR(__xludf.DUMMYFUNCTION("""COMPUTED_VALUE"""),62.0)</f>
        <v>62</v>
      </c>
      <c r="H143" s="28">
        <f>IFERROR(__xludf.DUMMYFUNCTION("""COMPUTED_VALUE"""),4.0)</f>
        <v>4</v>
      </c>
      <c r="I143" s="28">
        <f>IFERROR(__xludf.DUMMYFUNCTION("""COMPUTED_VALUE"""),29.0)</f>
        <v>29</v>
      </c>
      <c r="J143" s="28">
        <f>IFERROR(__xludf.DUMMYFUNCTION("""COMPUTED_VALUE"""),56.0)</f>
        <v>56</v>
      </c>
      <c r="K143" s="28">
        <f>IFERROR(__xludf.DUMMYFUNCTION("""COMPUTED_VALUE"""),74.0)</f>
        <v>74</v>
      </c>
      <c r="L143" s="28">
        <f>IFERROR(__xludf.DUMMYFUNCTION("""COMPUTED_VALUE"""),28.0)</f>
        <v>28</v>
      </c>
      <c r="M143" s="28">
        <f>IFERROR(__xludf.DUMMYFUNCTION("""COMPUTED_VALUE"""),12.0)</f>
        <v>12</v>
      </c>
      <c r="N143" s="28">
        <f>IFERROR(__xludf.DUMMYFUNCTION("""COMPUTED_VALUE"""),58.0)</f>
        <v>58</v>
      </c>
    </row>
    <row r="144">
      <c r="A144" s="26">
        <f>IFERROR(__xludf.DUMMYFUNCTION("""COMPUTED_VALUE"""),45259.0)</f>
        <v>45259</v>
      </c>
      <c r="B144" s="27">
        <f>IFERROR(__xludf.DUMMYFUNCTION("""COMPUTED_VALUE"""),176.0)</f>
        <v>176</v>
      </c>
      <c r="C144" s="28">
        <f>IFERROR(__xludf.DUMMYFUNCTION("""COMPUTED_VALUE"""),657.0)</f>
        <v>657</v>
      </c>
      <c r="D144" s="28">
        <f>IFERROR(__xludf.DUMMYFUNCTION("""COMPUTED_VALUE"""),4.0)</f>
        <v>4</v>
      </c>
      <c r="E144" s="28">
        <f>IFERROR(__xludf.DUMMYFUNCTION("""COMPUTED_VALUE"""),11803.0)</f>
        <v>11803</v>
      </c>
      <c r="F144" s="28">
        <f>IFERROR(__xludf.DUMMYFUNCTION("""COMPUTED_VALUE"""),67.0)</f>
        <v>67</v>
      </c>
      <c r="G144" s="28">
        <f>IFERROR(__xludf.DUMMYFUNCTION("""COMPUTED_VALUE"""),95.0)</f>
        <v>95</v>
      </c>
      <c r="H144" s="28">
        <f>IFERROR(__xludf.DUMMYFUNCTION("""COMPUTED_VALUE"""),11.0)</f>
        <v>11</v>
      </c>
      <c r="I144" s="28">
        <f>IFERROR(__xludf.DUMMYFUNCTION("""COMPUTED_VALUE"""),70.0)</f>
        <v>70</v>
      </c>
      <c r="J144" s="28">
        <f>IFERROR(__xludf.DUMMYFUNCTION("""COMPUTED_VALUE"""),100.0)</f>
        <v>100</v>
      </c>
      <c r="K144" s="28">
        <f>IFERROR(__xludf.DUMMYFUNCTION("""COMPUTED_VALUE"""),137.0)</f>
        <v>137</v>
      </c>
      <c r="L144" s="28">
        <f>IFERROR(__xludf.DUMMYFUNCTION("""COMPUTED_VALUE"""),38.0)</f>
        <v>38</v>
      </c>
      <c r="M144" s="28">
        <f>IFERROR(__xludf.DUMMYFUNCTION("""COMPUTED_VALUE"""),10.0)</f>
        <v>10</v>
      </c>
      <c r="N144" s="28">
        <f>IFERROR(__xludf.DUMMYFUNCTION("""COMPUTED_VALUE"""),111.0)</f>
        <v>111</v>
      </c>
    </row>
    <row r="145">
      <c r="A145" s="26">
        <f>IFERROR(__xludf.DUMMYFUNCTION("""COMPUTED_VALUE"""),45260.0)</f>
        <v>45260</v>
      </c>
      <c r="B145" s="27">
        <f>IFERROR(__xludf.DUMMYFUNCTION("""COMPUTED_VALUE"""),128.0)</f>
        <v>128</v>
      </c>
      <c r="C145" s="28">
        <f>IFERROR(__xludf.DUMMYFUNCTION("""COMPUTED_VALUE"""),500.0)</f>
        <v>500</v>
      </c>
      <c r="D145" s="28">
        <f>IFERROR(__xludf.DUMMYFUNCTION("""COMPUTED_VALUE"""),4.0)</f>
        <v>4</v>
      </c>
      <c r="E145" s="28">
        <f>IFERROR(__xludf.DUMMYFUNCTION("""COMPUTED_VALUE"""),8760.0)</f>
        <v>8760</v>
      </c>
      <c r="F145" s="28">
        <f>IFERROR(__xludf.DUMMYFUNCTION("""COMPUTED_VALUE"""),68.0)</f>
        <v>68</v>
      </c>
      <c r="G145" s="28">
        <f>IFERROR(__xludf.DUMMYFUNCTION("""COMPUTED_VALUE"""),76.0)</f>
        <v>76</v>
      </c>
      <c r="H145" s="28">
        <f>IFERROR(__xludf.DUMMYFUNCTION("""COMPUTED_VALUE"""),9.0)</f>
        <v>9</v>
      </c>
      <c r="I145" s="28">
        <f>IFERROR(__xludf.DUMMYFUNCTION("""COMPUTED_VALUE"""),43.0)</f>
        <v>43</v>
      </c>
      <c r="J145" s="28">
        <f>IFERROR(__xludf.DUMMYFUNCTION("""COMPUTED_VALUE"""),61.0)</f>
        <v>61</v>
      </c>
      <c r="K145" s="28">
        <f>IFERROR(__xludf.DUMMYFUNCTION("""COMPUTED_VALUE"""),94.0)</f>
        <v>94</v>
      </c>
      <c r="L145" s="28">
        <f>IFERROR(__xludf.DUMMYFUNCTION("""COMPUTED_VALUE"""),63.0)</f>
        <v>63</v>
      </c>
      <c r="M145" s="28">
        <f>IFERROR(__xludf.DUMMYFUNCTION("""COMPUTED_VALUE"""),7.0)</f>
        <v>7</v>
      </c>
      <c r="N145" s="28">
        <f>IFERROR(__xludf.DUMMYFUNCTION("""COMPUTED_VALUE"""),79.0)</f>
        <v>79</v>
      </c>
    </row>
    <row r="146">
      <c r="A146" s="26">
        <f>IFERROR(__xludf.DUMMYFUNCTION("""COMPUTED_VALUE"""),45261.0)</f>
        <v>45261</v>
      </c>
      <c r="B146" s="27">
        <f>IFERROR(__xludf.DUMMYFUNCTION("""COMPUTED_VALUE"""),66.0)</f>
        <v>66</v>
      </c>
      <c r="C146" s="28">
        <f>IFERROR(__xludf.DUMMYFUNCTION("""COMPUTED_VALUE"""),230.0)</f>
        <v>230</v>
      </c>
      <c r="D146" s="28">
        <f>IFERROR(__xludf.DUMMYFUNCTION("""COMPUTED_VALUE"""),3.0)</f>
        <v>3</v>
      </c>
      <c r="E146" s="28">
        <f>IFERROR(__xludf.DUMMYFUNCTION("""COMPUTED_VALUE"""),4000.0)</f>
        <v>4000</v>
      </c>
      <c r="F146" s="28">
        <f>IFERROR(__xludf.DUMMYFUNCTION("""COMPUTED_VALUE"""),61.0)</f>
        <v>61</v>
      </c>
      <c r="G146" s="28">
        <f>IFERROR(__xludf.DUMMYFUNCTION("""COMPUTED_VALUE"""),42.0)</f>
        <v>42</v>
      </c>
      <c r="H146" s="28">
        <f>IFERROR(__xludf.DUMMYFUNCTION("""COMPUTED_VALUE"""),0.0)</f>
        <v>0</v>
      </c>
      <c r="I146" s="28">
        <f>IFERROR(__xludf.DUMMYFUNCTION("""COMPUTED_VALUE"""),24.0)</f>
        <v>24</v>
      </c>
      <c r="J146" s="28">
        <f>IFERROR(__xludf.DUMMYFUNCTION("""COMPUTED_VALUE"""),21.0)</f>
        <v>21</v>
      </c>
      <c r="K146" s="28">
        <f>IFERROR(__xludf.DUMMYFUNCTION("""COMPUTED_VALUE"""),56.0)</f>
        <v>56</v>
      </c>
      <c r="L146" s="28">
        <f>IFERROR(__xludf.DUMMYFUNCTION("""COMPUTED_VALUE"""),13.0)</f>
        <v>13</v>
      </c>
      <c r="M146" s="28">
        <f>IFERROR(__xludf.DUMMYFUNCTION("""COMPUTED_VALUE"""),4.0)</f>
        <v>4</v>
      </c>
      <c r="N146" s="28">
        <f>IFERROR(__xludf.DUMMYFUNCTION("""COMPUTED_VALUE"""),48.0)</f>
        <v>48</v>
      </c>
    </row>
    <row r="147">
      <c r="A147" s="26">
        <f>IFERROR(__xludf.DUMMYFUNCTION("""COMPUTED_VALUE"""),45262.0)</f>
        <v>45262</v>
      </c>
      <c r="B147" s="27">
        <f>IFERROR(__xludf.DUMMYFUNCTION("""COMPUTED_VALUE"""),0.0)</f>
        <v>0</v>
      </c>
      <c r="C147" s="28">
        <f>IFERROR(__xludf.DUMMYFUNCTION("""COMPUTED_VALUE"""),0.0)</f>
        <v>0</v>
      </c>
      <c r="D147" s="28">
        <f>IFERROR(__xludf.DUMMYFUNCTION("""COMPUTED_VALUE"""),0.0)</f>
        <v>0</v>
      </c>
      <c r="E147" s="28">
        <f>IFERROR(__xludf.DUMMYFUNCTION("""COMPUTED_VALUE"""),0.0)</f>
        <v>0</v>
      </c>
      <c r="F147" s="28">
        <f>IFERROR(__xludf.DUMMYFUNCTION("""COMPUTED_VALUE"""),0.0)</f>
        <v>0</v>
      </c>
      <c r="G147" s="28">
        <f>IFERROR(__xludf.DUMMYFUNCTION("""COMPUTED_VALUE"""),0.0)</f>
        <v>0</v>
      </c>
      <c r="H147" s="28">
        <f>IFERROR(__xludf.DUMMYFUNCTION("""COMPUTED_VALUE"""),0.0)</f>
        <v>0</v>
      </c>
      <c r="I147" s="28">
        <f>IFERROR(__xludf.DUMMYFUNCTION("""COMPUTED_VALUE"""),0.0)</f>
        <v>0</v>
      </c>
      <c r="J147" s="28">
        <f>IFERROR(__xludf.DUMMYFUNCTION("""COMPUTED_VALUE"""),0.0)</f>
        <v>0</v>
      </c>
      <c r="K147" s="28">
        <f>IFERROR(__xludf.DUMMYFUNCTION("""COMPUTED_VALUE"""),0.0)</f>
        <v>0</v>
      </c>
      <c r="L147" s="28">
        <f>IFERROR(__xludf.DUMMYFUNCTION("""COMPUTED_VALUE"""),0.0)</f>
        <v>0</v>
      </c>
      <c r="M147" s="28">
        <f>IFERROR(__xludf.DUMMYFUNCTION("""COMPUTED_VALUE"""),0.0)</f>
        <v>0</v>
      </c>
      <c r="N147" s="28">
        <f>IFERROR(__xludf.DUMMYFUNCTION("""COMPUTED_VALUE"""),0.0)</f>
        <v>0</v>
      </c>
    </row>
    <row r="148">
      <c r="A148" s="26">
        <f>IFERROR(__xludf.DUMMYFUNCTION("""COMPUTED_VALUE"""),45263.0)</f>
        <v>45263</v>
      </c>
      <c r="B148" s="27">
        <f>IFERROR(__xludf.DUMMYFUNCTION("""COMPUTED_VALUE"""),0.0)</f>
        <v>0</v>
      </c>
      <c r="C148" s="28">
        <f>IFERROR(__xludf.DUMMYFUNCTION("""COMPUTED_VALUE"""),0.0)</f>
        <v>0</v>
      </c>
      <c r="D148" s="28">
        <f>IFERROR(__xludf.DUMMYFUNCTION("""COMPUTED_VALUE"""),0.0)</f>
        <v>0</v>
      </c>
      <c r="E148" s="28">
        <f>IFERROR(__xludf.DUMMYFUNCTION("""COMPUTED_VALUE"""),0.0)</f>
        <v>0</v>
      </c>
      <c r="F148" s="28">
        <f>IFERROR(__xludf.DUMMYFUNCTION("""COMPUTED_VALUE"""),0.0)</f>
        <v>0</v>
      </c>
      <c r="G148" s="28">
        <f>IFERROR(__xludf.DUMMYFUNCTION("""COMPUTED_VALUE"""),0.0)</f>
        <v>0</v>
      </c>
      <c r="H148" s="28">
        <f>IFERROR(__xludf.DUMMYFUNCTION("""COMPUTED_VALUE"""),0.0)</f>
        <v>0</v>
      </c>
      <c r="I148" s="28">
        <f>IFERROR(__xludf.DUMMYFUNCTION("""COMPUTED_VALUE"""),0.0)</f>
        <v>0</v>
      </c>
      <c r="J148" s="28">
        <f>IFERROR(__xludf.DUMMYFUNCTION("""COMPUTED_VALUE"""),0.0)</f>
        <v>0</v>
      </c>
      <c r="K148" s="28">
        <f>IFERROR(__xludf.DUMMYFUNCTION("""COMPUTED_VALUE"""),0.0)</f>
        <v>0</v>
      </c>
      <c r="L148" s="28">
        <f>IFERROR(__xludf.DUMMYFUNCTION("""COMPUTED_VALUE"""),0.0)</f>
        <v>0</v>
      </c>
      <c r="M148" s="28">
        <f>IFERROR(__xludf.DUMMYFUNCTION("""COMPUTED_VALUE"""),0.0)</f>
        <v>0</v>
      </c>
      <c r="N148" s="28">
        <f>IFERROR(__xludf.DUMMYFUNCTION("""COMPUTED_VALUE"""),0.0)</f>
        <v>0</v>
      </c>
    </row>
    <row r="149">
      <c r="A149" s="26">
        <f>IFERROR(__xludf.DUMMYFUNCTION("""COMPUTED_VALUE"""),45264.0)</f>
        <v>45264</v>
      </c>
      <c r="B149" s="27">
        <f>IFERROR(__xludf.DUMMYFUNCTION("""COMPUTED_VALUE"""),44.0)</f>
        <v>44</v>
      </c>
      <c r="C149" s="28">
        <f>IFERROR(__xludf.DUMMYFUNCTION("""COMPUTED_VALUE"""),162.0)</f>
        <v>162</v>
      </c>
      <c r="D149" s="28">
        <f>IFERROR(__xludf.DUMMYFUNCTION("""COMPUTED_VALUE"""),4.0)</f>
        <v>4</v>
      </c>
      <c r="E149" s="28">
        <f>IFERROR(__xludf.DUMMYFUNCTION("""COMPUTED_VALUE"""),2969.0)</f>
        <v>2969</v>
      </c>
      <c r="F149" s="28">
        <f>IFERROR(__xludf.DUMMYFUNCTION("""COMPUTED_VALUE"""),67.0)</f>
        <v>67</v>
      </c>
      <c r="G149" s="28">
        <f>IFERROR(__xludf.DUMMYFUNCTION("""COMPUTED_VALUE"""),31.0)</f>
        <v>31</v>
      </c>
      <c r="H149" s="28">
        <f>IFERROR(__xludf.DUMMYFUNCTION("""COMPUTED_VALUE"""),0.0)</f>
        <v>0</v>
      </c>
      <c r="I149" s="28">
        <f>IFERROR(__xludf.DUMMYFUNCTION("""COMPUTED_VALUE"""),13.0)</f>
        <v>13</v>
      </c>
      <c r="J149" s="28">
        <f>IFERROR(__xludf.DUMMYFUNCTION("""COMPUTED_VALUE"""),20.0)</f>
        <v>20</v>
      </c>
      <c r="K149" s="28">
        <f>IFERROR(__xludf.DUMMYFUNCTION("""COMPUTED_VALUE"""),33.0)</f>
        <v>33</v>
      </c>
      <c r="L149" s="28">
        <f>IFERROR(__xludf.DUMMYFUNCTION("""COMPUTED_VALUE"""),18.0)</f>
        <v>18</v>
      </c>
      <c r="M149" s="28">
        <f>IFERROR(__xludf.DUMMYFUNCTION("""COMPUTED_VALUE"""),2.0)</f>
        <v>2</v>
      </c>
      <c r="N149" s="28">
        <f>IFERROR(__xludf.DUMMYFUNCTION("""COMPUTED_VALUE"""),27.0)</f>
        <v>27</v>
      </c>
    </row>
    <row r="150">
      <c r="A150" s="26">
        <f>IFERROR(__xludf.DUMMYFUNCTION("""COMPUTED_VALUE"""),45265.0)</f>
        <v>45265</v>
      </c>
      <c r="B150" s="27">
        <f>IFERROR(__xludf.DUMMYFUNCTION("""COMPUTED_VALUE"""),47.0)</f>
        <v>47</v>
      </c>
      <c r="C150" s="28">
        <f>IFERROR(__xludf.DUMMYFUNCTION("""COMPUTED_VALUE"""),175.0)</f>
        <v>175</v>
      </c>
      <c r="D150" s="28">
        <f>IFERROR(__xludf.DUMMYFUNCTION("""COMPUTED_VALUE"""),4.0)</f>
        <v>4</v>
      </c>
      <c r="E150" s="28">
        <f>IFERROR(__xludf.DUMMYFUNCTION("""COMPUTED_VALUE"""),3191.0)</f>
        <v>3191</v>
      </c>
      <c r="F150" s="28">
        <f>IFERROR(__xludf.DUMMYFUNCTION("""COMPUTED_VALUE"""),68.0)</f>
        <v>68</v>
      </c>
      <c r="G150" s="28">
        <f>IFERROR(__xludf.DUMMYFUNCTION("""COMPUTED_VALUE"""),37.0)</f>
        <v>37</v>
      </c>
      <c r="H150" s="28">
        <f>IFERROR(__xludf.DUMMYFUNCTION("""COMPUTED_VALUE"""),0.0)</f>
        <v>0</v>
      </c>
      <c r="I150" s="28">
        <f>IFERROR(__xludf.DUMMYFUNCTION("""COMPUTED_VALUE"""),10.0)</f>
        <v>10</v>
      </c>
      <c r="J150" s="28">
        <f>IFERROR(__xludf.DUMMYFUNCTION("""COMPUTED_VALUE"""),19.0)</f>
        <v>19</v>
      </c>
      <c r="K150" s="28">
        <f>IFERROR(__xludf.DUMMYFUNCTION("""COMPUTED_VALUE"""),38.0)</f>
        <v>38</v>
      </c>
      <c r="L150" s="28">
        <f>IFERROR(__xludf.DUMMYFUNCTION("""COMPUTED_VALUE"""),18.0)</f>
        <v>18</v>
      </c>
      <c r="M150" s="28">
        <f>IFERROR(__xludf.DUMMYFUNCTION("""COMPUTED_VALUE"""),0.0)</f>
        <v>0</v>
      </c>
      <c r="N150" s="28">
        <f>IFERROR(__xludf.DUMMYFUNCTION("""COMPUTED_VALUE"""),37.0)</f>
        <v>37</v>
      </c>
    </row>
    <row r="151">
      <c r="A151" s="26">
        <f>IFERROR(__xludf.DUMMYFUNCTION("""COMPUTED_VALUE"""),45266.0)</f>
        <v>45266</v>
      </c>
      <c r="B151" s="27">
        <f>IFERROR(__xludf.DUMMYFUNCTION("""COMPUTED_VALUE"""),68.0)</f>
        <v>68</v>
      </c>
      <c r="C151" s="28">
        <f>IFERROR(__xludf.DUMMYFUNCTION("""COMPUTED_VALUE"""),260.0)</f>
        <v>260</v>
      </c>
      <c r="D151" s="28">
        <f>IFERROR(__xludf.DUMMYFUNCTION("""COMPUTED_VALUE"""),4.0)</f>
        <v>4</v>
      </c>
      <c r="E151" s="28">
        <f>IFERROR(__xludf.DUMMYFUNCTION("""COMPUTED_VALUE"""),4274.0)</f>
        <v>4274</v>
      </c>
      <c r="F151" s="28">
        <f>IFERROR(__xludf.DUMMYFUNCTION("""COMPUTED_VALUE"""),63.0)</f>
        <v>63</v>
      </c>
      <c r="G151" s="28">
        <f>IFERROR(__xludf.DUMMYFUNCTION("""COMPUTED_VALUE"""),50.0)</f>
        <v>50</v>
      </c>
      <c r="H151" s="28">
        <f>IFERROR(__xludf.DUMMYFUNCTION("""COMPUTED_VALUE"""),0.0)</f>
        <v>0</v>
      </c>
      <c r="I151" s="28">
        <f>IFERROR(__xludf.DUMMYFUNCTION("""COMPUTED_VALUE"""),18.0)</f>
        <v>18</v>
      </c>
      <c r="J151" s="28">
        <f>IFERROR(__xludf.DUMMYFUNCTION("""COMPUTED_VALUE"""),24.0)</f>
        <v>24</v>
      </c>
      <c r="K151" s="28">
        <f>IFERROR(__xludf.DUMMYFUNCTION("""COMPUTED_VALUE"""),51.0)</f>
        <v>51</v>
      </c>
      <c r="L151" s="28">
        <f>IFERROR(__xludf.DUMMYFUNCTION("""COMPUTED_VALUE"""),27.0)</f>
        <v>27</v>
      </c>
      <c r="M151" s="28">
        <f>IFERROR(__xludf.DUMMYFUNCTION("""COMPUTED_VALUE"""),2.0)</f>
        <v>2</v>
      </c>
      <c r="N151" s="28">
        <f>IFERROR(__xludf.DUMMYFUNCTION("""COMPUTED_VALUE"""),46.0)</f>
        <v>46</v>
      </c>
    </row>
    <row r="152">
      <c r="A152" s="26">
        <f>IFERROR(__xludf.DUMMYFUNCTION("""COMPUTED_VALUE"""),45267.0)</f>
        <v>45267</v>
      </c>
      <c r="B152" s="27">
        <f>IFERROR(__xludf.DUMMYFUNCTION("""COMPUTED_VALUE"""),75.0)</f>
        <v>75</v>
      </c>
      <c r="C152" s="28">
        <f>IFERROR(__xludf.DUMMYFUNCTION("""COMPUTED_VALUE"""),279.0)</f>
        <v>279</v>
      </c>
      <c r="D152" s="28">
        <f>IFERROR(__xludf.DUMMYFUNCTION("""COMPUTED_VALUE"""),4.0)</f>
        <v>4</v>
      </c>
      <c r="E152" s="28">
        <f>IFERROR(__xludf.DUMMYFUNCTION("""COMPUTED_VALUE"""),5075.0)</f>
        <v>5075</v>
      </c>
      <c r="F152" s="28">
        <f>IFERROR(__xludf.DUMMYFUNCTION("""COMPUTED_VALUE"""),68.0)</f>
        <v>68</v>
      </c>
      <c r="G152" s="28">
        <f>IFERROR(__xludf.DUMMYFUNCTION("""COMPUTED_VALUE"""),61.0)</f>
        <v>61</v>
      </c>
      <c r="H152" s="28">
        <f>IFERROR(__xludf.DUMMYFUNCTION("""COMPUTED_VALUE"""),1.0)</f>
        <v>1</v>
      </c>
      <c r="I152" s="28">
        <f>IFERROR(__xludf.DUMMYFUNCTION("""COMPUTED_VALUE"""),13.0)</f>
        <v>13</v>
      </c>
      <c r="J152" s="28">
        <f>IFERROR(__xludf.DUMMYFUNCTION("""COMPUTED_VALUE"""),38.0)</f>
        <v>38</v>
      </c>
      <c r="K152" s="28">
        <f>IFERROR(__xludf.DUMMYFUNCTION("""COMPUTED_VALUE"""),56.0)</f>
        <v>56</v>
      </c>
      <c r="L152" s="28">
        <f>IFERROR(__xludf.DUMMYFUNCTION("""COMPUTED_VALUE"""),21.0)</f>
        <v>21</v>
      </c>
      <c r="M152" s="28">
        <f>IFERROR(__xludf.DUMMYFUNCTION("""COMPUTED_VALUE"""),8.0)</f>
        <v>8</v>
      </c>
      <c r="N152" s="28">
        <f>IFERROR(__xludf.DUMMYFUNCTION("""COMPUTED_VALUE"""),46.0)</f>
        <v>46</v>
      </c>
    </row>
    <row r="153">
      <c r="A153" s="26">
        <f>IFERROR(__xludf.DUMMYFUNCTION("""COMPUTED_VALUE"""),45268.0)</f>
        <v>45268</v>
      </c>
      <c r="B153" s="27">
        <f>IFERROR(__xludf.DUMMYFUNCTION("""COMPUTED_VALUE"""),53.0)</f>
        <v>53</v>
      </c>
      <c r="C153" s="28">
        <f>IFERROR(__xludf.DUMMYFUNCTION("""COMPUTED_VALUE"""),220.0)</f>
        <v>220</v>
      </c>
      <c r="D153" s="28">
        <f>IFERROR(__xludf.DUMMYFUNCTION("""COMPUTED_VALUE"""),4.0)</f>
        <v>4</v>
      </c>
      <c r="E153" s="28">
        <f>IFERROR(__xludf.DUMMYFUNCTION("""COMPUTED_VALUE"""),4001.0)</f>
        <v>4001</v>
      </c>
      <c r="F153" s="28">
        <f>IFERROR(__xludf.DUMMYFUNCTION("""COMPUTED_VALUE"""),75.0)</f>
        <v>75</v>
      </c>
      <c r="G153" s="28">
        <f>IFERROR(__xludf.DUMMYFUNCTION("""COMPUTED_VALUE"""),42.0)</f>
        <v>42</v>
      </c>
      <c r="H153" s="28">
        <f>IFERROR(__xludf.DUMMYFUNCTION("""COMPUTED_VALUE"""),0.0)</f>
        <v>0</v>
      </c>
      <c r="I153" s="28">
        <f>IFERROR(__xludf.DUMMYFUNCTION("""COMPUTED_VALUE"""),10.0)</f>
        <v>10</v>
      </c>
      <c r="J153" s="28">
        <f>IFERROR(__xludf.DUMMYFUNCTION("""COMPUTED_VALUE"""),34.0)</f>
        <v>34</v>
      </c>
      <c r="K153" s="28">
        <f>IFERROR(__xludf.DUMMYFUNCTION("""COMPUTED_VALUE"""),39.0)</f>
        <v>39</v>
      </c>
      <c r="L153" s="28">
        <f>IFERROR(__xludf.DUMMYFUNCTION("""COMPUTED_VALUE"""),23.0)</f>
        <v>23</v>
      </c>
      <c r="M153" s="28">
        <f>IFERROR(__xludf.DUMMYFUNCTION("""COMPUTED_VALUE"""),3.0)</f>
        <v>3</v>
      </c>
      <c r="N153" s="28">
        <f>IFERROR(__xludf.DUMMYFUNCTION("""COMPUTED_VALUE"""),34.0)</f>
        <v>34</v>
      </c>
    </row>
    <row r="154">
      <c r="A154" s="26">
        <f>IFERROR(__xludf.DUMMYFUNCTION("""COMPUTED_VALUE"""),45269.0)</f>
        <v>45269</v>
      </c>
      <c r="B154" s="27">
        <f>IFERROR(__xludf.DUMMYFUNCTION("""COMPUTED_VALUE"""),0.0)</f>
        <v>0</v>
      </c>
      <c r="C154" s="28">
        <f>IFERROR(__xludf.DUMMYFUNCTION("""COMPUTED_VALUE"""),0.0)</f>
        <v>0</v>
      </c>
      <c r="D154" s="28">
        <f>IFERROR(__xludf.DUMMYFUNCTION("""COMPUTED_VALUE"""),0.0)</f>
        <v>0</v>
      </c>
      <c r="E154" s="28">
        <f>IFERROR(__xludf.DUMMYFUNCTION("""COMPUTED_VALUE"""),0.0)</f>
        <v>0</v>
      </c>
      <c r="F154" s="28">
        <f>IFERROR(__xludf.DUMMYFUNCTION("""COMPUTED_VALUE"""),0.0)</f>
        <v>0</v>
      </c>
      <c r="G154" s="28">
        <f>IFERROR(__xludf.DUMMYFUNCTION("""COMPUTED_VALUE"""),0.0)</f>
        <v>0</v>
      </c>
      <c r="H154" s="28">
        <f>IFERROR(__xludf.DUMMYFUNCTION("""COMPUTED_VALUE"""),0.0)</f>
        <v>0</v>
      </c>
      <c r="I154" s="28">
        <f>IFERROR(__xludf.DUMMYFUNCTION("""COMPUTED_VALUE"""),0.0)</f>
        <v>0</v>
      </c>
      <c r="J154" s="28">
        <f>IFERROR(__xludf.DUMMYFUNCTION("""COMPUTED_VALUE"""),0.0)</f>
        <v>0</v>
      </c>
      <c r="K154" s="28">
        <f>IFERROR(__xludf.DUMMYFUNCTION("""COMPUTED_VALUE"""),0.0)</f>
        <v>0</v>
      </c>
      <c r="L154" s="28">
        <f>IFERROR(__xludf.DUMMYFUNCTION("""COMPUTED_VALUE"""),0.0)</f>
        <v>0</v>
      </c>
      <c r="M154" s="28">
        <f>IFERROR(__xludf.DUMMYFUNCTION("""COMPUTED_VALUE"""),0.0)</f>
        <v>0</v>
      </c>
      <c r="N154" s="28">
        <f>IFERROR(__xludf.DUMMYFUNCTION("""COMPUTED_VALUE"""),0.0)</f>
        <v>0</v>
      </c>
    </row>
    <row r="155">
      <c r="A155" s="26">
        <f>IFERROR(__xludf.DUMMYFUNCTION("""COMPUTED_VALUE"""),45270.0)</f>
        <v>45270</v>
      </c>
      <c r="B155" s="27">
        <f>IFERROR(__xludf.DUMMYFUNCTION("""COMPUTED_VALUE"""),0.0)</f>
        <v>0</v>
      </c>
      <c r="C155" s="28">
        <f>IFERROR(__xludf.DUMMYFUNCTION("""COMPUTED_VALUE"""),0.0)</f>
        <v>0</v>
      </c>
      <c r="D155" s="28">
        <f>IFERROR(__xludf.DUMMYFUNCTION("""COMPUTED_VALUE"""),0.0)</f>
        <v>0</v>
      </c>
      <c r="E155" s="28">
        <f>IFERROR(__xludf.DUMMYFUNCTION("""COMPUTED_VALUE"""),0.0)</f>
        <v>0</v>
      </c>
      <c r="F155" s="28">
        <f>IFERROR(__xludf.DUMMYFUNCTION("""COMPUTED_VALUE"""),0.0)</f>
        <v>0</v>
      </c>
      <c r="G155" s="28">
        <f>IFERROR(__xludf.DUMMYFUNCTION("""COMPUTED_VALUE"""),0.0)</f>
        <v>0</v>
      </c>
      <c r="H155" s="28">
        <f>IFERROR(__xludf.DUMMYFUNCTION("""COMPUTED_VALUE"""),0.0)</f>
        <v>0</v>
      </c>
      <c r="I155" s="28">
        <f>IFERROR(__xludf.DUMMYFUNCTION("""COMPUTED_VALUE"""),0.0)</f>
        <v>0</v>
      </c>
      <c r="J155" s="28">
        <f>IFERROR(__xludf.DUMMYFUNCTION("""COMPUTED_VALUE"""),0.0)</f>
        <v>0</v>
      </c>
      <c r="K155" s="28">
        <f>IFERROR(__xludf.DUMMYFUNCTION("""COMPUTED_VALUE"""),0.0)</f>
        <v>0</v>
      </c>
      <c r="L155" s="28">
        <f>IFERROR(__xludf.DUMMYFUNCTION("""COMPUTED_VALUE"""),0.0)</f>
        <v>0</v>
      </c>
      <c r="M155" s="28">
        <f>IFERROR(__xludf.DUMMYFUNCTION("""COMPUTED_VALUE"""),0.0)</f>
        <v>0</v>
      </c>
      <c r="N155" s="28">
        <f>IFERROR(__xludf.DUMMYFUNCTION("""COMPUTED_VALUE"""),0.0)</f>
        <v>0</v>
      </c>
    </row>
    <row r="156">
      <c r="A156" s="26">
        <f>IFERROR(__xludf.DUMMYFUNCTION("""COMPUTED_VALUE"""),45271.0)</f>
        <v>45271</v>
      </c>
      <c r="B156" s="27">
        <f>IFERROR(__xludf.DUMMYFUNCTION("""COMPUTED_VALUE"""),71.0)</f>
        <v>71</v>
      </c>
      <c r="C156" s="28">
        <f>IFERROR(__xludf.DUMMYFUNCTION("""COMPUTED_VALUE"""),267.0)</f>
        <v>267</v>
      </c>
      <c r="D156" s="28">
        <f>IFERROR(__xludf.DUMMYFUNCTION("""COMPUTED_VALUE"""),4.0)</f>
        <v>4</v>
      </c>
      <c r="E156" s="28">
        <f>IFERROR(__xludf.DUMMYFUNCTION("""COMPUTED_VALUE"""),4615.0)</f>
        <v>4615</v>
      </c>
      <c r="F156" s="28">
        <f>IFERROR(__xludf.DUMMYFUNCTION("""COMPUTED_VALUE"""),65.0)</f>
        <v>65</v>
      </c>
      <c r="G156" s="28">
        <f>IFERROR(__xludf.DUMMYFUNCTION("""COMPUTED_VALUE"""),58.0)</f>
        <v>58</v>
      </c>
      <c r="H156" s="28">
        <f>IFERROR(__xludf.DUMMYFUNCTION("""COMPUTED_VALUE"""),0.0)</f>
        <v>0</v>
      </c>
      <c r="I156" s="28">
        <f>IFERROR(__xludf.DUMMYFUNCTION("""COMPUTED_VALUE"""),13.0)</f>
        <v>13</v>
      </c>
      <c r="J156" s="28">
        <f>IFERROR(__xludf.DUMMYFUNCTION("""COMPUTED_VALUE"""),33.0)</f>
        <v>33</v>
      </c>
      <c r="K156" s="28">
        <f>IFERROR(__xludf.DUMMYFUNCTION("""COMPUTED_VALUE"""),56.0)</f>
        <v>56</v>
      </c>
      <c r="L156" s="28">
        <f>IFERROR(__xludf.DUMMYFUNCTION("""COMPUTED_VALUE"""),26.0)</f>
        <v>26</v>
      </c>
      <c r="M156" s="28">
        <f>IFERROR(__xludf.DUMMYFUNCTION("""COMPUTED_VALUE"""),2.0)</f>
        <v>2</v>
      </c>
      <c r="N156" s="28">
        <f>IFERROR(__xludf.DUMMYFUNCTION("""COMPUTED_VALUE"""),50.0)</f>
        <v>50</v>
      </c>
    </row>
    <row r="157">
      <c r="A157" s="26">
        <f>IFERROR(__xludf.DUMMYFUNCTION("""COMPUTED_VALUE"""),45272.0)</f>
        <v>45272</v>
      </c>
      <c r="B157" s="27">
        <f>IFERROR(__xludf.DUMMYFUNCTION("""COMPUTED_VALUE"""),45.0)</f>
        <v>45</v>
      </c>
      <c r="C157" s="28">
        <f>IFERROR(__xludf.DUMMYFUNCTION("""COMPUTED_VALUE"""),187.0)</f>
        <v>187</v>
      </c>
      <c r="D157" s="28">
        <f>IFERROR(__xludf.DUMMYFUNCTION("""COMPUTED_VALUE"""),4.0)</f>
        <v>4</v>
      </c>
      <c r="E157" s="28">
        <f>IFERROR(__xludf.DUMMYFUNCTION("""COMPUTED_VALUE"""),3096.0)</f>
        <v>3096</v>
      </c>
      <c r="F157" s="28">
        <f>IFERROR(__xludf.DUMMYFUNCTION("""COMPUTED_VALUE"""),69.0)</f>
        <v>69</v>
      </c>
      <c r="G157" s="28">
        <f>IFERROR(__xludf.DUMMYFUNCTION("""COMPUTED_VALUE"""),38.0)</f>
        <v>38</v>
      </c>
      <c r="H157" s="28">
        <f>IFERROR(__xludf.DUMMYFUNCTION("""COMPUTED_VALUE"""),0.0)</f>
        <v>0</v>
      </c>
      <c r="I157" s="28">
        <f>IFERROR(__xludf.DUMMYFUNCTION("""COMPUTED_VALUE"""),7.0)</f>
        <v>7</v>
      </c>
      <c r="J157" s="28">
        <f>IFERROR(__xludf.DUMMYFUNCTION("""COMPUTED_VALUE"""),26.0)</f>
        <v>26</v>
      </c>
      <c r="K157" s="28">
        <f>IFERROR(__xludf.DUMMYFUNCTION("""COMPUTED_VALUE"""),32.0)</f>
        <v>32</v>
      </c>
      <c r="L157" s="28">
        <f>IFERROR(__xludf.DUMMYFUNCTION("""COMPUTED_VALUE"""),17.0)</f>
        <v>17</v>
      </c>
      <c r="M157" s="28">
        <f>IFERROR(__xludf.DUMMYFUNCTION("""COMPUTED_VALUE"""),2.0)</f>
        <v>2</v>
      </c>
      <c r="N157" s="28">
        <f>IFERROR(__xludf.DUMMYFUNCTION("""COMPUTED_VALUE"""),29.0)</f>
        <v>29</v>
      </c>
    </row>
    <row r="158">
      <c r="A158" s="26">
        <f>IFERROR(__xludf.DUMMYFUNCTION("""COMPUTED_VALUE"""),45273.0)</f>
        <v>45273</v>
      </c>
      <c r="B158" s="27">
        <f>IFERROR(__xludf.DUMMYFUNCTION("""COMPUTED_VALUE"""),30.0)</f>
        <v>30</v>
      </c>
      <c r="C158" s="28">
        <f>IFERROR(__xludf.DUMMYFUNCTION("""COMPUTED_VALUE"""),130.0)</f>
        <v>130</v>
      </c>
      <c r="D158" s="28">
        <f>IFERROR(__xludf.DUMMYFUNCTION("""COMPUTED_VALUE"""),4.0)</f>
        <v>4</v>
      </c>
      <c r="E158" s="28">
        <f>IFERROR(__xludf.DUMMYFUNCTION("""COMPUTED_VALUE"""),2448.0)</f>
        <v>2448</v>
      </c>
      <c r="F158" s="28">
        <f>IFERROR(__xludf.DUMMYFUNCTION("""COMPUTED_VALUE"""),82.0)</f>
        <v>82</v>
      </c>
      <c r="G158" s="28">
        <f>IFERROR(__xludf.DUMMYFUNCTION("""COMPUTED_VALUE"""),24.0)</f>
        <v>24</v>
      </c>
      <c r="H158" s="28">
        <f>IFERROR(__xludf.DUMMYFUNCTION("""COMPUTED_VALUE"""),0.0)</f>
        <v>0</v>
      </c>
      <c r="I158" s="28">
        <f>IFERROR(__xludf.DUMMYFUNCTION("""COMPUTED_VALUE"""),6.0)</f>
        <v>6</v>
      </c>
      <c r="J158" s="28">
        <f>IFERROR(__xludf.DUMMYFUNCTION("""COMPUTED_VALUE"""),30.0)</f>
        <v>30</v>
      </c>
      <c r="K158" s="28">
        <f>IFERROR(__xludf.DUMMYFUNCTION("""COMPUTED_VALUE"""),22.0)</f>
        <v>22</v>
      </c>
      <c r="L158" s="28">
        <f>IFERROR(__xludf.DUMMYFUNCTION("""COMPUTED_VALUE"""),8.0)</f>
        <v>8</v>
      </c>
      <c r="M158" s="28">
        <f>IFERROR(__xludf.DUMMYFUNCTION("""COMPUTED_VALUE"""),6.0)</f>
        <v>6</v>
      </c>
      <c r="N158" s="28">
        <f>IFERROR(__xludf.DUMMYFUNCTION("""COMPUTED_VALUE"""),16.0)</f>
        <v>16</v>
      </c>
    </row>
    <row r="159">
      <c r="A159" s="26">
        <f>IFERROR(__xludf.DUMMYFUNCTION("""COMPUTED_VALUE"""),45274.0)</f>
        <v>45274</v>
      </c>
      <c r="B159" s="27">
        <f>IFERROR(__xludf.DUMMYFUNCTION("""COMPUTED_VALUE"""),50.0)</f>
        <v>50</v>
      </c>
      <c r="C159" s="28">
        <f>IFERROR(__xludf.DUMMYFUNCTION("""COMPUTED_VALUE"""),203.0)</f>
        <v>203</v>
      </c>
      <c r="D159" s="28">
        <f>IFERROR(__xludf.DUMMYFUNCTION("""COMPUTED_VALUE"""),4.0)</f>
        <v>4</v>
      </c>
      <c r="E159" s="28">
        <f>IFERROR(__xludf.DUMMYFUNCTION("""COMPUTED_VALUE"""),4009.0)</f>
        <v>4009</v>
      </c>
      <c r="F159" s="28">
        <f>IFERROR(__xludf.DUMMYFUNCTION("""COMPUTED_VALUE"""),80.0)</f>
        <v>80</v>
      </c>
      <c r="G159" s="28">
        <f>IFERROR(__xludf.DUMMYFUNCTION("""COMPUTED_VALUE"""),40.0)</f>
        <v>40</v>
      </c>
      <c r="H159" s="28">
        <f>IFERROR(__xludf.DUMMYFUNCTION("""COMPUTED_VALUE"""),0.0)</f>
        <v>0</v>
      </c>
      <c r="I159" s="28">
        <f>IFERROR(__xludf.DUMMYFUNCTION("""COMPUTED_VALUE"""),10.0)</f>
        <v>10</v>
      </c>
      <c r="J159" s="28">
        <f>IFERROR(__xludf.DUMMYFUNCTION("""COMPUTED_VALUE"""),49.0)</f>
        <v>49</v>
      </c>
      <c r="K159" s="28">
        <f>IFERROR(__xludf.DUMMYFUNCTION("""COMPUTED_VALUE"""),30.0)</f>
        <v>30</v>
      </c>
      <c r="L159" s="28">
        <f>IFERROR(__xludf.DUMMYFUNCTION("""COMPUTED_VALUE"""),20.0)</f>
        <v>20</v>
      </c>
      <c r="M159" s="28">
        <f>IFERROR(__xludf.DUMMYFUNCTION("""COMPUTED_VALUE"""),1.0)</f>
        <v>1</v>
      </c>
      <c r="N159" s="28">
        <f>IFERROR(__xludf.DUMMYFUNCTION("""COMPUTED_VALUE"""),27.0)</f>
        <v>27</v>
      </c>
    </row>
    <row r="160">
      <c r="A160" s="26">
        <f>IFERROR(__xludf.DUMMYFUNCTION("""COMPUTED_VALUE"""),45275.0)</f>
        <v>45275</v>
      </c>
      <c r="B160" s="27">
        <f>IFERROR(__xludf.DUMMYFUNCTION("""COMPUTED_VALUE"""),60.0)</f>
        <v>60</v>
      </c>
      <c r="C160" s="28">
        <f>IFERROR(__xludf.DUMMYFUNCTION("""COMPUTED_VALUE"""),274.0)</f>
        <v>274</v>
      </c>
      <c r="D160" s="28">
        <f>IFERROR(__xludf.DUMMYFUNCTION("""COMPUTED_VALUE"""),5.0)</f>
        <v>5</v>
      </c>
      <c r="E160" s="28">
        <f>IFERROR(__xludf.DUMMYFUNCTION("""COMPUTED_VALUE"""),4448.0)</f>
        <v>4448</v>
      </c>
      <c r="F160" s="28">
        <f>IFERROR(__xludf.DUMMYFUNCTION("""COMPUTED_VALUE"""),74.0)</f>
        <v>74</v>
      </c>
      <c r="G160" s="28">
        <f>IFERROR(__xludf.DUMMYFUNCTION("""COMPUTED_VALUE"""),43.0)</f>
        <v>43</v>
      </c>
      <c r="H160" s="28">
        <f>IFERROR(__xludf.DUMMYFUNCTION("""COMPUTED_VALUE"""),0.0)</f>
        <v>0</v>
      </c>
      <c r="I160" s="28">
        <f>IFERROR(__xludf.DUMMYFUNCTION("""COMPUTED_VALUE"""),17.0)</f>
        <v>17</v>
      </c>
      <c r="J160" s="28">
        <f>IFERROR(__xludf.DUMMYFUNCTION("""COMPUTED_VALUE"""),36.0)</f>
        <v>36</v>
      </c>
      <c r="K160" s="28">
        <f>IFERROR(__xludf.DUMMYFUNCTION("""COMPUTED_VALUE"""),48.0)</f>
        <v>48</v>
      </c>
      <c r="L160" s="28">
        <f>IFERROR(__xludf.DUMMYFUNCTION("""COMPUTED_VALUE"""),17.0)</f>
        <v>17</v>
      </c>
      <c r="M160" s="28">
        <f>IFERROR(__xludf.DUMMYFUNCTION("""COMPUTED_VALUE"""),2.0)</f>
        <v>2</v>
      </c>
      <c r="N160" s="28">
        <f>IFERROR(__xludf.DUMMYFUNCTION("""COMPUTED_VALUE"""),38.0)</f>
        <v>38</v>
      </c>
    </row>
    <row r="161">
      <c r="A161" s="26">
        <f>IFERROR(__xludf.DUMMYFUNCTION("""COMPUTED_VALUE"""),45276.0)</f>
        <v>45276</v>
      </c>
      <c r="B161" s="27">
        <f>IFERROR(__xludf.DUMMYFUNCTION("""COMPUTED_VALUE"""),0.0)</f>
        <v>0</v>
      </c>
      <c r="C161" s="28">
        <f>IFERROR(__xludf.DUMMYFUNCTION("""COMPUTED_VALUE"""),0.0)</f>
        <v>0</v>
      </c>
      <c r="D161" s="28">
        <f>IFERROR(__xludf.DUMMYFUNCTION("""COMPUTED_VALUE"""),0.0)</f>
        <v>0</v>
      </c>
      <c r="E161" s="28">
        <f>IFERROR(__xludf.DUMMYFUNCTION("""COMPUTED_VALUE"""),0.0)</f>
        <v>0</v>
      </c>
      <c r="F161" s="28">
        <f>IFERROR(__xludf.DUMMYFUNCTION("""COMPUTED_VALUE"""),0.0)</f>
        <v>0</v>
      </c>
      <c r="G161" s="28">
        <f>IFERROR(__xludf.DUMMYFUNCTION("""COMPUTED_VALUE"""),0.0)</f>
        <v>0</v>
      </c>
      <c r="H161" s="28">
        <f>IFERROR(__xludf.DUMMYFUNCTION("""COMPUTED_VALUE"""),0.0)</f>
        <v>0</v>
      </c>
      <c r="I161" s="28">
        <f>IFERROR(__xludf.DUMMYFUNCTION("""COMPUTED_VALUE"""),0.0)</f>
        <v>0</v>
      </c>
      <c r="J161" s="28">
        <f>IFERROR(__xludf.DUMMYFUNCTION("""COMPUTED_VALUE"""),0.0)</f>
        <v>0</v>
      </c>
      <c r="K161" s="28">
        <f>IFERROR(__xludf.DUMMYFUNCTION("""COMPUTED_VALUE"""),0.0)</f>
        <v>0</v>
      </c>
      <c r="L161" s="28">
        <f>IFERROR(__xludf.DUMMYFUNCTION("""COMPUTED_VALUE"""),0.0)</f>
        <v>0</v>
      </c>
      <c r="M161" s="28">
        <f>IFERROR(__xludf.DUMMYFUNCTION("""COMPUTED_VALUE"""),0.0)</f>
        <v>0</v>
      </c>
      <c r="N161" s="28">
        <f>IFERROR(__xludf.DUMMYFUNCTION("""COMPUTED_VALUE"""),0.0)</f>
        <v>0</v>
      </c>
    </row>
    <row r="162">
      <c r="A162" s="26">
        <f>IFERROR(__xludf.DUMMYFUNCTION("""COMPUTED_VALUE"""),45277.0)</f>
        <v>45277</v>
      </c>
      <c r="B162" s="27">
        <f>IFERROR(__xludf.DUMMYFUNCTION("""COMPUTED_VALUE"""),0.0)</f>
        <v>0</v>
      </c>
      <c r="C162" s="28">
        <f>IFERROR(__xludf.DUMMYFUNCTION("""COMPUTED_VALUE"""),0.0)</f>
        <v>0</v>
      </c>
      <c r="D162" s="28">
        <f>IFERROR(__xludf.DUMMYFUNCTION("""COMPUTED_VALUE"""),0.0)</f>
        <v>0</v>
      </c>
      <c r="E162" s="28">
        <f>IFERROR(__xludf.DUMMYFUNCTION("""COMPUTED_VALUE"""),0.0)</f>
        <v>0</v>
      </c>
      <c r="F162" s="28">
        <f>IFERROR(__xludf.DUMMYFUNCTION("""COMPUTED_VALUE"""),0.0)</f>
        <v>0</v>
      </c>
      <c r="G162" s="28">
        <f>IFERROR(__xludf.DUMMYFUNCTION("""COMPUTED_VALUE"""),0.0)</f>
        <v>0</v>
      </c>
      <c r="H162" s="28">
        <f>IFERROR(__xludf.DUMMYFUNCTION("""COMPUTED_VALUE"""),0.0)</f>
        <v>0</v>
      </c>
      <c r="I162" s="28">
        <f>IFERROR(__xludf.DUMMYFUNCTION("""COMPUTED_VALUE"""),0.0)</f>
        <v>0</v>
      </c>
      <c r="J162" s="28">
        <f>IFERROR(__xludf.DUMMYFUNCTION("""COMPUTED_VALUE"""),0.0)</f>
        <v>0</v>
      </c>
      <c r="K162" s="28">
        <f>IFERROR(__xludf.DUMMYFUNCTION("""COMPUTED_VALUE"""),0.0)</f>
        <v>0</v>
      </c>
      <c r="L162" s="28">
        <f>IFERROR(__xludf.DUMMYFUNCTION("""COMPUTED_VALUE"""),0.0)</f>
        <v>0</v>
      </c>
      <c r="M162" s="28">
        <f>IFERROR(__xludf.DUMMYFUNCTION("""COMPUTED_VALUE"""),0.0)</f>
        <v>0</v>
      </c>
      <c r="N162" s="28">
        <f>IFERROR(__xludf.DUMMYFUNCTION("""COMPUTED_VALUE"""),0.0)</f>
        <v>0</v>
      </c>
    </row>
    <row r="163">
      <c r="A163" s="26">
        <f>IFERROR(__xludf.DUMMYFUNCTION("""COMPUTED_VALUE"""),45278.0)</f>
        <v>45278</v>
      </c>
      <c r="B163" s="27">
        <f>IFERROR(__xludf.DUMMYFUNCTION("""COMPUTED_VALUE"""),58.0)</f>
        <v>58</v>
      </c>
      <c r="C163" s="28">
        <f>IFERROR(__xludf.DUMMYFUNCTION("""COMPUTED_VALUE"""),211.0)</f>
        <v>211</v>
      </c>
      <c r="D163" s="28">
        <f>IFERROR(__xludf.DUMMYFUNCTION("""COMPUTED_VALUE"""),4.0)</f>
        <v>4</v>
      </c>
      <c r="E163" s="28">
        <f>IFERROR(__xludf.DUMMYFUNCTION("""COMPUTED_VALUE"""),3503.0)</f>
        <v>3503</v>
      </c>
      <c r="F163" s="28">
        <f>IFERROR(__xludf.DUMMYFUNCTION("""COMPUTED_VALUE"""),60.0)</f>
        <v>60</v>
      </c>
      <c r="G163" s="28">
        <f>IFERROR(__xludf.DUMMYFUNCTION("""COMPUTED_VALUE"""),40.0)</f>
        <v>40</v>
      </c>
      <c r="H163" s="28">
        <f>IFERROR(__xludf.DUMMYFUNCTION("""COMPUTED_VALUE"""),1.0)</f>
        <v>1</v>
      </c>
      <c r="I163" s="28">
        <f>IFERROR(__xludf.DUMMYFUNCTION("""COMPUTED_VALUE"""),17.0)</f>
        <v>17</v>
      </c>
      <c r="J163" s="28">
        <f>IFERROR(__xludf.DUMMYFUNCTION("""COMPUTED_VALUE"""),21.0)</f>
        <v>21</v>
      </c>
      <c r="K163" s="28">
        <f>IFERROR(__xludf.DUMMYFUNCTION("""COMPUTED_VALUE"""),49.0)</f>
        <v>49</v>
      </c>
      <c r="L163" s="28">
        <f>IFERROR(__xludf.DUMMYFUNCTION("""COMPUTED_VALUE"""),16.0)</f>
        <v>16</v>
      </c>
      <c r="M163" s="28">
        <f>IFERROR(__xludf.DUMMYFUNCTION("""COMPUTED_VALUE"""),2.0)</f>
        <v>2</v>
      </c>
      <c r="N163" s="28">
        <f>IFERROR(__xludf.DUMMYFUNCTION("""COMPUTED_VALUE"""),43.0)</f>
        <v>43</v>
      </c>
    </row>
    <row r="164">
      <c r="A164" s="26">
        <f>IFERROR(__xludf.DUMMYFUNCTION("""COMPUTED_VALUE"""),45279.0)</f>
        <v>45279</v>
      </c>
      <c r="B164" s="27">
        <f>IFERROR(__xludf.DUMMYFUNCTION("""COMPUTED_VALUE"""),50.0)</f>
        <v>50</v>
      </c>
      <c r="C164" s="28">
        <f>IFERROR(__xludf.DUMMYFUNCTION("""COMPUTED_VALUE"""),179.0)</f>
        <v>179</v>
      </c>
      <c r="D164" s="28">
        <f>IFERROR(__xludf.DUMMYFUNCTION("""COMPUTED_VALUE"""),4.0)</f>
        <v>4</v>
      </c>
      <c r="E164" s="28">
        <f>IFERROR(__xludf.DUMMYFUNCTION("""COMPUTED_VALUE"""),3214.0)</f>
        <v>3214</v>
      </c>
      <c r="F164" s="28">
        <f>IFERROR(__xludf.DUMMYFUNCTION("""COMPUTED_VALUE"""),64.0)</f>
        <v>64</v>
      </c>
      <c r="G164" s="28">
        <f>IFERROR(__xludf.DUMMYFUNCTION("""COMPUTED_VALUE"""),39.0)</f>
        <v>39</v>
      </c>
      <c r="H164" s="28">
        <f>IFERROR(__xludf.DUMMYFUNCTION("""COMPUTED_VALUE"""),1.0)</f>
        <v>1</v>
      </c>
      <c r="I164" s="28">
        <f>IFERROR(__xludf.DUMMYFUNCTION("""COMPUTED_VALUE"""),10.0)</f>
        <v>10</v>
      </c>
      <c r="J164" s="28">
        <f>IFERROR(__xludf.DUMMYFUNCTION("""COMPUTED_VALUE"""),27.0)</f>
        <v>27</v>
      </c>
      <c r="K164" s="28">
        <f>IFERROR(__xludf.DUMMYFUNCTION("""COMPUTED_VALUE"""),31.0)</f>
        <v>31</v>
      </c>
      <c r="L164" s="28">
        <f>IFERROR(__xludf.DUMMYFUNCTION("""COMPUTED_VALUE"""),19.0)</f>
        <v>19</v>
      </c>
      <c r="M164" s="28">
        <f>IFERROR(__xludf.DUMMYFUNCTION("""COMPUTED_VALUE"""),2.0)</f>
        <v>2</v>
      </c>
      <c r="N164" s="28">
        <f>IFERROR(__xludf.DUMMYFUNCTION("""COMPUTED_VALUE"""),27.0)</f>
        <v>27</v>
      </c>
    </row>
    <row r="165">
      <c r="A165" s="26">
        <f>IFERROR(__xludf.DUMMYFUNCTION("""COMPUTED_VALUE"""),45280.0)</f>
        <v>45280</v>
      </c>
      <c r="B165" s="27">
        <f>IFERROR(__xludf.DUMMYFUNCTION("""COMPUTED_VALUE"""),60.0)</f>
        <v>60</v>
      </c>
      <c r="C165" s="28">
        <f>IFERROR(__xludf.DUMMYFUNCTION("""COMPUTED_VALUE"""),239.0)</f>
        <v>239</v>
      </c>
      <c r="D165" s="28">
        <f>IFERROR(__xludf.DUMMYFUNCTION("""COMPUTED_VALUE"""),4.0)</f>
        <v>4</v>
      </c>
      <c r="E165" s="28">
        <f>IFERROR(__xludf.DUMMYFUNCTION("""COMPUTED_VALUE"""),4635.0)</f>
        <v>4635</v>
      </c>
      <c r="F165" s="28">
        <f>IFERROR(__xludf.DUMMYFUNCTION("""COMPUTED_VALUE"""),77.0)</f>
        <v>77</v>
      </c>
      <c r="G165" s="28">
        <f>IFERROR(__xludf.DUMMYFUNCTION("""COMPUTED_VALUE"""),46.0)</f>
        <v>46</v>
      </c>
      <c r="H165" s="28">
        <f>IFERROR(__xludf.DUMMYFUNCTION("""COMPUTED_VALUE"""),0.0)</f>
        <v>0</v>
      </c>
      <c r="I165" s="28">
        <f>IFERROR(__xludf.DUMMYFUNCTION("""COMPUTED_VALUE"""),14.0)</f>
        <v>14</v>
      </c>
      <c r="J165" s="28">
        <f>IFERROR(__xludf.DUMMYFUNCTION("""COMPUTED_VALUE"""),44.0)</f>
        <v>44</v>
      </c>
      <c r="K165" s="28">
        <f>IFERROR(__xludf.DUMMYFUNCTION("""COMPUTED_VALUE"""),44.0)</f>
        <v>44</v>
      </c>
      <c r="L165" s="28">
        <f>IFERROR(__xludf.DUMMYFUNCTION("""COMPUTED_VALUE"""),22.0)</f>
        <v>22</v>
      </c>
      <c r="M165" s="28">
        <f>IFERROR(__xludf.DUMMYFUNCTION("""COMPUTED_VALUE"""),5.0)</f>
        <v>5</v>
      </c>
      <c r="N165" s="28">
        <f>IFERROR(__xludf.DUMMYFUNCTION("""COMPUTED_VALUE"""),36.0)</f>
        <v>36</v>
      </c>
    </row>
    <row r="166">
      <c r="A166" s="26">
        <f>IFERROR(__xludf.DUMMYFUNCTION("""COMPUTED_VALUE"""),45281.0)</f>
        <v>45281</v>
      </c>
      <c r="B166" s="27">
        <f>IFERROR(__xludf.DUMMYFUNCTION("""COMPUTED_VALUE"""),103.0)</f>
        <v>103</v>
      </c>
      <c r="C166" s="28">
        <f>IFERROR(__xludf.DUMMYFUNCTION("""COMPUTED_VALUE"""),399.0)</f>
        <v>399</v>
      </c>
      <c r="D166" s="28">
        <f>IFERROR(__xludf.DUMMYFUNCTION("""COMPUTED_VALUE"""),4.0)</f>
        <v>4</v>
      </c>
      <c r="E166" s="28">
        <f>IFERROR(__xludf.DUMMYFUNCTION("""COMPUTED_VALUE"""),7332.0)</f>
        <v>7332</v>
      </c>
      <c r="F166" s="28">
        <f>IFERROR(__xludf.DUMMYFUNCTION("""COMPUTED_VALUE"""),71.0)</f>
        <v>71</v>
      </c>
      <c r="G166" s="28">
        <f>IFERROR(__xludf.DUMMYFUNCTION("""COMPUTED_VALUE"""),71.0)</f>
        <v>71</v>
      </c>
      <c r="H166" s="28">
        <f>IFERROR(__xludf.DUMMYFUNCTION("""COMPUTED_VALUE"""),0.0)</f>
        <v>0</v>
      </c>
      <c r="I166" s="28">
        <f>IFERROR(__xludf.DUMMYFUNCTION("""COMPUTED_VALUE"""),32.0)</f>
        <v>32</v>
      </c>
      <c r="J166" s="28">
        <f>IFERROR(__xludf.DUMMYFUNCTION("""COMPUTED_VALUE"""),57.0)</f>
        <v>57</v>
      </c>
      <c r="K166" s="28">
        <f>IFERROR(__xludf.DUMMYFUNCTION("""COMPUTED_VALUE"""),78.0)</f>
        <v>78</v>
      </c>
      <c r="L166" s="28">
        <f>IFERROR(__xludf.DUMMYFUNCTION("""COMPUTED_VALUE"""),41.0)</f>
        <v>41</v>
      </c>
      <c r="M166" s="28">
        <f>IFERROR(__xludf.DUMMYFUNCTION("""COMPUTED_VALUE"""),2.0)</f>
        <v>2</v>
      </c>
      <c r="N166" s="28">
        <f>IFERROR(__xludf.DUMMYFUNCTION("""COMPUTED_VALUE"""),71.0)</f>
        <v>71</v>
      </c>
    </row>
    <row r="167">
      <c r="A167" s="26">
        <f>IFERROR(__xludf.DUMMYFUNCTION("""COMPUTED_VALUE"""),45282.0)</f>
        <v>45282</v>
      </c>
      <c r="B167" s="27">
        <f>IFERROR(__xludf.DUMMYFUNCTION("""COMPUTED_VALUE"""),72.0)</f>
        <v>72</v>
      </c>
      <c r="C167" s="28">
        <f>IFERROR(__xludf.DUMMYFUNCTION("""COMPUTED_VALUE"""),286.0)</f>
        <v>286</v>
      </c>
      <c r="D167" s="28">
        <f>IFERROR(__xludf.DUMMYFUNCTION("""COMPUTED_VALUE"""),4.0)</f>
        <v>4</v>
      </c>
      <c r="E167" s="28">
        <f>IFERROR(__xludf.DUMMYFUNCTION("""COMPUTED_VALUE"""),5133.0)</f>
        <v>5133</v>
      </c>
      <c r="F167" s="28">
        <f>IFERROR(__xludf.DUMMYFUNCTION("""COMPUTED_VALUE"""),71.0)</f>
        <v>71</v>
      </c>
      <c r="G167" s="28">
        <f>IFERROR(__xludf.DUMMYFUNCTION("""COMPUTED_VALUE"""),52.0)</f>
        <v>52</v>
      </c>
      <c r="H167" s="28">
        <f>IFERROR(__xludf.DUMMYFUNCTION("""COMPUTED_VALUE"""),0.0)</f>
        <v>0</v>
      </c>
      <c r="I167" s="28">
        <f>IFERROR(__xludf.DUMMYFUNCTION("""COMPUTED_VALUE"""),20.0)</f>
        <v>20</v>
      </c>
      <c r="J167" s="28">
        <f>IFERROR(__xludf.DUMMYFUNCTION("""COMPUTED_VALUE"""),42.0)</f>
        <v>42</v>
      </c>
      <c r="K167" s="28">
        <f>IFERROR(__xludf.DUMMYFUNCTION("""COMPUTED_VALUE"""),49.0)</f>
        <v>49</v>
      </c>
      <c r="L167" s="28">
        <f>IFERROR(__xludf.DUMMYFUNCTION("""COMPUTED_VALUE"""),32.0)</f>
        <v>32</v>
      </c>
      <c r="M167" s="28">
        <f>IFERROR(__xludf.DUMMYFUNCTION("""COMPUTED_VALUE"""),3.0)</f>
        <v>3</v>
      </c>
      <c r="N167" s="28">
        <f>IFERROR(__xludf.DUMMYFUNCTION("""COMPUTED_VALUE"""),45.0)</f>
        <v>45</v>
      </c>
    </row>
    <row r="168">
      <c r="A168" s="26">
        <f>IFERROR(__xludf.DUMMYFUNCTION("""COMPUTED_VALUE"""),45283.0)</f>
        <v>45283</v>
      </c>
      <c r="B168" s="27">
        <f>IFERROR(__xludf.DUMMYFUNCTION("""COMPUTED_VALUE"""),0.0)</f>
        <v>0</v>
      </c>
      <c r="C168" s="28">
        <f>IFERROR(__xludf.DUMMYFUNCTION("""COMPUTED_VALUE"""),0.0)</f>
        <v>0</v>
      </c>
      <c r="D168" s="28">
        <f>IFERROR(__xludf.DUMMYFUNCTION("""COMPUTED_VALUE"""),0.0)</f>
        <v>0</v>
      </c>
      <c r="E168" s="28">
        <f>IFERROR(__xludf.DUMMYFUNCTION("""COMPUTED_VALUE"""),0.0)</f>
        <v>0</v>
      </c>
      <c r="F168" s="28">
        <f>IFERROR(__xludf.DUMMYFUNCTION("""COMPUTED_VALUE"""),0.0)</f>
        <v>0</v>
      </c>
      <c r="G168" s="28">
        <f>IFERROR(__xludf.DUMMYFUNCTION("""COMPUTED_VALUE"""),0.0)</f>
        <v>0</v>
      </c>
      <c r="H168" s="28">
        <f>IFERROR(__xludf.DUMMYFUNCTION("""COMPUTED_VALUE"""),0.0)</f>
        <v>0</v>
      </c>
      <c r="I168" s="28">
        <f>IFERROR(__xludf.DUMMYFUNCTION("""COMPUTED_VALUE"""),0.0)</f>
        <v>0</v>
      </c>
      <c r="J168" s="28">
        <f>IFERROR(__xludf.DUMMYFUNCTION("""COMPUTED_VALUE"""),0.0)</f>
        <v>0</v>
      </c>
      <c r="K168" s="28">
        <f>IFERROR(__xludf.DUMMYFUNCTION("""COMPUTED_VALUE"""),0.0)</f>
        <v>0</v>
      </c>
      <c r="L168" s="28">
        <f>IFERROR(__xludf.DUMMYFUNCTION("""COMPUTED_VALUE"""),0.0)</f>
        <v>0</v>
      </c>
      <c r="M168" s="28">
        <f>IFERROR(__xludf.DUMMYFUNCTION("""COMPUTED_VALUE"""),0.0)</f>
        <v>0</v>
      </c>
      <c r="N168" s="28">
        <f>IFERROR(__xludf.DUMMYFUNCTION("""COMPUTED_VALUE"""),0.0)</f>
        <v>0</v>
      </c>
    </row>
    <row r="169">
      <c r="A169" s="26">
        <f>IFERROR(__xludf.DUMMYFUNCTION("""COMPUTED_VALUE"""),45284.0)</f>
        <v>45284</v>
      </c>
      <c r="B169" s="27">
        <f>IFERROR(__xludf.DUMMYFUNCTION("""COMPUTED_VALUE"""),0.0)</f>
        <v>0</v>
      </c>
      <c r="C169" s="28">
        <f>IFERROR(__xludf.DUMMYFUNCTION("""COMPUTED_VALUE"""),0.0)</f>
        <v>0</v>
      </c>
      <c r="D169" s="28">
        <f>IFERROR(__xludf.DUMMYFUNCTION("""COMPUTED_VALUE"""),0.0)</f>
        <v>0</v>
      </c>
      <c r="E169" s="28">
        <f>IFERROR(__xludf.DUMMYFUNCTION("""COMPUTED_VALUE"""),0.0)</f>
        <v>0</v>
      </c>
      <c r="F169" s="28">
        <f>IFERROR(__xludf.DUMMYFUNCTION("""COMPUTED_VALUE"""),0.0)</f>
        <v>0</v>
      </c>
      <c r="G169" s="28">
        <f>IFERROR(__xludf.DUMMYFUNCTION("""COMPUTED_VALUE"""),0.0)</f>
        <v>0</v>
      </c>
      <c r="H169" s="28">
        <f>IFERROR(__xludf.DUMMYFUNCTION("""COMPUTED_VALUE"""),0.0)</f>
        <v>0</v>
      </c>
      <c r="I169" s="28">
        <f>IFERROR(__xludf.DUMMYFUNCTION("""COMPUTED_VALUE"""),0.0)</f>
        <v>0</v>
      </c>
      <c r="J169" s="28">
        <f>IFERROR(__xludf.DUMMYFUNCTION("""COMPUTED_VALUE"""),0.0)</f>
        <v>0</v>
      </c>
      <c r="K169" s="28">
        <f>IFERROR(__xludf.DUMMYFUNCTION("""COMPUTED_VALUE"""),0.0)</f>
        <v>0</v>
      </c>
      <c r="L169" s="28">
        <f>IFERROR(__xludf.DUMMYFUNCTION("""COMPUTED_VALUE"""),0.0)</f>
        <v>0</v>
      </c>
      <c r="M169" s="28">
        <f>IFERROR(__xludf.DUMMYFUNCTION("""COMPUTED_VALUE"""),0.0)</f>
        <v>0</v>
      </c>
      <c r="N169" s="28">
        <f>IFERROR(__xludf.DUMMYFUNCTION("""COMPUTED_VALUE"""),0.0)</f>
        <v>0</v>
      </c>
    </row>
    <row r="170">
      <c r="A170" s="26">
        <f>IFERROR(__xludf.DUMMYFUNCTION("""COMPUTED_VALUE"""),45285.0)</f>
        <v>45285</v>
      </c>
      <c r="B170" s="27">
        <f>IFERROR(__xludf.DUMMYFUNCTION("""COMPUTED_VALUE"""),8.0)</f>
        <v>8</v>
      </c>
      <c r="C170" s="28">
        <f>IFERROR(__xludf.DUMMYFUNCTION("""COMPUTED_VALUE"""),22.0)</f>
        <v>22</v>
      </c>
      <c r="D170" s="28">
        <f>IFERROR(__xludf.DUMMYFUNCTION("""COMPUTED_VALUE"""),3.0)</f>
        <v>3</v>
      </c>
      <c r="E170" s="28">
        <f>IFERROR(__xludf.DUMMYFUNCTION("""COMPUTED_VALUE"""),293.0)</f>
        <v>293</v>
      </c>
      <c r="F170" s="28">
        <f>IFERROR(__xludf.DUMMYFUNCTION("""COMPUTED_VALUE"""),37.0)</f>
        <v>37</v>
      </c>
      <c r="G170" s="28">
        <f>IFERROR(__xludf.DUMMYFUNCTION("""COMPUTED_VALUE"""),0.0)</f>
        <v>0</v>
      </c>
      <c r="H170" s="28">
        <f>IFERROR(__xludf.DUMMYFUNCTION("""COMPUTED_VALUE"""),0.0)</f>
        <v>0</v>
      </c>
      <c r="I170" s="28">
        <f>IFERROR(__xludf.DUMMYFUNCTION("""COMPUTED_VALUE"""),8.0)</f>
        <v>8</v>
      </c>
      <c r="J170" s="28">
        <f>IFERROR(__xludf.DUMMYFUNCTION("""COMPUTED_VALUE"""),0.0)</f>
        <v>0</v>
      </c>
      <c r="K170" s="28">
        <f>IFERROR(__xludf.DUMMYFUNCTION("""COMPUTED_VALUE"""),6.0)</f>
        <v>6</v>
      </c>
      <c r="L170" s="28">
        <f>IFERROR(__xludf.DUMMYFUNCTION("""COMPUTED_VALUE"""),0.0)</f>
        <v>0</v>
      </c>
      <c r="M170" s="28">
        <f>IFERROR(__xludf.DUMMYFUNCTION("""COMPUTED_VALUE"""),0.0)</f>
        <v>0</v>
      </c>
      <c r="N170" s="28">
        <f>IFERROR(__xludf.DUMMYFUNCTION("""COMPUTED_VALUE"""),6.0)</f>
        <v>6</v>
      </c>
    </row>
    <row r="171">
      <c r="A171" s="26">
        <f>IFERROR(__xludf.DUMMYFUNCTION("""COMPUTED_VALUE"""),45286.0)</f>
        <v>45286</v>
      </c>
      <c r="B171" s="27">
        <f>IFERROR(__xludf.DUMMYFUNCTION("""COMPUTED_VALUE"""),48.0)</f>
        <v>48</v>
      </c>
      <c r="C171" s="28">
        <f>IFERROR(__xludf.DUMMYFUNCTION("""COMPUTED_VALUE"""),186.0)</f>
        <v>186</v>
      </c>
      <c r="D171" s="28">
        <f>IFERROR(__xludf.DUMMYFUNCTION("""COMPUTED_VALUE"""),4.0)</f>
        <v>4</v>
      </c>
      <c r="E171" s="28">
        <f>IFERROR(__xludf.DUMMYFUNCTION("""COMPUTED_VALUE"""),3372.0)</f>
        <v>3372</v>
      </c>
      <c r="F171" s="28">
        <f>IFERROR(__xludf.DUMMYFUNCTION("""COMPUTED_VALUE"""),70.0)</f>
        <v>70</v>
      </c>
      <c r="G171" s="28">
        <f>IFERROR(__xludf.DUMMYFUNCTION("""COMPUTED_VALUE"""),31.0)</f>
        <v>31</v>
      </c>
      <c r="H171" s="28">
        <f>IFERROR(__xludf.DUMMYFUNCTION("""COMPUTED_VALUE"""),0.0)</f>
        <v>0</v>
      </c>
      <c r="I171" s="28">
        <f>IFERROR(__xludf.DUMMYFUNCTION("""COMPUTED_VALUE"""),15.0)</f>
        <v>15</v>
      </c>
      <c r="J171" s="28">
        <f>IFERROR(__xludf.DUMMYFUNCTION("""COMPUTED_VALUE"""),28.0)</f>
        <v>28</v>
      </c>
      <c r="K171" s="28">
        <f>IFERROR(__xludf.DUMMYFUNCTION("""COMPUTED_VALUE"""),33.0)</f>
        <v>33</v>
      </c>
      <c r="L171" s="28">
        <f>IFERROR(__xludf.DUMMYFUNCTION("""COMPUTED_VALUE"""),21.0)</f>
        <v>21</v>
      </c>
      <c r="M171" s="28">
        <f>IFERROR(__xludf.DUMMYFUNCTION("""COMPUTED_VALUE"""),0.0)</f>
        <v>0</v>
      </c>
      <c r="N171" s="28">
        <f>IFERROR(__xludf.DUMMYFUNCTION("""COMPUTED_VALUE"""),30.0)</f>
        <v>30</v>
      </c>
    </row>
    <row r="172">
      <c r="A172" s="26">
        <f>IFERROR(__xludf.DUMMYFUNCTION("""COMPUTED_VALUE"""),45287.0)</f>
        <v>45287</v>
      </c>
      <c r="B172" s="27">
        <f>IFERROR(__xludf.DUMMYFUNCTION("""COMPUTED_VALUE"""),36.0)</f>
        <v>36</v>
      </c>
      <c r="C172" s="28">
        <f>IFERROR(__xludf.DUMMYFUNCTION("""COMPUTED_VALUE"""),124.0)</f>
        <v>124</v>
      </c>
      <c r="D172" s="28">
        <f>IFERROR(__xludf.DUMMYFUNCTION("""COMPUTED_VALUE"""),3.0)</f>
        <v>3</v>
      </c>
      <c r="E172" s="28">
        <f>IFERROR(__xludf.DUMMYFUNCTION("""COMPUTED_VALUE"""),2174.0)</f>
        <v>2174</v>
      </c>
      <c r="F172" s="28">
        <f>IFERROR(__xludf.DUMMYFUNCTION("""COMPUTED_VALUE"""),60.0)</f>
        <v>60</v>
      </c>
      <c r="G172" s="28">
        <f>IFERROR(__xludf.DUMMYFUNCTION("""COMPUTED_VALUE"""),29.0)</f>
        <v>29</v>
      </c>
      <c r="H172" s="28">
        <f>IFERROR(__xludf.DUMMYFUNCTION("""COMPUTED_VALUE"""),0.0)</f>
        <v>0</v>
      </c>
      <c r="I172" s="28">
        <f>IFERROR(__xludf.DUMMYFUNCTION("""COMPUTED_VALUE"""),6.0)</f>
        <v>6</v>
      </c>
      <c r="J172" s="28">
        <f>IFERROR(__xludf.DUMMYFUNCTION("""COMPUTED_VALUE"""),19.0)</f>
        <v>19</v>
      </c>
      <c r="K172" s="28">
        <f>IFERROR(__xludf.DUMMYFUNCTION("""COMPUTED_VALUE"""),23.0)</f>
        <v>23</v>
      </c>
      <c r="L172" s="28">
        <f>IFERROR(__xludf.DUMMYFUNCTION("""COMPUTED_VALUE"""),5.0)</f>
        <v>5</v>
      </c>
      <c r="M172" s="28">
        <f>IFERROR(__xludf.DUMMYFUNCTION("""COMPUTED_VALUE"""),0.0)</f>
        <v>0</v>
      </c>
      <c r="N172" s="28">
        <f>IFERROR(__xludf.DUMMYFUNCTION("""COMPUTED_VALUE"""),23.0)</f>
        <v>23</v>
      </c>
    </row>
    <row r="173">
      <c r="A173" s="26">
        <f>IFERROR(__xludf.DUMMYFUNCTION("""COMPUTED_VALUE"""),45288.0)</f>
        <v>45288</v>
      </c>
      <c r="B173" s="27">
        <f>IFERROR(__xludf.DUMMYFUNCTION("""COMPUTED_VALUE"""),31.0)</f>
        <v>31</v>
      </c>
      <c r="C173" s="28">
        <f>IFERROR(__xludf.DUMMYFUNCTION("""COMPUTED_VALUE"""),145.0)</f>
        <v>145</v>
      </c>
      <c r="D173" s="28">
        <f>IFERROR(__xludf.DUMMYFUNCTION("""COMPUTED_VALUE"""),5.0)</f>
        <v>5</v>
      </c>
      <c r="E173" s="28">
        <f>IFERROR(__xludf.DUMMYFUNCTION("""COMPUTED_VALUE"""),2203.0)</f>
        <v>2203</v>
      </c>
      <c r="F173" s="28">
        <f>IFERROR(__xludf.DUMMYFUNCTION("""COMPUTED_VALUE"""),71.0)</f>
        <v>71</v>
      </c>
      <c r="G173" s="28">
        <f>IFERROR(__xludf.DUMMYFUNCTION("""COMPUTED_VALUE"""),31.0)</f>
        <v>31</v>
      </c>
      <c r="H173" s="28">
        <f>IFERROR(__xludf.DUMMYFUNCTION("""COMPUTED_VALUE"""),0.0)</f>
        <v>0</v>
      </c>
      <c r="I173" s="28">
        <f>IFERROR(__xludf.DUMMYFUNCTION("""COMPUTED_VALUE"""),0.0)</f>
        <v>0</v>
      </c>
      <c r="J173" s="28">
        <f>IFERROR(__xludf.DUMMYFUNCTION("""COMPUTED_VALUE"""),19.0)</f>
        <v>19</v>
      </c>
      <c r="K173" s="28">
        <f>IFERROR(__xludf.DUMMYFUNCTION("""COMPUTED_VALUE"""),21.0)</f>
        <v>21</v>
      </c>
      <c r="L173" s="28">
        <f>IFERROR(__xludf.DUMMYFUNCTION("""COMPUTED_VALUE"""),13.0)</f>
        <v>13</v>
      </c>
      <c r="M173" s="28">
        <f>IFERROR(__xludf.DUMMYFUNCTION("""COMPUTED_VALUE"""),3.0)</f>
        <v>3</v>
      </c>
      <c r="N173" s="28">
        <f>IFERROR(__xludf.DUMMYFUNCTION("""COMPUTED_VALUE"""),17.0)</f>
        <v>17</v>
      </c>
    </row>
    <row r="174">
      <c r="A174" s="26">
        <f>IFERROR(__xludf.DUMMYFUNCTION("""COMPUTED_VALUE"""),45289.0)</f>
        <v>45289</v>
      </c>
      <c r="B174" s="27">
        <f>IFERROR(__xludf.DUMMYFUNCTION("""COMPUTED_VALUE"""),33.0)</f>
        <v>33</v>
      </c>
      <c r="C174" s="28">
        <f>IFERROR(__xludf.DUMMYFUNCTION("""COMPUTED_VALUE"""),121.0)</f>
        <v>121</v>
      </c>
      <c r="D174" s="28">
        <f>IFERROR(__xludf.DUMMYFUNCTION("""COMPUTED_VALUE"""),4.0)</f>
        <v>4</v>
      </c>
      <c r="E174" s="28">
        <f>IFERROR(__xludf.DUMMYFUNCTION("""COMPUTED_VALUE"""),2313.0)</f>
        <v>2313</v>
      </c>
      <c r="F174" s="28">
        <f>IFERROR(__xludf.DUMMYFUNCTION("""COMPUTED_VALUE"""),70.0)</f>
        <v>70</v>
      </c>
      <c r="G174" s="28">
        <f>IFERROR(__xludf.DUMMYFUNCTION("""COMPUTED_VALUE"""),29.0)</f>
        <v>29</v>
      </c>
      <c r="H174" s="28">
        <f>IFERROR(__xludf.DUMMYFUNCTION("""COMPUTED_VALUE"""),0.0)</f>
        <v>0</v>
      </c>
      <c r="I174" s="28">
        <f>IFERROR(__xludf.DUMMYFUNCTION("""COMPUTED_VALUE"""),4.0)</f>
        <v>4</v>
      </c>
      <c r="J174" s="28">
        <f>IFERROR(__xludf.DUMMYFUNCTION("""COMPUTED_VALUE"""),12.0)</f>
        <v>12</v>
      </c>
      <c r="K174" s="28">
        <f>IFERROR(__xludf.DUMMYFUNCTION("""COMPUTED_VALUE"""),22.0)</f>
        <v>22</v>
      </c>
      <c r="L174" s="28">
        <f>IFERROR(__xludf.DUMMYFUNCTION("""COMPUTED_VALUE"""),16.0)</f>
        <v>16</v>
      </c>
      <c r="M174" s="28">
        <f>IFERROR(__xludf.DUMMYFUNCTION("""COMPUTED_VALUE"""),2.0)</f>
        <v>2</v>
      </c>
      <c r="N174" s="28">
        <f>IFERROR(__xludf.DUMMYFUNCTION("""COMPUTED_VALUE"""),19.0)</f>
        <v>19</v>
      </c>
    </row>
    <row r="175">
      <c r="A175" s="26">
        <f>IFERROR(__xludf.DUMMYFUNCTION("""COMPUTED_VALUE"""),45290.0)</f>
        <v>45290</v>
      </c>
      <c r="B175" s="27">
        <f>IFERROR(__xludf.DUMMYFUNCTION("""COMPUTED_VALUE"""),0.0)</f>
        <v>0</v>
      </c>
      <c r="C175" s="28">
        <f>IFERROR(__xludf.DUMMYFUNCTION("""COMPUTED_VALUE"""),0.0)</f>
        <v>0</v>
      </c>
      <c r="D175" s="28">
        <f>IFERROR(__xludf.DUMMYFUNCTION("""COMPUTED_VALUE"""),0.0)</f>
        <v>0</v>
      </c>
      <c r="E175" s="28">
        <f>IFERROR(__xludf.DUMMYFUNCTION("""COMPUTED_VALUE"""),0.0)</f>
        <v>0</v>
      </c>
      <c r="F175" s="28">
        <f>IFERROR(__xludf.DUMMYFUNCTION("""COMPUTED_VALUE"""),0.0)</f>
        <v>0</v>
      </c>
      <c r="G175" s="28">
        <f>IFERROR(__xludf.DUMMYFUNCTION("""COMPUTED_VALUE"""),0.0)</f>
        <v>0</v>
      </c>
      <c r="H175" s="28">
        <f>IFERROR(__xludf.DUMMYFUNCTION("""COMPUTED_VALUE"""),0.0)</f>
        <v>0</v>
      </c>
      <c r="I175" s="28">
        <f>IFERROR(__xludf.DUMMYFUNCTION("""COMPUTED_VALUE"""),0.0)</f>
        <v>0</v>
      </c>
      <c r="J175" s="28">
        <f>IFERROR(__xludf.DUMMYFUNCTION("""COMPUTED_VALUE"""),0.0)</f>
        <v>0</v>
      </c>
      <c r="K175" s="28">
        <f>IFERROR(__xludf.DUMMYFUNCTION("""COMPUTED_VALUE"""),0.0)</f>
        <v>0</v>
      </c>
      <c r="L175" s="28">
        <f>IFERROR(__xludf.DUMMYFUNCTION("""COMPUTED_VALUE"""),0.0)</f>
        <v>0</v>
      </c>
      <c r="M175" s="28">
        <f>IFERROR(__xludf.DUMMYFUNCTION("""COMPUTED_VALUE"""),0.0)</f>
        <v>0</v>
      </c>
      <c r="N175" s="28">
        <f>IFERROR(__xludf.DUMMYFUNCTION("""COMPUTED_VALUE"""),0.0)</f>
        <v>0</v>
      </c>
    </row>
    <row r="176">
      <c r="A176" s="26">
        <f>IFERROR(__xludf.DUMMYFUNCTION("""COMPUTED_VALUE"""),45291.0)</f>
        <v>45291</v>
      </c>
      <c r="B176" s="27">
        <f>IFERROR(__xludf.DUMMYFUNCTION("""COMPUTED_VALUE"""),0.0)</f>
        <v>0</v>
      </c>
      <c r="C176" s="28">
        <f>IFERROR(__xludf.DUMMYFUNCTION("""COMPUTED_VALUE"""),0.0)</f>
        <v>0</v>
      </c>
      <c r="D176" s="28">
        <f>IFERROR(__xludf.DUMMYFUNCTION("""COMPUTED_VALUE"""),0.0)</f>
        <v>0</v>
      </c>
      <c r="E176" s="28">
        <f>IFERROR(__xludf.DUMMYFUNCTION("""COMPUTED_VALUE"""),0.0)</f>
        <v>0</v>
      </c>
      <c r="F176" s="28">
        <f>IFERROR(__xludf.DUMMYFUNCTION("""COMPUTED_VALUE"""),0.0)</f>
        <v>0</v>
      </c>
      <c r="G176" s="28">
        <f>IFERROR(__xludf.DUMMYFUNCTION("""COMPUTED_VALUE"""),0.0)</f>
        <v>0</v>
      </c>
      <c r="H176" s="28">
        <f>IFERROR(__xludf.DUMMYFUNCTION("""COMPUTED_VALUE"""),0.0)</f>
        <v>0</v>
      </c>
      <c r="I176" s="28">
        <f>IFERROR(__xludf.DUMMYFUNCTION("""COMPUTED_VALUE"""),0.0)</f>
        <v>0</v>
      </c>
      <c r="J176" s="28">
        <f>IFERROR(__xludf.DUMMYFUNCTION("""COMPUTED_VALUE"""),0.0)</f>
        <v>0</v>
      </c>
      <c r="K176" s="28">
        <f>IFERROR(__xludf.DUMMYFUNCTION("""COMPUTED_VALUE"""),0.0)</f>
        <v>0</v>
      </c>
      <c r="L176" s="28">
        <f>IFERROR(__xludf.DUMMYFUNCTION("""COMPUTED_VALUE"""),0.0)</f>
        <v>0</v>
      </c>
      <c r="M176" s="28">
        <f>IFERROR(__xludf.DUMMYFUNCTION("""COMPUTED_VALUE"""),0.0)</f>
        <v>0</v>
      </c>
      <c r="N176" s="28">
        <f>IFERROR(__xludf.DUMMYFUNCTION("""COMPUTED_VALUE"""),0.0)</f>
        <v>0</v>
      </c>
    </row>
    <row r="177">
      <c r="A177" s="26">
        <f>IFERROR(__xludf.DUMMYFUNCTION("""COMPUTED_VALUE"""),45292.0)</f>
        <v>45292</v>
      </c>
      <c r="B177" s="27">
        <f>IFERROR(__xludf.DUMMYFUNCTION("""COMPUTED_VALUE"""),0.0)</f>
        <v>0</v>
      </c>
      <c r="C177" s="28">
        <f>IFERROR(__xludf.DUMMYFUNCTION("""COMPUTED_VALUE"""),0.0)</f>
        <v>0</v>
      </c>
      <c r="D177" s="28">
        <f>IFERROR(__xludf.DUMMYFUNCTION("""COMPUTED_VALUE"""),0.0)</f>
        <v>0</v>
      </c>
      <c r="E177" s="28">
        <f>IFERROR(__xludf.DUMMYFUNCTION("""COMPUTED_VALUE"""),0.0)</f>
        <v>0</v>
      </c>
      <c r="F177" s="28">
        <f>IFERROR(__xludf.DUMMYFUNCTION("""COMPUTED_VALUE"""),0.0)</f>
        <v>0</v>
      </c>
      <c r="G177" s="28">
        <f>IFERROR(__xludf.DUMMYFUNCTION("""COMPUTED_VALUE"""),0.0)</f>
        <v>0</v>
      </c>
      <c r="H177" s="28">
        <f>IFERROR(__xludf.DUMMYFUNCTION("""COMPUTED_VALUE"""),0.0)</f>
        <v>0</v>
      </c>
      <c r="I177" s="28">
        <f>IFERROR(__xludf.DUMMYFUNCTION("""COMPUTED_VALUE"""),0.0)</f>
        <v>0</v>
      </c>
      <c r="J177" s="28">
        <f>IFERROR(__xludf.DUMMYFUNCTION("""COMPUTED_VALUE"""),0.0)</f>
        <v>0</v>
      </c>
      <c r="K177" s="28">
        <f>IFERROR(__xludf.DUMMYFUNCTION("""COMPUTED_VALUE"""),0.0)</f>
        <v>0</v>
      </c>
      <c r="L177" s="28">
        <f>IFERROR(__xludf.DUMMYFUNCTION("""COMPUTED_VALUE"""),0.0)</f>
        <v>0</v>
      </c>
      <c r="M177" s="28">
        <f>IFERROR(__xludf.DUMMYFUNCTION("""COMPUTED_VALUE"""),0.0)</f>
        <v>0</v>
      </c>
      <c r="N177" s="28">
        <f>IFERROR(__xludf.DUMMYFUNCTION("""COMPUTED_VALUE"""),0.0)</f>
        <v>0</v>
      </c>
    </row>
    <row r="178">
      <c r="A178" s="26">
        <f>IFERROR(__xludf.DUMMYFUNCTION("""COMPUTED_VALUE"""),45293.0)</f>
        <v>45293</v>
      </c>
      <c r="B178" s="27">
        <f>IFERROR(__xludf.DUMMYFUNCTION("""COMPUTED_VALUE"""),26.0)</f>
        <v>26</v>
      </c>
      <c r="C178" s="28">
        <f>IFERROR(__xludf.DUMMYFUNCTION("""COMPUTED_VALUE"""),118.0)</f>
        <v>118</v>
      </c>
      <c r="D178" s="28">
        <f>IFERROR(__xludf.DUMMYFUNCTION("""COMPUTED_VALUE"""),5.0)</f>
        <v>5</v>
      </c>
      <c r="E178" s="28">
        <f>IFERROR(__xludf.DUMMYFUNCTION("""COMPUTED_VALUE"""),2629.0)</f>
        <v>2629</v>
      </c>
      <c r="F178" s="28">
        <f>IFERROR(__xludf.DUMMYFUNCTION("""COMPUTED_VALUE"""),101.0)</f>
        <v>101</v>
      </c>
      <c r="G178" s="28">
        <f>IFERROR(__xludf.DUMMYFUNCTION("""COMPUTED_VALUE"""),20.0)</f>
        <v>20</v>
      </c>
      <c r="H178" s="28">
        <f>IFERROR(__xludf.DUMMYFUNCTION("""COMPUTED_VALUE"""),0.0)</f>
        <v>0</v>
      </c>
      <c r="I178" s="28">
        <f>IFERROR(__xludf.DUMMYFUNCTION("""COMPUTED_VALUE"""),6.0)</f>
        <v>6</v>
      </c>
      <c r="J178" s="28">
        <f>IFERROR(__xludf.DUMMYFUNCTION("""COMPUTED_VALUE"""),27.0)</f>
        <v>27</v>
      </c>
      <c r="K178" s="28">
        <f>IFERROR(__xludf.DUMMYFUNCTION("""COMPUTED_VALUE"""),17.0)</f>
        <v>17</v>
      </c>
      <c r="L178" s="28">
        <f>IFERROR(__xludf.DUMMYFUNCTION("""COMPUTED_VALUE"""),18.0)</f>
        <v>18</v>
      </c>
      <c r="M178" s="28">
        <f>IFERROR(__xludf.DUMMYFUNCTION("""COMPUTED_VALUE"""),2.0)</f>
        <v>2</v>
      </c>
      <c r="N178" s="28">
        <f>IFERROR(__xludf.DUMMYFUNCTION("""COMPUTED_VALUE"""),14.0)</f>
        <v>14</v>
      </c>
    </row>
    <row r="179">
      <c r="A179" s="26">
        <f>IFERROR(__xludf.DUMMYFUNCTION("""COMPUTED_VALUE"""),45294.0)</f>
        <v>45294</v>
      </c>
      <c r="B179" s="27">
        <f>IFERROR(__xludf.DUMMYFUNCTION("""COMPUTED_VALUE"""),26.0)</f>
        <v>26</v>
      </c>
      <c r="C179" s="28">
        <f>IFERROR(__xludf.DUMMYFUNCTION("""COMPUTED_VALUE"""),93.0)</f>
        <v>93</v>
      </c>
      <c r="D179" s="28">
        <f>IFERROR(__xludf.DUMMYFUNCTION("""COMPUTED_VALUE"""),4.0)</f>
        <v>4</v>
      </c>
      <c r="E179" s="28">
        <f>IFERROR(__xludf.DUMMYFUNCTION("""COMPUTED_VALUE"""),1817.0)</f>
        <v>1817</v>
      </c>
      <c r="F179" s="28">
        <f>IFERROR(__xludf.DUMMYFUNCTION("""COMPUTED_VALUE"""),70.0)</f>
        <v>70</v>
      </c>
      <c r="G179" s="28">
        <f>IFERROR(__xludf.DUMMYFUNCTION("""COMPUTED_VALUE"""),21.0)</f>
        <v>21</v>
      </c>
      <c r="H179" s="28">
        <f>IFERROR(__xludf.DUMMYFUNCTION("""COMPUTED_VALUE"""),0.0)</f>
        <v>0</v>
      </c>
      <c r="I179" s="28">
        <f>IFERROR(__xludf.DUMMYFUNCTION("""COMPUTED_VALUE"""),5.0)</f>
        <v>5</v>
      </c>
      <c r="J179" s="28">
        <f>IFERROR(__xludf.DUMMYFUNCTION("""COMPUTED_VALUE"""),13.0)</f>
        <v>13</v>
      </c>
      <c r="K179" s="28">
        <f>IFERROR(__xludf.DUMMYFUNCTION("""COMPUTED_VALUE"""),17.0)</f>
        <v>17</v>
      </c>
      <c r="L179" s="28">
        <f>IFERROR(__xludf.DUMMYFUNCTION("""COMPUTED_VALUE"""),10.0)</f>
        <v>10</v>
      </c>
      <c r="M179" s="28">
        <f>IFERROR(__xludf.DUMMYFUNCTION("""COMPUTED_VALUE"""),1.0)</f>
        <v>1</v>
      </c>
      <c r="N179" s="28">
        <f>IFERROR(__xludf.DUMMYFUNCTION("""COMPUTED_VALUE"""),15.0)</f>
        <v>15</v>
      </c>
    </row>
    <row r="180">
      <c r="A180" s="26">
        <f>IFERROR(__xludf.DUMMYFUNCTION("""COMPUTED_VALUE"""),45295.0)</f>
        <v>45295</v>
      </c>
      <c r="B180" s="27">
        <f>IFERROR(__xludf.DUMMYFUNCTION("""COMPUTED_VALUE"""),22.0)</f>
        <v>22</v>
      </c>
      <c r="C180" s="28">
        <f>IFERROR(__xludf.DUMMYFUNCTION("""COMPUTED_VALUE"""),88.0)</f>
        <v>88</v>
      </c>
      <c r="D180" s="28">
        <f>IFERROR(__xludf.DUMMYFUNCTION("""COMPUTED_VALUE"""),4.0)</f>
        <v>4</v>
      </c>
      <c r="E180" s="28">
        <f>IFERROR(__xludf.DUMMYFUNCTION("""COMPUTED_VALUE"""),1785.0)</f>
        <v>1785</v>
      </c>
      <c r="F180" s="28">
        <f>IFERROR(__xludf.DUMMYFUNCTION("""COMPUTED_VALUE"""),81.0)</f>
        <v>81</v>
      </c>
      <c r="G180" s="28">
        <f>IFERROR(__xludf.DUMMYFUNCTION("""COMPUTED_VALUE"""),18.0)</f>
        <v>18</v>
      </c>
      <c r="H180" s="28">
        <f>IFERROR(__xludf.DUMMYFUNCTION("""COMPUTED_VALUE"""),0.0)</f>
        <v>0</v>
      </c>
      <c r="I180" s="28">
        <f>IFERROR(__xludf.DUMMYFUNCTION("""COMPUTED_VALUE"""),4.0)</f>
        <v>4</v>
      </c>
      <c r="J180" s="28">
        <f>IFERROR(__xludf.DUMMYFUNCTION("""COMPUTED_VALUE"""),18.0)</f>
        <v>18</v>
      </c>
      <c r="K180" s="28">
        <f>IFERROR(__xludf.DUMMYFUNCTION("""COMPUTED_VALUE"""),17.0)</f>
        <v>17</v>
      </c>
      <c r="L180" s="28">
        <f>IFERROR(__xludf.DUMMYFUNCTION("""COMPUTED_VALUE"""),7.0)</f>
        <v>7</v>
      </c>
      <c r="M180" s="28">
        <f>IFERROR(__xludf.DUMMYFUNCTION("""COMPUTED_VALUE"""),1.0)</f>
        <v>1</v>
      </c>
      <c r="N180" s="28">
        <f>IFERROR(__xludf.DUMMYFUNCTION("""COMPUTED_VALUE"""),16.0)</f>
        <v>16</v>
      </c>
    </row>
    <row r="181">
      <c r="A181" s="26">
        <f>IFERROR(__xludf.DUMMYFUNCTION("""COMPUTED_VALUE"""),45296.0)</f>
        <v>45296</v>
      </c>
      <c r="B181" s="27">
        <f>IFERROR(__xludf.DUMMYFUNCTION("""COMPUTED_VALUE"""),23.0)</f>
        <v>23</v>
      </c>
      <c r="C181" s="28">
        <f>IFERROR(__xludf.DUMMYFUNCTION("""COMPUTED_VALUE"""),79.0)</f>
        <v>79</v>
      </c>
      <c r="D181" s="28">
        <f>IFERROR(__xludf.DUMMYFUNCTION("""COMPUTED_VALUE"""),3.0)</f>
        <v>3</v>
      </c>
      <c r="E181" s="28">
        <f>IFERROR(__xludf.DUMMYFUNCTION("""COMPUTED_VALUE"""),1405.0)</f>
        <v>1405</v>
      </c>
      <c r="F181" s="28">
        <f>IFERROR(__xludf.DUMMYFUNCTION("""COMPUTED_VALUE"""),61.0)</f>
        <v>61</v>
      </c>
      <c r="G181" s="28">
        <f>IFERROR(__xludf.DUMMYFUNCTION("""COMPUTED_VALUE"""),18.0)</f>
        <v>18</v>
      </c>
      <c r="H181" s="28">
        <f>IFERROR(__xludf.DUMMYFUNCTION("""COMPUTED_VALUE"""),0.0)</f>
        <v>0</v>
      </c>
      <c r="I181" s="28">
        <f>IFERROR(__xludf.DUMMYFUNCTION("""COMPUTED_VALUE"""),5.0)</f>
        <v>5</v>
      </c>
      <c r="J181" s="28">
        <f>IFERROR(__xludf.DUMMYFUNCTION("""COMPUTED_VALUE"""),12.0)</f>
        <v>12</v>
      </c>
      <c r="K181" s="28">
        <f>IFERROR(__xludf.DUMMYFUNCTION("""COMPUTED_VALUE"""),12.0)</f>
        <v>12</v>
      </c>
      <c r="L181" s="28">
        <f>IFERROR(__xludf.DUMMYFUNCTION("""COMPUTED_VALUE"""),6.0)</f>
        <v>6</v>
      </c>
      <c r="M181" s="28">
        <f>IFERROR(__xludf.DUMMYFUNCTION("""COMPUTED_VALUE"""),1.0)</f>
        <v>1</v>
      </c>
      <c r="N181" s="28">
        <f>IFERROR(__xludf.DUMMYFUNCTION("""COMPUTED_VALUE"""),10.0)</f>
        <v>10</v>
      </c>
    </row>
    <row r="182">
      <c r="A182" s="26">
        <f>IFERROR(__xludf.DUMMYFUNCTION("""COMPUTED_VALUE"""),45297.0)</f>
        <v>45297</v>
      </c>
      <c r="B182" s="27">
        <f>IFERROR(__xludf.DUMMYFUNCTION("""COMPUTED_VALUE"""),12.0)</f>
        <v>12</v>
      </c>
      <c r="C182" s="28">
        <f>IFERROR(__xludf.DUMMYFUNCTION("""COMPUTED_VALUE"""),50.0)</f>
        <v>50</v>
      </c>
      <c r="D182" s="28">
        <f>IFERROR(__xludf.DUMMYFUNCTION("""COMPUTED_VALUE"""),4.0)</f>
        <v>4</v>
      </c>
      <c r="E182" s="28">
        <f>IFERROR(__xludf.DUMMYFUNCTION("""COMPUTED_VALUE"""),975.0)</f>
        <v>975</v>
      </c>
      <c r="F182" s="28">
        <f>IFERROR(__xludf.DUMMYFUNCTION("""COMPUTED_VALUE"""),81.0)</f>
        <v>81</v>
      </c>
      <c r="G182" s="28">
        <f>IFERROR(__xludf.DUMMYFUNCTION("""COMPUTED_VALUE"""),10.0)</f>
        <v>10</v>
      </c>
      <c r="H182" s="28">
        <f>IFERROR(__xludf.DUMMYFUNCTION("""COMPUTED_VALUE"""),0.0)</f>
        <v>0</v>
      </c>
      <c r="I182" s="28">
        <f>IFERROR(__xludf.DUMMYFUNCTION("""COMPUTED_VALUE"""),2.0)</f>
        <v>2</v>
      </c>
      <c r="J182" s="28">
        <f>IFERROR(__xludf.DUMMYFUNCTION("""COMPUTED_VALUE"""),5.0)</f>
        <v>5</v>
      </c>
      <c r="K182" s="28">
        <f>IFERROR(__xludf.DUMMYFUNCTION("""COMPUTED_VALUE"""),9.0)</f>
        <v>9</v>
      </c>
      <c r="L182" s="28">
        <f>IFERROR(__xludf.DUMMYFUNCTION("""COMPUTED_VALUE"""),6.0)</f>
        <v>6</v>
      </c>
      <c r="M182" s="28">
        <f>IFERROR(__xludf.DUMMYFUNCTION("""COMPUTED_VALUE"""),0.0)</f>
        <v>0</v>
      </c>
      <c r="N182" s="28">
        <f>IFERROR(__xludf.DUMMYFUNCTION("""COMPUTED_VALUE"""),8.0)</f>
        <v>8</v>
      </c>
    </row>
    <row r="183">
      <c r="A183" s="26">
        <f>IFERROR(__xludf.DUMMYFUNCTION("""COMPUTED_VALUE"""),45298.0)</f>
        <v>45298</v>
      </c>
      <c r="B183" s="27">
        <f>IFERROR(__xludf.DUMMYFUNCTION("""COMPUTED_VALUE"""),0.0)</f>
        <v>0</v>
      </c>
      <c r="C183" s="28">
        <f>IFERROR(__xludf.DUMMYFUNCTION("""COMPUTED_VALUE"""),0.0)</f>
        <v>0</v>
      </c>
      <c r="D183" s="28">
        <f>IFERROR(__xludf.DUMMYFUNCTION("""COMPUTED_VALUE"""),0.0)</f>
        <v>0</v>
      </c>
      <c r="E183" s="28">
        <f>IFERROR(__xludf.DUMMYFUNCTION("""COMPUTED_VALUE"""),0.0)</f>
        <v>0</v>
      </c>
      <c r="F183" s="28">
        <f>IFERROR(__xludf.DUMMYFUNCTION("""COMPUTED_VALUE"""),0.0)</f>
        <v>0</v>
      </c>
      <c r="G183" s="28">
        <f>IFERROR(__xludf.DUMMYFUNCTION("""COMPUTED_VALUE"""),0.0)</f>
        <v>0</v>
      </c>
      <c r="H183" s="28">
        <f>IFERROR(__xludf.DUMMYFUNCTION("""COMPUTED_VALUE"""),0.0)</f>
        <v>0</v>
      </c>
      <c r="I183" s="28">
        <f>IFERROR(__xludf.DUMMYFUNCTION("""COMPUTED_VALUE"""),0.0)</f>
        <v>0</v>
      </c>
      <c r="J183" s="28">
        <f>IFERROR(__xludf.DUMMYFUNCTION("""COMPUTED_VALUE"""),0.0)</f>
        <v>0</v>
      </c>
      <c r="K183" s="28">
        <f>IFERROR(__xludf.DUMMYFUNCTION("""COMPUTED_VALUE"""),0.0)</f>
        <v>0</v>
      </c>
      <c r="L183" s="28">
        <f>IFERROR(__xludf.DUMMYFUNCTION("""COMPUTED_VALUE"""),0.0)</f>
        <v>0</v>
      </c>
      <c r="M183" s="28">
        <f>IFERROR(__xludf.DUMMYFUNCTION("""COMPUTED_VALUE"""),0.0)</f>
        <v>0</v>
      </c>
      <c r="N183" s="28">
        <f>IFERROR(__xludf.DUMMYFUNCTION("""COMPUTED_VALUE"""),0.0)</f>
        <v>0</v>
      </c>
    </row>
    <row r="184">
      <c r="A184" s="26">
        <f>IFERROR(__xludf.DUMMYFUNCTION("""COMPUTED_VALUE"""),45299.0)</f>
        <v>45299</v>
      </c>
      <c r="B184" s="27">
        <f>IFERROR(__xludf.DUMMYFUNCTION("""COMPUTED_VALUE"""),19.0)</f>
        <v>19</v>
      </c>
      <c r="C184" s="28">
        <f>IFERROR(__xludf.DUMMYFUNCTION("""COMPUTED_VALUE"""),61.0)</f>
        <v>61</v>
      </c>
      <c r="D184" s="28">
        <f>IFERROR(__xludf.DUMMYFUNCTION("""COMPUTED_VALUE"""),3.0)</f>
        <v>3</v>
      </c>
      <c r="E184" s="28">
        <f>IFERROR(__xludf.DUMMYFUNCTION("""COMPUTED_VALUE"""),1124.0)</f>
        <v>1124</v>
      </c>
      <c r="F184" s="28">
        <f>IFERROR(__xludf.DUMMYFUNCTION("""COMPUTED_VALUE"""),59.0)</f>
        <v>59</v>
      </c>
      <c r="G184" s="28">
        <f>IFERROR(__xludf.DUMMYFUNCTION("""COMPUTED_VALUE"""),15.0)</f>
        <v>15</v>
      </c>
      <c r="H184" s="28">
        <f>IFERROR(__xludf.DUMMYFUNCTION("""COMPUTED_VALUE"""),0.0)</f>
        <v>0</v>
      </c>
      <c r="I184" s="28">
        <f>IFERROR(__xludf.DUMMYFUNCTION("""COMPUTED_VALUE"""),4.0)</f>
        <v>4</v>
      </c>
      <c r="J184" s="28">
        <f>IFERROR(__xludf.DUMMYFUNCTION("""COMPUTED_VALUE"""),10.0)</f>
        <v>10</v>
      </c>
      <c r="K184" s="28">
        <f>IFERROR(__xludf.DUMMYFUNCTION("""COMPUTED_VALUE"""),8.0)</f>
        <v>8</v>
      </c>
      <c r="L184" s="28">
        <f>IFERROR(__xludf.DUMMYFUNCTION("""COMPUTED_VALUE"""),5.0)</f>
        <v>5</v>
      </c>
      <c r="M184" s="28">
        <f>IFERROR(__xludf.DUMMYFUNCTION("""COMPUTED_VALUE"""),0.0)</f>
        <v>0</v>
      </c>
      <c r="N184" s="28">
        <f>IFERROR(__xludf.DUMMYFUNCTION("""COMPUTED_VALUE"""),7.0)</f>
        <v>7</v>
      </c>
    </row>
    <row r="185">
      <c r="A185" s="26">
        <f>IFERROR(__xludf.DUMMYFUNCTION("""COMPUTED_VALUE"""),45300.0)</f>
        <v>45300</v>
      </c>
      <c r="B185" s="27">
        <f>IFERROR(__xludf.DUMMYFUNCTION("""COMPUTED_VALUE"""),19.0)</f>
        <v>19</v>
      </c>
      <c r="C185" s="28">
        <f>IFERROR(__xludf.DUMMYFUNCTION("""COMPUTED_VALUE"""),81.0)</f>
        <v>81</v>
      </c>
      <c r="D185" s="28">
        <f>IFERROR(__xludf.DUMMYFUNCTION("""COMPUTED_VALUE"""),4.0)</f>
        <v>4</v>
      </c>
      <c r="E185" s="28">
        <f>IFERROR(__xludf.DUMMYFUNCTION("""COMPUTED_VALUE"""),1521.0)</f>
        <v>1521</v>
      </c>
      <c r="F185" s="28">
        <f>IFERROR(__xludf.DUMMYFUNCTION("""COMPUTED_VALUE"""),80.0)</f>
        <v>80</v>
      </c>
      <c r="G185" s="28">
        <f>IFERROR(__xludf.DUMMYFUNCTION("""COMPUTED_VALUE"""),16.0)</f>
        <v>16</v>
      </c>
      <c r="H185" s="28">
        <f>IFERROR(__xludf.DUMMYFUNCTION("""COMPUTED_VALUE"""),0.0)</f>
        <v>0</v>
      </c>
      <c r="I185" s="28">
        <f>IFERROR(__xludf.DUMMYFUNCTION("""COMPUTED_VALUE"""),3.0)</f>
        <v>3</v>
      </c>
      <c r="J185" s="28">
        <f>IFERROR(__xludf.DUMMYFUNCTION("""COMPUTED_VALUE"""),13.0)</f>
        <v>13</v>
      </c>
      <c r="K185" s="28">
        <f>IFERROR(__xludf.DUMMYFUNCTION("""COMPUTED_VALUE"""),14.0)</f>
        <v>14</v>
      </c>
      <c r="L185" s="28">
        <f>IFERROR(__xludf.DUMMYFUNCTION("""COMPUTED_VALUE"""),13.0)</f>
        <v>13</v>
      </c>
      <c r="M185" s="28">
        <f>IFERROR(__xludf.DUMMYFUNCTION("""COMPUTED_VALUE"""),1.0)</f>
        <v>1</v>
      </c>
      <c r="N185" s="28">
        <f>IFERROR(__xludf.DUMMYFUNCTION("""COMPUTED_VALUE"""),13.0)</f>
        <v>13</v>
      </c>
    </row>
    <row r="186">
      <c r="A186" s="26">
        <f>IFERROR(__xludf.DUMMYFUNCTION("""COMPUTED_VALUE"""),45301.0)</f>
        <v>45301</v>
      </c>
      <c r="B186" s="27">
        <f>IFERROR(__xludf.DUMMYFUNCTION("""COMPUTED_VALUE"""),29.0)</f>
        <v>29</v>
      </c>
      <c r="C186" s="28">
        <f>IFERROR(__xludf.DUMMYFUNCTION("""COMPUTED_VALUE"""),101.0)</f>
        <v>101</v>
      </c>
      <c r="D186" s="28">
        <f>IFERROR(__xludf.DUMMYFUNCTION("""COMPUTED_VALUE"""),3.0)</f>
        <v>3</v>
      </c>
      <c r="E186" s="28">
        <f>IFERROR(__xludf.DUMMYFUNCTION("""COMPUTED_VALUE"""),1552.0)</f>
        <v>1552</v>
      </c>
      <c r="F186" s="28">
        <f>IFERROR(__xludf.DUMMYFUNCTION("""COMPUTED_VALUE"""),54.0)</f>
        <v>54</v>
      </c>
      <c r="G186" s="28">
        <f>IFERROR(__xludf.DUMMYFUNCTION("""COMPUTED_VALUE"""),22.0)</f>
        <v>22</v>
      </c>
      <c r="H186" s="28">
        <f>IFERROR(__xludf.DUMMYFUNCTION("""COMPUTED_VALUE"""),1.0)</f>
        <v>1</v>
      </c>
      <c r="I186" s="28">
        <f>IFERROR(__xludf.DUMMYFUNCTION("""COMPUTED_VALUE"""),6.0)</f>
        <v>6</v>
      </c>
      <c r="J186" s="28">
        <f>IFERROR(__xludf.DUMMYFUNCTION("""COMPUTED_VALUE"""),9.0)</f>
        <v>9</v>
      </c>
      <c r="K186" s="28">
        <f>IFERROR(__xludf.DUMMYFUNCTION("""COMPUTED_VALUE"""),19.0)</f>
        <v>19</v>
      </c>
      <c r="L186" s="28">
        <f>IFERROR(__xludf.DUMMYFUNCTION("""COMPUTED_VALUE"""),11.0)</f>
        <v>11</v>
      </c>
      <c r="M186" s="28">
        <f>IFERROR(__xludf.DUMMYFUNCTION("""COMPUTED_VALUE"""),0.0)</f>
        <v>0</v>
      </c>
      <c r="N186" s="28">
        <f>IFERROR(__xludf.DUMMYFUNCTION("""COMPUTED_VALUE"""),17.0)</f>
        <v>17</v>
      </c>
    </row>
    <row r="187">
      <c r="A187" s="26">
        <f>IFERROR(__xludf.DUMMYFUNCTION("""COMPUTED_VALUE"""),45302.0)</f>
        <v>45302</v>
      </c>
      <c r="B187" s="27">
        <f>IFERROR(__xludf.DUMMYFUNCTION("""COMPUTED_VALUE"""),26.0)</f>
        <v>26</v>
      </c>
      <c r="C187" s="28">
        <f>IFERROR(__xludf.DUMMYFUNCTION("""COMPUTED_VALUE"""),97.0)</f>
        <v>97</v>
      </c>
      <c r="D187" s="28">
        <f>IFERROR(__xludf.DUMMYFUNCTION("""COMPUTED_VALUE"""),4.0)</f>
        <v>4</v>
      </c>
      <c r="E187" s="28">
        <f>IFERROR(__xludf.DUMMYFUNCTION("""COMPUTED_VALUE"""),1670.0)</f>
        <v>1670</v>
      </c>
      <c r="F187" s="28">
        <f>IFERROR(__xludf.DUMMYFUNCTION("""COMPUTED_VALUE"""),64.0)</f>
        <v>64</v>
      </c>
      <c r="G187" s="28">
        <f>IFERROR(__xludf.DUMMYFUNCTION("""COMPUTED_VALUE"""),18.0)</f>
        <v>18</v>
      </c>
      <c r="H187" s="28">
        <f>IFERROR(__xludf.DUMMYFUNCTION("""COMPUTED_VALUE"""),0.0)</f>
        <v>0</v>
      </c>
      <c r="I187" s="28">
        <f>IFERROR(__xludf.DUMMYFUNCTION("""COMPUTED_VALUE"""),8.0)</f>
        <v>8</v>
      </c>
      <c r="J187" s="28">
        <f>IFERROR(__xludf.DUMMYFUNCTION("""COMPUTED_VALUE"""),14.0)</f>
        <v>14</v>
      </c>
      <c r="K187" s="28">
        <f>IFERROR(__xludf.DUMMYFUNCTION("""COMPUTED_VALUE"""),19.0)</f>
        <v>19</v>
      </c>
      <c r="L187" s="28">
        <f>IFERROR(__xludf.DUMMYFUNCTION("""COMPUTED_VALUE"""),5.0)</f>
        <v>5</v>
      </c>
      <c r="M187" s="28">
        <f>IFERROR(__xludf.DUMMYFUNCTION("""COMPUTED_VALUE"""),0.0)</f>
        <v>0</v>
      </c>
      <c r="N187" s="28">
        <f>IFERROR(__xludf.DUMMYFUNCTION("""COMPUTED_VALUE"""),17.0)</f>
        <v>17</v>
      </c>
    </row>
    <row r="188">
      <c r="A188" s="26">
        <f>IFERROR(__xludf.DUMMYFUNCTION("""COMPUTED_VALUE"""),45303.0)</f>
        <v>45303</v>
      </c>
      <c r="B188" s="27">
        <f>IFERROR(__xludf.DUMMYFUNCTION("""COMPUTED_VALUE"""),24.0)</f>
        <v>24</v>
      </c>
      <c r="C188" s="28">
        <f>IFERROR(__xludf.DUMMYFUNCTION("""COMPUTED_VALUE"""),97.0)</f>
        <v>97</v>
      </c>
      <c r="D188" s="28">
        <f>IFERROR(__xludf.DUMMYFUNCTION("""COMPUTED_VALUE"""),4.0)</f>
        <v>4</v>
      </c>
      <c r="E188" s="28">
        <f>IFERROR(__xludf.DUMMYFUNCTION("""COMPUTED_VALUE"""),1799.0)</f>
        <v>1799</v>
      </c>
      <c r="F188" s="28">
        <f>IFERROR(__xludf.DUMMYFUNCTION("""COMPUTED_VALUE"""),75.0)</f>
        <v>75</v>
      </c>
      <c r="G188" s="28">
        <f>IFERROR(__xludf.DUMMYFUNCTION("""COMPUTED_VALUE"""),18.0)</f>
        <v>18</v>
      </c>
      <c r="H188" s="28">
        <f>IFERROR(__xludf.DUMMYFUNCTION("""COMPUTED_VALUE"""),1.0)</f>
        <v>1</v>
      </c>
      <c r="I188" s="28">
        <f>IFERROR(__xludf.DUMMYFUNCTION("""COMPUTED_VALUE"""),5.0)</f>
        <v>5</v>
      </c>
      <c r="J188" s="28">
        <f>IFERROR(__xludf.DUMMYFUNCTION("""COMPUTED_VALUE"""),14.0)</f>
        <v>14</v>
      </c>
      <c r="K188" s="28">
        <f>IFERROR(__xludf.DUMMYFUNCTION("""COMPUTED_VALUE"""),18.0)</f>
        <v>18</v>
      </c>
      <c r="L188" s="28">
        <f>IFERROR(__xludf.DUMMYFUNCTION("""COMPUTED_VALUE"""),12.0)</f>
        <v>12</v>
      </c>
      <c r="M188" s="28">
        <f>IFERROR(__xludf.DUMMYFUNCTION("""COMPUTED_VALUE"""),3.0)</f>
        <v>3</v>
      </c>
      <c r="N188" s="28">
        <f>IFERROR(__xludf.DUMMYFUNCTION("""COMPUTED_VALUE"""),14.0)</f>
        <v>14</v>
      </c>
    </row>
    <row r="189">
      <c r="A189" s="26">
        <f>IFERROR(__xludf.DUMMYFUNCTION("""COMPUTED_VALUE"""),45304.0)</f>
        <v>45304</v>
      </c>
      <c r="B189" s="27">
        <f>IFERROR(__xludf.DUMMYFUNCTION("""COMPUTED_VALUE"""),13.0)</f>
        <v>13</v>
      </c>
      <c r="C189" s="28">
        <f>IFERROR(__xludf.DUMMYFUNCTION("""COMPUTED_VALUE"""),49.0)</f>
        <v>49</v>
      </c>
      <c r="D189" s="28">
        <f>IFERROR(__xludf.DUMMYFUNCTION("""COMPUTED_VALUE"""),4.0)</f>
        <v>4</v>
      </c>
      <c r="E189" s="28">
        <f>IFERROR(__xludf.DUMMYFUNCTION("""COMPUTED_VALUE"""),800.0)</f>
        <v>800</v>
      </c>
      <c r="F189" s="28">
        <f>IFERROR(__xludf.DUMMYFUNCTION("""COMPUTED_VALUE"""),62.0)</f>
        <v>62</v>
      </c>
      <c r="G189" s="28">
        <f>IFERROR(__xludf.DUMMYFUNCTION("""COMPUTED_VALUE"""),6.0)</f>
        <v>6</v>
      </c>
      <c r="H189" s="28">
        <f>IFERROR(__xludf.DUMMYFUNCTION("""COMPUTED_VALUE"""),0.0)</f>
        <v>0</v>
      </c>
      <c r="I189" s="28">
        <f>IFERROR(__xludf.DUMMYFUNCTION("""COMPUTED_VALUE"""),7.0)</f>
        <v>7</v>
      </c>
      <c r="J189" s="28">
        <f>IFERROR(__xludf.DUMMYFUNCTION("""COMPUTED_VALUE"""),7.0)</f>
        <v>7</v>
      </c>
      <c r="K189" s="28">
        <f>IFERROR(__xludf.DUMMYFUNCTION("""COMPUTED_VALUE"""),7.0)</f>
        <v>7</v>
      </c>
      <c r="L189" s="28">
        <f>IFERROR(__xludf.DUMMYFUNCTION("""COMPUTED_VALUE"""),8.0)</f>
        <v>8</v>
      </c>
      <c r="M189" s="28">
        <f>IFERROR(__xludf.DUMMYFUNCTION("""COMPUTED_VALUE"""),0.0)</f>
        <v>0</v>
      </c>
      <c r="N189" s="28">
        <f>IFERROR(__xludf.DUMMYFUNCTION("""COMPUTED_VALUE"""),6.0)</f>
        <v>6</v>
      </c>
    </row>
    <row r="190">
      <c r="A190" s="26">
        <f>IFERROR(__xludf.DUMMYFUNCTION("""COMPUTED_VALUE"""),45305.0)</f>
        <v>45305</v>
      </c>
      <c r="B190" s="27">
        <f>IFERROR(__xludf.DUMMYFUNCTION("""COMPUTED_VALUE"""),0.0)</f>
        <v>0</v>
      </c>
      <c r="C190" s="28">
        <f>IFERROR(__xludf.DUMMYFUNCTION("""COMPUTED_VALUE"""),0.0)</f>
        <v>0</v>
      </c>
      <c r="D190" s="28">
        <f>IFERROR(__xludf.DUMMYFUNCTION("""COMPUTED_VALUE"""),0.0)</f>
        <v>0</v>
      </c>
      <c r="E190" s="28">
        <f>IFERROR(__xludf.DUMMYFUNCTION("""COMPUTED_VALUE"""),0.0)</f>
        <v>0</v>
      </c>
      <c r="F190" s="28">
        <f>IFERROR(__xludf.DUMMYFUNCTION("""COMPUTED_VALUE"""),0.0)</f>
        <v>0</v>
      </c>
      <c r="G190" s="28">
        <f>IFERROR(__xludf.DUMMYFUNCTION("""COMPUTED_VALUE"""),0.0)</f>
        <v>0</v>
      </c>
      <c r="H190" s="28">
        <f>IFERROR(__xludf.DUMMYFUNCTION("""COMPUTED_VALUE"""),0.0)</f>
        <v>0</v>
      </c>
      <c r="I190" s="28">
        <f>IFERROR(__xludf.DUMMYFUNCTION("""COMPUTED_VALUE"""),0.0)</f>
        <v>0</v>
      </c>
      <c r="J190" s="28">
        <f>IFERROR(__xludf.DUMMYFUNCTION("""COMPUTED_VALUE"""),0.0)</f>
        <v>0</v>
      </c>
      <c r="K190" s="28">
        <f>IFERROR(__xludf.DUMMYFUNCTION("""COMPUTED_VALUE"""),0.0)</f>
        <v>0</v>
      </c>
      <c r="L190" s="28">
        <f>IFERROR(__xludf.DUMMYFUNCTION("""COMPUTED_VALUE"""),0.0)</f>
        <v>0</v>
      </c>
      <c r="M190" s="28">
        <f>IFERROR(__xludf.DUMMYFUNCTION("""COMPUTED_VALUE"""),0.0)</f>
        <v>0</v>
      </c>
      <c r="N190" s="28">
        <f>IFERROR(__xludf.DUMMYFUNCTION("""COMPUTED_VALUE"""),0.0)</f>
        <v>0</v>
      </c>
    </row>
    <row r="191">
      <c r="A191" s="26">
        <f>IFERROR(__xludf.DUMMYFUNCTION("""COMPUTED_VALUE"""),45306.0)</f>
        <v>45306</v>
      </c>
      <c r="B191" s="27">
        <f>IFERROR(__xludf.DUMMYFUNCTION("""COMPUTED_VALUE"""),37.0)</f>
        <v>37</v>
      </c>
      <c r="C191" s="28">
        <f>IFERROR(__xludf.DUMMYFUNCTION("""COMPUTED_VALUE"""),143.0)</f>
        <v>143</v>
      </c>
      <c r="D191" s="28">
        <f>IFERROR(__xludf.DUMMYFUNCTION("""COMPUTED_VALUE"""),4.0)</f>
        <v>4</v>
      </c>
      <c r="E191" s="28">
        <f>IFERROR(__xludf.DUMMYFUNCTION("""COMPUTED_VALUE"""),2691.0)</f>
        <v>2691</v>
      </c>
      <c r="F191" s="28">
        <f>IFERROR(__xludf.DUMMYFUNCTION("""COMPUTED_VALUE"""),73.0)</f>
        <v>73</v>
      </c>
      <c r="G191" s="28">
        <f>IFERROR(__xludf.DUMMYFUNCTION("""COMPUTED_VALUE"""),30.0)</f>
        <v>30</v>
      </c>
      <c r="H191" s="28">
        <f>IFERROR(__xludf.DUMMYFUNCTION("""COMPUTED_VALUE"""),0.0)</f>
        <v>0</v>
      </c>
      <c r="I191" s="28">
        <f>IFERROR(__xludf.DUMMYFUNCTION("""COMPUTED_VALUE"""),7.0)</f>
        <v>7</v>
      </c>
      <c r="J191" s="28">
        <f>IFERROR(__xludf.DUMMYFUNCTION("""COMPUTED_VALUE"""),20.0)</f>
        <v>20</v>
      </c>
      <c r="K191" s="28">
        <f>IFERROR(__xludf.DUMMYFUNCTION("""COMPUTED_VALUE"""),23.0)</f>
        <v>23</v>
      </c>
      <c r="L191" s="28">
        <f>IFERROR(__xludf.DUMMYFUNCTION("""COMPUTED_VALUE"""),22.0)</f>
        <v>22</v>
      </c>
      <c r="M191" s="28">
        <f>IFERROR(__xludf.DUMMYFUNCTION("""COMPUTED_VALUE"""),1.0)</f>
        <v>1</v>
      </c>
      <c r="N191" s="28">
        <f>IFERROR(__xludf.DUMMYFUNCTION("""COMPUTED_VALUE"""),19.0)</f>
        <v>19</v>
      </c>
    </row>
    <row r="192">
      <c r="A192" s="26">
        <f>IFERROR(__xludf.DUMMYFUNCTION("""COMPUTED_VALUE"""),45307.0)</f>
        <v>45307</v>
      </c>
      <c r="B192" s="27">
        <f>IFERROR(__xludf.DUMMYFUNCTION("""COMPUTED_VALUE"""),24.0)</f>
        <v>24</v>
      </c>
      <c r="C192" s="28">
        <f>IFERROR(__xludf.DUMMYFUNCTION("""COMPUTED_VALUE"""),95.0)</f>
        <v>95</v>
      </c>
      <c r="D192" s="28">
        <f>IFERROR(__xludf.DUMMYFUNCTION("""COMPUTED_VALUE"""),4.0)</f>
        <v>4</v>
      </c>
      <c r="E192" s="28">
        <f>IFERROR(__xludf.DUMMYFUNCTION("""COMPUTED_VALUE"""),1435.0)</f>
        <v>1435</v>
      </c>
      <c r="F192" s="28">
        <f>IFERROR(__xludf.DUMMYFUNCTION("""COMPUTED_VALUE"""),60.0)</f>
        <v>60</v>
      </c>
      <c r="G192" s="28">
        <f>IFERROR(__xludf.DUMMYFUNCTION("""COMPUTED_VALUE"""),20.0)</f>
        <v>20</v>
      </c>
      <c r="H192" s="28">
        <f>IFERROR(__xludf.DUMMYFUNCTION("""COMPUTED_VALUE"""),0.0)</f>
        <v>0</v>
      </c>
      <c r="I192" s="28">
        <f>IFERROR(__xludf.DUMMYFUNCTION("""COMPUTED_VALUE"""),4.0)</f>
        <v>4</v>
      </c>
      <c r="J192" s="28">
        <f>IFERROR(__xludf.DUMMYFUNCTION("""COMPUTED_VALUE"""),11.0)</f>
        <v>11</v>
      </c>
      <c r="K192" s="28">
        <f>IFERROR(__xludf.DUMMYFUNCTION("""COMPUTED_VALUE"""),21.0)</f>
        <v>21</v>
      </c>
      <c r="L192" s="28">
        <f>IFERROR(__xludf.DUMMYFUNCTION("""COMPUTED_VALUE"""),5.0)</f>
        <v>5</v>
      </c>
      <c r="M192" s="28">
        <f>IFERROR(__xludf.DUMMYFUNCTION("""COMPUTED_VALUE"""),1.0)</f>
        <v>1</v>
      </c>
      <c r="N192" s="28">
        <f>IFERROR(__xludf.DUMMYFUNCTION("""COMPUTED_VALUE"""),16.0)</f>
        <v>16</v>
      </c>
    </row>
    <row r="193">
      <c r="A193" s="26">
        <f>IFERROR(__xludf.DUMMYFUNCTION("""COMPUTED_VALUE"""),45308.0)</f>
        <v>45308</v>
      </c>
      <c r="B193" s="27">
        <f>IFERROR(__xludf.DUMMYFUNCTION("""COMPUTED_VALUE"""),35.0)</f>
        <v>35</v>
      </c>
      <c r="C193" s="28">
        <f>IFERROR(__xludf.DUMMYFUNCTION("""COMPUTED_VALUE"""),145.0)</f>
        <v>145</v>
      </c>
      <c r="D193" s="28">
        <f>IFERROR(__xludf.DUMMYFUNCTION("""COMPUTED_VALUE"""),4.0)</f>
        <v>4</v>
      </c>
      <c r="E193" s="28">
        <f>IFERROR(__xludf.DUMMYFUNCTION("""COMPUTED_VALUE"""),2553.0)</f>
        <v>2553</v>
      </c>
      <c r="F193" s="28">
        <f>IFERROR(__xludf.DUMMYFUNCTION("""COMPUTED_VALUE"""),73.0)</f>
        <v>73</v>
      </c>
      <c r="G193" s="28">
        <f>IFERROR(__xludf.DUMMYFUNCTION("""COMPUTED_VALUE"""),28.0)</f>
        <v>28</v>
      </c>
      <c r="H193" s="28">
        <f>IFERROR(__xludf.DUMMYFUNCTION("""COMPUTED_VALUE"""),0.0)</f>
        <v>0</v>
      </c>
      <c r="I193" s="28">
        <f>IFERROR(__xludf.DUMMYFUNCTION("""COMPUTED_VALUE"""),7.0)</f>
        <v>7</v>
      </c>
      <c r="J193" s="28">
        <f>IFERROR(__xludf.DUMMYFUNCTION("""COMPUTED_VALUE"""),29.0)</f>
        <v>29</v>
      </c>
      <c r="K193" s="28">
        <f>IFERROR(__xludf.DUMMYFUNCTION("""COMPUTED_VALUE"""),24.0)</f>
        <v>24</v>
      </c>
      <c r="L193" s="28">
        <f>IFERROR(__xludf.DUMMYFUNCTION("""COMPUTED_VALUE"""),10.0)</f>
        <v>10</v>
      </c>
      <c r="M193" s="28">
        <f>IFERROR(__xludf.DUMMYFUNCTION("""COMPUTED_VALUE"""),4.0)</f>
        <v>4</v>
      </c>
      <c r="N193" s="28">
        <f>IFERROR(__xludf.DUMMYFUNCTION("""COMPUTED_VALUE"""),21.0)</f>
        <v>21</v>
      </c>
    </row>
    <row r="194">
      <c r="A194" s="26">
        <f>IFERROR(__xludf.DUMMYFUNCTION("""COMPUTED_VALUE"""),45309.0)</f>
        <v>45309</v>
      </c>
      <c r="B194" s="27">
        <f>IFERROR(__xludf.DUMMYFUNCTION("""COMPUTED_VALUE"""),30.0)</f>
        <v>30</v>
      </c>
      <c r="C194" s="28">
        <f>IFERROR(__xludf.DUMMYFUNCTION("""COMPUTED_VALUE"""),116.0)</f>
        <v>116</v>
      </c>
      <c r="D194" s="28">
        <f>IFERROR(__xludf.DUMMYFUNCTION("""COMPUTED_VALUE"""),4.0)</f>
        <v>4</v>
      </c>
      <c r="E194" s="28">
        <f>IFERROR(__xludf.DUMMYFUNCTION("""COMPUTED_VALUE"""),2168.0)</f>
        <v>2168</v>
      </c>
      <c r="F194" s="28">
        <f>IFERROR(__xludf.DUMMYFUNCTION("""COMPUTED_VALUE"""),72.0)</f>
        <v>72</v>
      </c>
      <c r="G194" s="28">
        <f>IFERROR(__xludf.DUMMYFUNCTION("""COMPUTED_VALUE"""),21.0)</f>
        <v>21</v>
      </c>
      <c r="H194" s="28">
        <f>IFERROR(__xludf.DUMMYFUNCTION("""COMPUTED_VALUE"""),0.0)</f>
        <v>0</v>
      </c>
      <c r="I194" s="28">
        <f>IFERROR(__xludf.DUMMYFUNCTION("""COMPUTED_VALUE"""),8.0)</f>
        <v>8</v>
      </c>
      <c r="J194" s="28">
        <f>IFERROR(__xludf.DUMMYFUNCTION("""COMPUTED_VALUE"""),15.0)</f>
        <v>15</v>
      </c>
      <c r="K194" s="28">
        <f>IFERROR(__xludf.DUMMYFUNCTION("""COMPUTED_VALUE"""),23.0)</f>
        <v>23</v>
      </c>
      <c r="L194" s="28">
        <f>IFERROR(__xludf.DUMMYFUNCTION("""COMPUTED_VALUE"""),11.0)</f>
        <v>11</v>
      </c>
      <c r="M194" s="28">
        <f>IFERROR(__xludf.DUMMYFUNCTION("""COMPUTED_VALUE"""),0.0)</f>
        <v>0</v>
      </c>
      <c r="N194" s="28">
        <f>IFERROR(__xludf.DUMMYFUNCTION("""COMPUTED_VALUE"""),20.0)</f>
        <v>20</v>
      </c>
    </row>
    <row r="195">
      <c r="A195" s="26">
        <f>IFERROR(__xludf.DUMMYFUNCTION("""COMPUTED_VALUE"""),45310.0)</f>
        <v>45310</v>
      </c>
      <c r="B195" s="27">
        <f>IFERROR(__xludf.DUMMYFUNCTION("""COMPUTED_VALUE"""),21.0)</f>
        <v>21</v>
      </c>
      <c r="C195" s="28">
        <f>IFERROR(__xludf.DUMMYFUNCTION("""COMPUTED_VALUE"""),83.0)</f>
        <v>83</v>
      </c>
      <c r="D195" s="28">
        <f>IFERROR(__xludf.DUMMYFUNCTION("""COMPUTED_VALUE"""),4.0)</f>
        <v>4</v>
      </c>
      <c r="E195" s="28">
        <f>IFERROR(__xludf.DUMMYFUNCTION("""COMPUTED_VALUE"""),1654.0)</f>
        <v>1654</v>
      </c>
      <c r="F195" s="28">
        <f>IFERROR(__xludf.DUMMYFUNCTION("""COMPUTED_VALUE"""),79.0)</f>
        <v>79</v>
      </c>
      <c r="G195" s="28">
        <f>IFERROR(__xludf.DUMMYFUNCTION("""COMPUTED_VALUE"""),14.0)</f>
        <v>14</v>
      </c>
      <c r="H195" s="28">
        <f>IFERROR(__xludf.DUMMYFUNCTION("""COMPUTED_VALUE"""),0.0)</f>
        <v>0</v>
      </c>
      <c r="I195" s="28">
        <f>IFERROR(__xludf.DUMMYFUNCTION("""COMPUTED_VALUE"""),7.0)</f>
        <v>7</v>
      </c>
      <c r="J195" s="28">
        <f>IFERROR(__xludf.DUMMYFUNCTION("""COMPUTED_VALUE"""),14.0)</f>
        <v>14</v>
      </c>
      <c r="K195" s="28">
        <f>IFERROR(__xludf.DUMMYFUNCTION("""COMPUTED_VALUE"""),17.0)</f>
        <v>17</v>
      </c>
      <c r="L195" s="28">
        <f>IFERROR(__xludf.DUMMYFUNCTION("""COMPUTED_VALUE"""),5.0)</f>
        <v>5</v>
      </c>
      <c r="M195" s="28">
        <f>IFERROR(__xludf.DUMMYFUNCTION("""COMPUTED_VALUE"""),1.0)</f>
        <v>1</v>
      </c>
      <c r="N195" s="28">
        <f>IFERROR(__xludf.DUMMYFUNCTION("""COMPUTED_VALUE"""),15.0)</f>
        <v>15</v>
      </c>
    </row>
    <row r="196">
      <c r="A196" s="26">
        <f>IFERROR(__xludf.DUMMYFUNCTION("""COMPUTED_VALUE"""),45311.0)</f>
        <v>45311</v>
      </c>
      <c r="B196" s="27">
        <f>IFERROR(__xludf.DUMMYFUNCTION("""COMPUTED_VALUE"""),9.0)</f>
        <v>9</v>
      </c>
      <c r="C196" s="28">
        <f>IFERROR(__xludf.DUMMYFUNCTION("""COMPUTED_VALUE"""),32.0)</f>
        <v>32</v>
      </c>
      <c r="D196" s="28">
        <f>IFERROR(__xludf.DUMMYFUNCTION("""COMPUTED_VALUE"""),4.0)</f>
        <v>4</v>
      </c>
      <c r="E196" s="28">
        <f>IFERROR(__xludf.DUMMYFUNCTION("""COMPUTED_VALUE"""),603.0)</f>
        <v>603</v>
      </c>
      <c r="F196" s="28">
        <f>IFERROR(__xludf.DUMMYFUNCTION("""COMPUTED_VALUE"""),67.0)</f>
        <v>67</v>
      </c>
      <c r="G196" s="28">
        <f>IFERROR(__xludf.DUMMYFUNCTION("""COMPUTED_VALUE"""),4.0)</f>
        <v>4</v>
      </c>
      <c r="H196" s="28">
        <f>IFERROR(__xludf.DUMMYFUNCTION("""COMPUTED_VALUE"""),0.0)</f>
        <v>0</v>
      </c>
      <c r="I196" s="28">
        <f>IFERROR(__xludf.DUMMYFUNCTION("""COMPUTED_VALUE"""),5.0)</f>
        <v>5</v>
      </c>
      <c r="J196" s="28">
        <f>IFERROR(__xludf.DUMMYFUNCTION("""COMPUTED_VALUE"""),5.0)</f>
        <v>5</v>
      </c>
      <c r="K196" s="28">
        <f>IFERROR(__xludf.DUMMYFUNCTION("""COMPUTED_VALUE"""),7.0)</f>
        <v>7</v>
      </c>
      <c r="L196" s="28">
        <f>IFERROR(__xludf.DUMMYFUNCTION("""COMPUTED_VALUE"""),2.0)</f>
        <v>2</v>
      </c>
      <c r="M196" s="28">
        <f>IFERROR(__xludf.DUMMYFUNCTION("""COMPUTED_VALUE"""),0.0)</f>
        <v>0</v>
      </c>
      <c r="N196" s="28">
        <f>IFERROR(__xludf.DUMMYFUNCTION("""COMPUTED_VALUE"""),7.0)</f>
        <v>7</v>
      </c>
    </row>
    <row r="197">
      <c r="A197" s="26">
        <f>IFERROR(__xludf.DUMMYFUNCTION("""COMPUTED_VALUE"""),45312.0)</f>
        <v>45312</v>
      </c>
      <c r="B197" s="27">
        <f>IFERROR(__xludf.DUMMYFUNCTION("""COMPUTED_VALUE"""),0.0)</f>
        <v>0</v>
      </c>
      <c r="C197" s="28">
        <f>IFERROR(__xludf.DUMMYFUNCTION("""COMPUTED_VALUE"""),0.0)</f>
        <v>0</v>
      </c>
      <c r="D197" s="28">
        <f>IFERROR(__xludf.DUMMYFUNCTION("""COMPUTED_VALUE"""),0.0)</f>
        <v>0</v>
      </c>
      <c r="E197" s="28">
        <f>IFERROR(__xludf.DUMMYFUNCTION("""COMPUTED_VALUE"""),0.0)</f>
        <v>0</v>
      </c>
      <c r="F197" s="28">
        <f>IFERROR(__xludf.DUMMYFUNCTION("""COMPUTED_VALUE"""),0.0)</f>
        <v>0</v>
      </c>
      <c r="G197" s="28">
        <f>IFERROR(__xludf.DUMMYFUNCTION("""COMPUTED_VALUE"""),0.0)</f>
        <v>0</v>
      </c>
      <c r="H197" s="28">
        <f>IFERROR(__xludf.DUMMYFUNCTION("""COMPUTED_VALUE"""),0.0)</f>
        <v>0</v>
      </c>
      <c r="I197" s="28">
        <f>IFERROR(__xludf.DUMMYFUNCTION("""COMPUTED_VALUE"""),0.0)</f>
        <v>0</v>
      </c>
      <c r="J197" s="28">
        <f>IFERROR(__xludf.DUMMYFUNCTION("""COMPUTED_VALUE"""),0.0)</f>
        <v>0</v>
      </c>
      <c r="K197" s="28">
        <f>IFERROR(__xludf.DUMMYFUNCTION("""COMPUTED_VALUE"""),0.0)</f>
        <v>0</v>
      </c>
      <c r="L197" s="28">
        <f>IFERROR(__xludf.DUMMYFUNCTION("""COMPUTED_VALUE"""),0.0)</f>
        <v>0</v>
      </c>
      <c r="M197" s="28">
        <f>IFERROR(__xludf.DUMMYFUNCTION("""COMPUTED_VALUE"""),0.0)</f>
        <v>0</v>
      </c>
      <c r="N197" s="28">
        <f>IFERROR(__xludf.DUMMYFUNCTION("""COMPUTED_VALUE"""),0.0)</f>
        <v>0</v>
      </c>
    </row>
    <row r="198">
      <c r="A198" s="26">
        <f>IFERROR(__xludf.DUMMYFUNCTION("""COMPUTED_VALUE"""),45313.0)</f>
        <v>45313</v>
      </c>
      <c r="B198" s="27">
        <f>IFERROR(__xludf.DUMMYFUNCTION("""COMPUTED_VALUE"""),21.0)</f>
        <v>21</v>
      </c>
      <c r="C198" s="28">
        <f>IFERROR(__xludf.DUMMYFUNCTION("""COMPUTED_VALUE"""),102.0)</f>
        <v>102</v>
      </c>
      <c r="D198" s="28">
        <f>IFERROR(__xludf.DUMMYFUNCTION("""COMPUTED_VALUE"""),5.0)</f>
        <v>5</v>
      </c>
      <c r="E198" s="28">
        <f>IFERROR(__xludf.DUMMYFUNCTION("""COMPUTED_VALUE"""),2051.0)</f>
        <v>2051</v>
      </c>
      <c r="F198" s="28">
        <f>IFERROR(__xludf.DUMMYFUNCTION("""COMPUTED_VALUE"""),98.0)</f>
        <v>98</v>
      </c>
      <c r="G198" s="28">
        <f>IFERROR(__xludf.DUMMYFUNCTION("""COMPUTED_VALUE"""),13.0)</f>
        <v>13</v>
      </c>
      <c r="H198" s="28">
        <f>IFERROR(__xludf.DUMMYFUNCTION("""COMPUTED_VALUE"""),0.0)</f>
        <v>0</v>
      </c>
      <c r="I198" s="28">
        <f>IFERROR(__xludf.DUMMYFUNCTION("""COMPUTED_VALUE"""),8.0)</f>
        <v>8</v>
      </c>
      <c r="J198" s="28">
        <f>IFERROR(__xludf.DUMMYFUNCTION("""COMPUTED_VALUE"""),23.0)</f>
        <v>23</v>
      </c>
      <c r="K198" s="28">
        <f>IFERROR(__xludf.DUMMYFUNCTION("""COMPUTED_VALUE"""),16.0)</f>
        <v>16</v>
      </c>
      <c r="L198" s="28">
        <f>IFERROR(__xludf.DUMMYFUNCTION("""COMPUTED_VALUE"""),16.0)</f>
        <v>16</v>
      </c>
      <c r="M198" s="28">
        <f>IFERROR(__xludf.DUMMYFUNCTION("""COMPUTED_VALUE"""),1.0)</f>
        <v>1</v>
      </c>
      <c r="N198" s="28">
        <f>IFERROR(__xludf.DUMMYFUNCTION("""COMPUTED_VALUE"""),12.0)</f>
        <v>12</v>
      </c>
    </row>
    <row r="199">
      <c r="A199" s="26">
        <f>IFERROR(__xludf.DUMMYFUNCTION("""COMPUTED_VALUE"""),45314.0)</f>
        <v>45314</v>
      </c>
      <c r="B199" s="27">
        <f>IFERROR(__xludf.DUMMYFUNCTION("""COMPUTED_VALUE"""),21.0)</f>
        <v>21</v>
      </c>
      <c r="C199" s="28">
        <f>IFERROR(__xludf.DUMMYFUNCTION("""COMPUTED_VALUE"""),82.0)</f>
        <v>82</v>
      </c>
      <c r="D199" s="28">
        <f>IFERROR(__xludf.DUMMYFUNCTION("""COMPUTED_VALUE"""),4.0)</f>
        <v>4</v>
      </c>
      <c r="E199" s="28">
        <f>IFERROR(__xludf.DUMMYFUNCTION("""COMPUTED_VALUE"""),1428.0)</f>
        <v>1428</v>
      </c>
      <c r="F199" s="28">
        <f>IFERROR(__xludf.DUMMYFUNCTION("""COMPUTED_VALUE"""),68.0)</f>
        <v>68</v>
      </c>
      <c r="G199" s="28">
        <f>IFERROR(__xludf.DUMMYFUNCTION("""COMPUTED_VALUE"""),10.0)</f>
        <v>10</v>
      </c>
      <c r="H199" s="28">
        <f>IFERROR(__xludf.DUMMYFUNCTION("""COMPUTED_VALUE"""),0.0)</f>
        <v>0</v>
      </c>
      <c r="I199" s="28">
        <f>IFERROR(__xludf.DUMMYFUNCTION("""COMPUTED_VALUE"""),11.0)</f>
        <v>11</v>
      </c>
      <c r="J199" s="28">
        <f>IFERROR(__xludf.DUMMYFUNCTION("""COMPUTED_VALUE"""),10.0)</f>
        <v>10</v>
      </c>
      <c r="K199" s="28">
        <f>IFERROR(__xludf.DUMMYFUNCTION("""COMPUTED_VALUE"""),16.0)</f>
        <v>16</v>
      </c>
      <c r="L199" s="28">
        <f>IFERROR(__xludf.DUMMYFUNCTION("""COMPUTED_VALUE"""),5.0)</f>
        <v>5</v>
      </c>
      <c r="M199" s="28">
        <f>IFERROR(__xludf.DUMMYFUNCTION("""COMPUTED_VALUE"""),1.0)</f>
        <v>1</v>
      </c>
      <c r="N199" s="28">
        <f>IFERROR(__xludf.DUMMYFUNCTION("""COMPUTED_VALUE"""),14.0)</f>
        <v>14</v>
      </c>
    </row>
    <row r="200">
      <c r="A200" s="26">
        <f>IFERROR(__xludf.DUMMYFUNCTION("""COMPUTED_VALUE"""),45315.0)</f>
        <v>45315</v>
      </c>
      <c r="B200" s="27">
        <f>IFERROR(__xludf.DUMMYFUNCTION("""COMPUTED_VALUE"""),43.0)</f>
        <v>43</v>
      </c>
      <c r="C200" s="28">
        <f>IFERROR(__xludf.DUMMYFUNCTION("""COMPUTED_VALUE"""),177.0)</f>
        <v>177</v>
      </c>
      <c r="D200" s="28">
        <f>IFERROR(__xludf.DUMMYFUNCTION("""COMPUTED_VALUE"""),4.0)</f>
        <v>4</v>
      </c>
      <c r="E200" s="28">
        <f>IFERROR(__xludf.DUMMYFUNCTION("""COMPUTED_VALUE"""),2818.0)</f>
        <v>2818</v>
      </c>
      <c r="F200" s="28">
        <f>IFERROR(__xludf.DUMMYFUNCTION("""COMPUTED_VALUE"""),66.0)</f>
        <v>66</v>
      </c>
      <c r="G200" s="28">
        <f>IFERROR(__xludf.DUMMYFUNCTION("""COMPUTED_VALUE"""),28.0)</f>
        <v>28</v>
      </c>
      <c r="H200" s="28">
        <f>IFERROR(__xludf.DUMMYFUNCTION("""COMPUTED_VALUE"""),0.0)</f>
        <v>0</v>
      </c>
      <c r="I200" s="28">
        <f>IFERROR(__xludf.DUMMYFUNCTION("""COMPUTED_VALUE"""),15.0)</f>
        <v>15</v>
      </c>
      <c r="J200" s="28">
        <f>IFERROR(__xludf.DUMMYFUNCTION("""COMPUTED_VALUE"""),25.0)</f>
        <v>25</v>
      </c>
      <c r="K200" s="28">
        <f>IFERROR(__xludf.DUMMYFUNCTION("""COMPUTED_VALUE"""),32.0)</f>
        <v>32</v>
      </c>
      <c r="L200" s="28">
        <f>IFERROR(__xludf.DUMMYFUNCTION("""COMPUTED_VALUE"""),12.0)</f>
        <v>12</v>
      </c>
      <c r="M200" s="28">
        <f>IFERROR(__xludf.DUMMYFUNCTION("""COMPUTED_VALUE"""),3.0)</f>
        <v>3</v>
      </c>
      <c r="N200" s="28">
        <f>IFERROR(__xludf.DUMMYFUNCTION("""COMPUTED_VALUE"""),26.0)</f>
        <v>26</v>
      </c>
    </row>
    <row r="201">
      <c r="A201" s="26">
        <f>IFERROR(__xludf.DUMMYFUNCTION("""COMPUTED_VALUE"""),45316.0)</f>
        <v>45316</v>
      </c>
      <c r="B201" s="27">
        <f>IFERROR(__xludf.DUMMYFUNCTION("""COMPUTED_VALUE"""),38.0)</f>
        <v>38</v>
      </c>
      <c r="C201" s="28">
        <f>IFERROR(__xludf.DUMMYFUNCTION("""COMPUTED_VALUE"""),151.0)</f>
        <v>151</v>
      </c>
      <c r="D201" s="28">
        <f>IFERROR(__xludf.DUMMYFUNCTION("""COMPUTED_VALUE"""),4.0)</f>
        <v>4</v>
      </c>
      <c r="E201" s="28">
        <f>IFERROR(__xludf.DUMMYFUNCTION("""COMPUTED_VALUE"""),2869.0)</f>
        <v>2869</v>
      </c>
      <c r="F201" s="28">
        <f>IFERROR(__xludf.DUMMYFUNCTION("""COMPUTED_VALUE"""),76.0)</f>
        <v>76</v>
      </c>
      <c r="G201" s="28">
        <f>IFERROR(__xludf.DUMMYFUNCTION("""COMPUTED_VALUE"""),27.0)</f>
        <v>27</v>
      </c>
      <c r="H201" s="28">
        <f>IFERROR(__xludf.DUMMYFUNCTION("""COMPUTED_VALUE"""),0.0)</f>
        <v>0</v>
      </c>
      <c r="I201" s="28">
        <f>IFERROR(__xludf.DUMMYFUNCTION("""COMPUTED_VALUE"""),11.0)</f>
        <v>11</v>
      </c>
      <c r="J201" s="28">
        <f>IFERROR(__xludf.DUMMYFUNCTION("""COMPUTED_VALUE"""),26.0)</f>
        <v>26</v>
      </c>
      <c r="K201" s="28">
        <f>IFERROR(__xludf.DUMMYFUNCTION("""COMPUTED_VALUE"""),26.0)</f>
        <v>26</v>
      </c>
      <c r="L201" s="28">
        <f>IFERROR(__xludf.DUMMYFUNCTION("""COMPUTED_VALUE"""),22.0)</f>
        <v>22</v>
      </c>
      <c r="M201" s="28">
        <f>IFERROR(__xludf.DUMMYFUNCTION("""COMPUTED_VALUE"""),2.0)</f>
        <v>2</v>
      </c>
      <c r="N201" s="28">
        <f>IFERROR(__xludf.DUMMYFUNCTION("""COMPUTED_VALUE"""),23.0)</f>
        <v>23</v>
      </c>
    </row>
    <row r="202">
      <c r="A202" s="26">
        <f>IFERROR(__xludf.DUMMYFUNCTION("""COMPUTED_VALUE"""),45317.0)</f>
        <v>45317</v>
      </c>
      <c r="B202" s="27">
        <f>IFERROR(__xludf.DUMMYFUNCTION("""COMPUTED_VALUE"""),42.0)</f>
        <v>42</v>
      </c>
      <c r="C202" s="28">
        <f>IFERROR(__xludf.DUMMYFUNCTION("""COMPUTED_VALUE"""),163.0)</f>
        <v>163</v>
      </c>
      <c r="D202" s="28">
        <f>IFERROR(__xludf.DUMMYFUNCTION("""COMPUTED_VALUE"""),4.0)</f>
        <v>4</v>
      </c>
      <c r="E202" s="28">
        <f>IFERROR(__xludf.DUMMYFUNCTION("""COMPUTED_VALUE"""),2963.0)</f>
        <v>2963</v>
      </c>
      <c r="F202" s="28">
        <f>IFERROR(__xludf.DUMMYFUNCTION("""COMPUTED_VALUE"""),71.0)</f>
        <v>71</v>
      </c>
      <c r="G202" s="28">
        <f>IFERROR(__xludf.DUMMYFUNCTION("""COMPUTED_VALUE"""),28.0)</f>
        <v>28</v>
      </c>
      <c r="H202" s="28">
        <f>IFERROR(__xludf.DUMMYFUNCTION("""COMPUTED_VALUE"""),0.0)</f>
        <v>0</v>
      </c>
      <c r="I202" s="28">
        <f>IFERROR(__xludf.DUMMYFUNCTION("""COMPUTED_VALUE"""),14.0)</f>
        <v>14</v>
      </c>
      <c r="J202" s="28">
        <f>IFERROR(__xludf.DUMMYFUNCTION("""COMPUTED_VALUE"""),18.0)</f>
        <v>18</v>
      </c>
      <c r="K202" s="28">
        <f>IFERROR(__xludf.DUMMYFUNCTION("""COMPUTED_VALUE"""),37.0)</f>
        <v>37</v>
      </c>
      <c r="L202" s="28">
        <f>IFERROR(__xludf.DUMMYFUNCTION("""COMPUTED_VALUE"""),12.0)</f>
        <v>12</v>
      </c>
      <c r="M202" s="28">
        <f>IFERROR(__xludf.DUMMYFUNCTION("""COMPUTED_VALUE"""),5.0)</f>
        <v>5</v>
      </c>
      <c r="N202" s="28">
        <f>IFERROR(__xludf.DUMMYFUNCTION("""COMPUTED_VALUE"""),28.0)</f>
        <v>28</v>
      </c>
    </row>
    <row r="203">
      <c r="A203" s="26">
        <f>IFERROR(__xludf.DUMMYFUNCTION("""COMPUTED_VALUE"""),45318.0)</f>
        <v>45318</v>
      </c>
      <c r="B203" s="27">
        <f>IFERROR(__xludf.DUMMYFUNCTION("""COMPUTED_VALUE"""),10.0)</f>
        <v>10</v>
      </c>
      <c r="C203" s="28">
        <f>IFERROR(__xludf.DUMMYFUNCTION("""COMPUTED_VALUE"""),43.0)</f>
        <v>43</v>
      </c>
      <c r="D203" s="28">
        <f>IFERROR(__xludf.DUMMYFUNCTION("""COMPUTED_VALUE"""),4.0)</f>
        <v>4</v>
      </c>
      <c r="E203" s="28">
        <f>IFERROR(__xludf.DUMMYFUNCTION("""COMPUTED_VALUE"""),898.0)</f>
        <v>898</v>
      </c>
      <c r="F203" s="28">
        <f>IFERROR(__xludf.DUMMYFUNCTION("""COMPUTED_VALUE"""),90.0)</f>
        <v>90</v>
      </c>
      <c r="G203" s="28">
        <f>IFERROR(__xludf.DUMMYFUNCTION("""COMPUTED_VALUE"""),8.0)</f>
        <v>8</v>
      </c>
      <c r="H203" s="28">
        <f>IFERROR(__xludf.DUMMYFUNCTION("""COMPUTED_VALUE"""),0.0)</f>
        <v>0</v>
      </c>
      <c r="I203" s="28">
        <f>IFERROR(__xludf.DUMMYFUNCTION("""COMPUTED_VALUE"""),2.0)</f>
        <v>2</v>
      </c>
      <c r="J203" s="28">
        <f>IFERROR(__xludf.DUMMYFUNCTION("""COMPUTED_VALUE"""),12.0)</f>
        <v>12</v>
      </c>
      <c r="K203" s="28">
        <f>IFERROR(__xludf.DUMMYFUNCTION("""COMPUTED_VALUE"""),5.0)</f>
        <v>5</v>
      </c>
      <c r="L203" s="28">
        <f>IFERROR(__xludf.DUMMYFUNCTION("""COMPUTED_VALUE"""),6.0)</f>
        <v>6</v>
      </c>
      <c r="M203" s="28">
        <f>IFERROR(__xludf.DUMMYFUNCTION("""COMPUTED_VALUE"""),0.0)</f>
        <v>0</v>
      </c>
      <c r="N203" s="28">
        <f>IFERROR(__xludf.DUMMYFUNCTION("""COMPUTED_VALUE"""),5.0)</f>
        <v>5</v>
      </c>
    </row>
    <row r="204">
      <c r="A204" s="26">
        <f>IFERROR(__xludf.DUMMYFUNCTION("""COMPUTED_VALUE"""),45319.0)</f>
        <v>45319</v>
      </c>
      <c r="B204" s="27">
        <f>IFERROR(__xludf.DUMMYFUNCTION("""COMPUTED_VALUE"""),0.0)</f>
        <v>0</v>
      </c>
      <c r="C204" s="28">
        <f>IFERROR(__xludf.DUMMYFUNCTION("""COMPUTED_VALUE"""),0.0)</f>
        <v>0</v>
      </c>
      <c r="D204" s="28">
        <f>IFERROR(__xludf.DUMMYFUNCTION("""COMPUTED_VALUE"""),0.0)</f>
        <v>0</v>
      </c>
      <c r="E204" s="28">
        <f>IFERROR(__xludf.DUMMYFUNCTION("""COMPUTED_VALUE"""),0.0)</f>
        <v>0</v>
      </c>
      <c r="F204" s="28">
        <f>IFERROR(__xludf.DUMMYFUNCTION("""COMPUTED_VALUE"""),0.0)</f>
        <v>0</v>
      </c>
      <c r="G204" s="28">
        <f>IFERROR(__xludf.DUMMYFUNCTION("""COMPUTED_VALUE"""),0.0)</f>
        <v>0</v>
      </c>
      <c r="H204" s="28">
        <f>IFERROR(__xludf.DUMMYFUNCTION("""COMPUTED_VALUE"""),0.0)</f>
        <v>0</v>
      </c>
      <c r="I204" s="28">
        <f>IFERROR(__xludf.DUMMYFUNCTION("""COMPUTED_VALUE"""),0.0)</f>
        <v>0</v>
      </c>
      <c r="J204" s="28">
        <f>IFERROR(__xludf.DUMMYFUNCTION("""COMPUTED_VALUE"""),0.0)</f>
        <v>0</v>
      </c>
      <c r="K204" s="28">
        <f>IFERROR(__xludf.DUMMYFUNCTION("""COMPUTED_VALUE"""),0.0)</f>
        <v>0</v>
      </c>
      <c r="L204" s="28">
        <f>IFERROR(__xludf.DUMMYFUNCTION("""COMPUTED_VALUE"""),0.0)</f>
        <v>0</v>
      </c>
      <c r="M204" s="28">
        <f>IFERROR(__xludf.DUMMYFUNCTION("""COMPUTED_VALUE"""),0.0)</f>
        <v>0</v>
      </c>
      <c r="N204" s="28">
        <f>IFERROR(__xludf.DUMMYFUNCTION("""COMPUTED_VALUE"""),0.0)</f>
        <v>0</v>
      </c>
    </row>
    <row r="205">
      <c r="A205" s="26">
        <f>IFERROR(__xludf.DUMMYFUNCTION("""COMPUTED_VALUE"""),45320.0)</f>
        <v>45320</v>
      </c>
      <c r="B205" s="27">
        <f>IFERROR(__xludf.DUMMYFUNCTION("""COMPUTED_VALUE"""),39.0)</f>
        <v>39</v>
      </c>
      <c r="C205" s="28">
        <f>IFERROR(__xludf.DUMMYFUNCTION("""COMPUTED_VALUE"""),171.0)</f>
        <v>171</v>
      </c>
      <c r="D205" s="28">
        <f>IFERROR(__xludf.DUMMYFUNCTION("""COMPUTED_VALUE"""),4.0)</f>
        <v>4</v>
      </c>
      <c r="E205" s="28">
        <f>IFERROR(__xludf.DUMMYFUNCTION("""COMPUTED_VALUE"""),3156.0)</f>
        <v>3156</v>
      </c>
      <c r="F205" s="28">
        <f>IFERROR(__xludf.DUMMYFUNCTION("""COMPUTED_VALUE"""),81.0)</f>
        <v>81</v>
      </c>
      <c r="G205" s="28">
        <f>IFERROR(__xludf.DUMMYFUNCTION("""COMPUTED_VALUE"""),30.0)</f>
        <v>30</v>
      </c>
      <c r="H205" s="28">
        <f>IFERROR(__xludf.DUMMYFUNCTION("""COMPUTED_VALUE"""),0.0)</f>
        <v>0</v>
      </c>
      <c r="I205" s="28">
        <f>IFERROR(__xludf.DUMMYFUNCTION("""COMPUTED_VALUE"""),8.0)</f>
        <v>8</v>
      </c>
      <c r="J205" s="28">
        <f>IFERROR(__xludf.DUMMYFUNCTION("""COMPUTED_VALUE"""),22.0)</f>
        <v>22</v>
      </c>
      <c r="K205" s="28">
        <f>IFERROR(__xludf.DUMMYFUNCTION("""COMPUTED_VALUE"""),34.0)</f>
        <v>34</v>
      </c>
      <c r="L205" s="28">
        <f>IFERROR(__xludf.DUMMYFUNCTION("""COMPUTED_VALUE"""),19.0)</f>
        <v>19</v>
      </c>
      <c r="M205" s="28">
        <f>IFERROR(__xludf.DUMMYFUNCTION("""COMPUTED_VALUE"""),3.0)</f>
        <v>3</v>
      </c>
      <c r="N205" s="28">
        <f>IFERROR(__xludf.DUMMYFUNCTION("""COMPUTED_VALUE"""),26.0)</f>
        <v>26</v>
      </c>
    </row>
    <row r="206">
      <c r="A206" s="26">
        <f>IFERROR(__xludf.DUMMYFUNCTION("""COMPUTED_VALUE"""),45321.0)</f>
        <v>45321</v>
      </c>
      <c r="B206" s="27">
        <f>IFERROR(__xludf.DUMMYFUNCTION("""COMPUTED_VALUE"""),44.0)</f>
        <v>44</v>
      </c>
      <c r="C206" s="28">
        <f>IFERROR(__xludf.DUMMYFUNCTION("""COMPUTED_VALUE"""),175.0)</f>
        <v>175</v>
      </c>
      <c r="D206" s="28">
        <f>IFERROR(__xludf.DUMMYFUNCTION("""COMPUTED_VALUE"""),4.0)</f>
        <v>4</v>
      </c>
      <c r="E206" s="28">
        <f>IFERROR(__xludf.DUMMYFUNCTION("""COMPUTED_VALUE"""),3267.0)</f>
        <v>3267</v>
      </c>
      <c r="F206" s="28">
        <f>IFERROR(__xludf.DUMMYFUNCTION("""COMPUTED_VALUE"""),74.0)</f>
        <v>74</v>
      </c>
      <c r="G206" s="28">
        <f>IFERROR(__xludf.DUMMYFUNCTION("""COMPUTED_VALUE"""),33.0)</f>
        <v>33</v>
      </c>
      <c r="H206" s="28">
        <f>IFERROR(__xludf.DUMMYFUNCTION("""COMPUTED_VALUE"""),0.0)</f>
        <v>0</v>
      </c>
      <c r="I206" s="28">
        <f>IFERROR(__xludf.DUMMYFUNCTION("""COMPUTED_VALUE"""),10.0)</f>
        <v>10</v>
      </c>
      <c r="J206" s="28">
        <f>IFERROR(__xludf.DUMMYFUNCTION("""COMPUTED_VALUE"""),30.0)</f>
        <v>30</v>
      </c>
      <c r="K206" s="28">
        <f>IFERROR(__xludf.DUMMYFUNCTION("""COMPUTED_VALUE"""),29.0)</f>
        <v>29</v>
      </c>
      <c r="L206" s="28">
        <f>IFERROR(__xludf.DUMMYFUNCTION("""COMPUTED_VALUE"""),19.0)</f>
        <v>19</v>
      </c>
      <c r="M206" s="28">
        <f>IFERROR(__xludf.DUMMYFUNCTION("""COMPUTED_VALUE"""),1.0)</f>
        <v>1</v>
      </c>
      <c r="N206" s="28">
        <f>IFERROR(__xludf.DUMMYFUNCTION("""COMPUTED_VALUE"""),26.0)</f>
        <v>26</v>
      </c>
    </row>
    <row r="207">
      <c r="A207" s="26">
        <f>IFERROR(__xludf.DUMMYFUNCTION("""COMPUTED_VALUE"""),45322.0)</f>
        <v>45322</v>
      </c>
      <c r="B207" s="27">
        <f>IFERROR(__xludf.DUMMYFUNCTION("""COMPUTED_VALUE"""),43.0)</f>
        <v>43</v>
      </c>
      <c r="C207" s="28">
        <f>IFERROR(__xludf.DUMMYFUNCTION("""COMPUTED_VALUE"""),163.0)</f>
        <v>163</v>
      </c>
      <c r="D207" s="28">
        <f>IFERROR(__xludf.DUMMYFUNCTION("""COMPUTED_VALUE"""),4.0)</f>
        <v>4</v>
      </c>
      <c r="E207" s="28">
        <f>IFERROR(__xludf.DUMMYFUNCTION("""COMPUTED_VALUE"""),3082.0)</f>
        <v>3082</v>
      </c>
      <c r="F207" s="28">
        <f>IFERROR(__xludf.DUMMYFUNCTION("""COMPUTED_VALUE"""),72.0)</f>
        <v>72</v>
      </c>
      <c r="G207" s="28">
        <f>IFERROR(__xludf.DUMMYFUNCTION("""COMPUTED_VALUE"""),29.0)</f>
        <v>29</v>
      </c>
      <c r="H207" s="28">
        <f>IFERROR(__xludf.DUMMYFUNCTION("""COMPUTED_VALUE"""),0.0)</f>
        <v>0</v>
      </c>
      <c r="I207" s="28">
        <f>IFERROR(__xludf.DUMMYFUNCTION("""COMPUTED_VALUE"""),14.0)</f>
        <v>14</v>
      </c>
      <c r="J207" s="28">
        <f>IFERROR(__xludf.DUMMYFUNCTION("""COMPUTED_VALUE"""),19.0)</f>
        <v>19</v>
      </c>
      <c r="K207" s="28">
        <f>IFERROR(__xludf.DUMMYFUNCTION("""COMPUTED_VALUE"""),33.0)</f>
        <v>33</v>
      </c>
      <c r="L207" s="28">
        <f>IFERROR(__xludf.DUMMYFUNCTION("""COMPUTED_VALUE"""),16.0)</f>
        <v>16</v>
      </c>
      <c r="M207" s="28">
        <f>IFERROR(__xludf.DUMMYFUNCTION("""COMPUTED_VALUE"""),2.0)</f>
        <v>2</v>
      </c>
      <c r="N207" s="28">
        <f>IFERROR(__xludf.DUMMYFUNCTION("""COMPUTED_VALUE"""),27.0)</f>
        <v>27</v>
      </c>
    </row>
    <row r="208">
      <c r="A208" s="26">
        <f>IFERROR(__xludf.DUMMYFUNCTION("""COMPUTED_VALUE"""),45323.0)</f>
        <v>45323</v>
      </c>
      <c r="B208" s="27">
        <f>IFERROR(__xludf.DUMMYFUNCTION("""COMPUTED_VALUE"""),67.0)</f>
        <v>67</v>
      </c>
      <c r="C208" s="28">
        <f>IFERROR(__xludf.DUMMYFUNCTION("""COMPUTED_VALUE"""),265.0)</f>
        <v>265</v>
      </c>
      <c r="D208" s="28">
        <f>IFERROR(__xludf.DUMMYFUNCTION("""COMPUTED_VALUE"""),4.0)</f>
        <v>4</v>
      </c>
      <c r="E208" s="28">
        <f>IFERROR(__xludf.DUMMYFUNCTION("""COMPUTED_VALUE"""),4828.0)</f>
        <v>4828</v>
      </c>
      <c r="F208" s="28">
        <f>IFERROR(__xludf.DUMMYFUNCTION("""COMPUTED_VALUE"""),72.0)</f>
        <v>72</v>
      </c>
      <c r="G208" s="28">
        <f>IFERROR(__xludf.DUMMYFUNCTION("""COMPUTED_VALUE"""),54.0)</f>
        <v>54</v>
      </c>
      <c r="H208" s="28">
        <f>IFERROR(__xludf.DUMMYFUNCTION("""COMPUTED_VALUE"""),0.0)</f>
        <v>0</v>
      </c>
      <c r="I208" s="28">
        <f>IFERROR(__xludf.DUMMYFUNCTION("""COMPUTED_VALUE"""),11.0)</f>
        <v>11</v>
      </c>
      <c r="J208" s="28">
        <f>IFERROR(__xludf.DUMMYFUNCTION("""COMPUTED_VALUE"""),41.0)</f>
        <v>41</v>
      </c>
      <c r="K208" s="28">
        <f>IFERROR(__xludf.DUMMYFUNCTION("""COMPUTED_VALUE"""),51.0)</f>
        <v>51</v>
      </c>
      <c r="L208" s="28">
        <f>IFERROR(__xludf.DUMMYFUNCTION("""COMPUTED_VALUE"""),29.0)</f>
        <v>29</v>
      </c>
      <c r="M208" s="28">
        <f>IFERROR(__xludf.DUMMYFUNCTION("""COMPUTED_VALUE"""),2.0)</f>
        <v>2</v>
      </c>
      <c r="N208" s="28">
        <f>IFERROR(__xludf.DUMMYFUNCTION("""COMPUTED_VALUE"""),47.0)</f>
        <v>47</v>
      </c>
    </row>
    <row r="209">
      <c r="A209" s="26">
        <f>IFERROR(__xludf.DUMMYFUNCTION("""COMPUTED_VALUE"""),45324.0)</f>
        <v>45324</v>
      </c>
      <c r="B209" s="27">
        <f>IFERROR(__xludf.DUMMYFUNCTION("""COMPUTED_VALUE"""),53.0)</f>
        <v>53</v>
      </c>
      <c r="C209" s="28">
        <f>IFERROR(__xludf.DUMMYFUNCTION("""COMPUTED_VALUE"""),203.0)</f>
        <v>203</v>
      </c>
      <c r="D209" s="28">
        <f>IFERROR(__xludf.DUMMYFUNCTION("""COMPUTED_VALUE"""),4.0)</f>
        <v>4</v>
      </c>
      <c r="E209" s="28">
        <f>IFERROR(__xludf.DUMMYFUNCTION("""COMPUTED_VALUE"""),3764.0)</f>
        <v>3764</v>
      </c>
      <c r="F209" s="28">
        <f>IFERROR(__xludf.DUMMYFUNCTION("""COMPUTED_VALUE"""),71.0)</f>
        <v>71</v>
      </c>
      <c r="G209" s="28">
        <f>IFERROR(__xludf.DUMMYFUNCTION("""COMPUTED_VALUE"""),38.0)</f>
        <v>38</v>
      </c>
      <c r="H209" s="28">
        <f>IFERROR(__xludf.DUMMYFUNCTION("""COMPUTED_VALUE"""),0.0)</f>
        <v>0</v>
      </c>
      <c r="I209" s="28">
        <f>IFERROR(__xludf.DUMMYFUNCTION("""COMPUTED_VALUE"""),15.0)</f>
        <v>15</v>
      </c>
      <c r="J209" s="28">
        <f>IFERROR(__xludf.DUMMYFUNCTION("""COMPUTED_VALUE"""),29.0)</f>
        <v>29</v>
      </c>
      <c r="K209" s="28">
        <f>IFERROR(__xludf.DUMMYFUNCTION("""COMPUTED_VALUE"""),41.0)</f>
        <v>41</v>
      </c>
      <c r="L209" s="28">
        <f>IFERROR(__xludf.DUMMYFUNCTION("""COMPUTED_VALUE"""),14.0)</f>
        <v>14</v>
      </c>
      <c r="M209" s="28">
        <f>IFERROR(__xludf.DUMMYFUNCTION("""COMPUTED_VALUE"""),3.0)</f>
        <v>3</v>
      </c>
      <c r="N209" s="28">
        <f>IFERROR(__xludf.DUMMYFUNCTION("""COMPUTED_VALUE"""),34.0)</f>
        <v>34</v>
      </c>
    </row>
    <row r="210">
      <c r="A210" s="26">
        <f>IFERROR(__xludf.DUMMYFUNCTION("""COMPUTED_VALUE"""),45325.0)</f>
        <v>45325</v>
      </c>
      <c r="B210" s="27">
        <f>IFERROR(__xludf.DUMMYFUNCTION("""COMPUTED_VALUE"""),11.0)</f>
        <v>11</v>
      </c>
      <c r="C210" s="28">
        <f>IFERROR(__xludf.DUMMYFUNCTION("""COMPUTED_VALUE"""),44.0)</f>
        <v>44</v>
      </c>
      <c r="D210" s="28">
        <f>IFERROR(__xludf.DUMMYFUNCTION("""COMPUTED_VALUE"""),4.0)</f>
        <v>4</v>
      </c>
      <c r="E210" s="28">
        <f>IFERROR(__xludf.DUMMYFUNCTION("""COMPUTED_VALUE"""),728.0)</f>
        <v>728</v>
      </c>
      <c r="F210" s="28">
        <f>IFERROR(__xludf.DUMMYFUNCTION("""COMPUTED_VALUE"""),66.0)</f>
        <v>66</v>
      </c>
      <c r="G210" s="28">
        <f>IFERROR(__xludf.DUMMYFUNCTION("""COMPUTED_VALUE"""),10.0)</f>
        <v>10</v>
      </c>
      <c r="H210" s="28">
        <f>IFERROR(__xludf.DUMMYFUNCTION("""COMPUTED_VALUE"""),0.0)</f>
        <v>0</v>
      </c>
      <c r="I210" s="28">
        <f>IFERROR(__xludf.DUMMYFUNCTION("""COMPUTED_VALUE"""),1.0)</f>
        <v>1</v>
      </c>
      <c r="J210" s="28">
        <f>IFERROR(__xludf.DUMMYFUNCTION("""COMPUTED_VALUE"""),8.0)</f>
        <v>8</v>
      </c>
      <c r="K210" s="28">
        <f>IFERROR(__xludf.DUMMYFUNCTION("""COMPUTED_VALUE"""),7.0)</f>
        <v>7</v>
      </c>
      <c r="L210" s="28">
        <f>IFERROR(__xludf.DUMMYFUNCTION("""COMPUTED_VALUE"""),4.0)</f>
        <v>4</v>
      </c>
      <c r="M210" s="28">
        <f>IFERROR(__xludf.DUMMYFUNCTION("""COMPUTED_VALUE"""),0.0)</f>
        <v>0</v>
      </c>
      <c r="N210" s="28">
        <f>IFERROR(__xludf.DUMMYFUNCTION("""COMPUTED_VALUE"""),7.0)</f>
        <v>7</v>
      </c>
    </row>
    <row r="211">
      <c r="A211" s="26">
        <f>IFERROR(__xludf.DUMMYFUNCTION("""COMPUTED_VALUE"""),45326.0)</f>
        <v>45326</v>
      </c>
      <c r="B211" s="27">
        <f>IFERROR(__xludf.DUMMYFUNCTION("""COMPUTED_VALUE"""),0.0)</f>
        <v>0</v>
      </c>
      <c r="C211" s="28">
        <f>IFERROR(__xludf.DUMMYFUNCTION("""COMPUTED_VALUE"""),0.0)</f>
        <v>0</v>
      </c>
      <c r="D211" s="28">
        <f>IFERROR(__xludf.DUMMYFUNCTION("""COMPUTED_VALUE"""),0.0)</f>
        <v>0</v>
      </c>
      <c r="E211" s="28">
        <f>IFERROR(__xludf.DUMMYFUNCTION("""COMPUTED_VALUE"""),0.0)</f>
        <v>0</v>
      </c>
      <c r="F211" s="28">
        <f>IFERROR(__xludf.DUMMYFUNCTION("""COMPUTED_VALUE"""),0.0)</f>
        <v>0</v>
      </c>
      <c r="G211" s="28">
        <f>IFERROR(__xludf.DUMMYFUNCTION("""COMPUTED_VALUE"""),0.0)</f>
        <v>0</v>
      </c>
      <c r="H211" s="28">
        <f>IFERROR(__xludf.DUMMYFUNCTION("""COMPUTED_VALUE"""),0.0)</f>
        <v>0</v>
      </c>
      <c r="I211" s="28">
        <f>IFERROR(__xludf.DUMMYFUNCTION("""COMPUTED_VALUE"""),0.0)</f>
        <v>0</v>
      </c>
      <c r="J211" s="28">
        <f>IFERROR(__xludf.DUMMYFUNCTION("""COMPUTED_VALUE"""),0.0)</f>
        <v>0</v>
      </c>
      <c r="K211" s="28">
        <f>IFERROR(__xludf.DUMMYFUNCTION("""COMPUTED_VALUE"""),0.0)</f>
        <v>0</v>
      </c>
      <c r="L211" s="28">
        <f>IFERROR(__xludf.DUMMYFUNCTION("""COMPUTED_VALUE"""),0.0)</f>
        <v>0</v>
      </c>
      <c r="M211" s="28">
        <f>IFERROR(__xludf.DUMMYFUNCTION("""COMPUTED_VALUE"""),0.0)</f>
        <v>0</v>
      </c>
      <c r="N211" s="28">
        <f>IFERROR(__xludf.DUMMYFUNCTION("""COMPUTED_VALUE"""),0.0)</f>
        <v>0</v>
      </c>
    </row>
    <row r="212">
      <c r="A212" s="26">
        <f>IFERROR(__xludf.DUMMYFUNCTION("""COMPUTED_VALUE"""),45327.0)</f>
        <v>45327</v>
      </c>
      <c r="B212" s="27">
        <f>IFERROR(__xludf.DUMMYFUNCTION("""COMPUTED_VALUE"""),43.0)</f>
        <v>43</v>
      </c>
      <c r="C212" s="28">
        <f>IFERROR(__xludf.DUMMYFUNCTION("""COMPUTED_VALUE"""),211.0)</f>
        <v>211</v>
      </c>
      <c r="D212" s="28">
        <f>IFERROR(__xludf.DUMMYFUNCTION("""COMPUTED_VALUE"""),5.0)</f>
        <v>5</v>
      </c>
      <c r="E212" s="28">
        <f>IFERROR(__xludf.DUMMYFUNCTION("""COMPUTED_VALUE"""),4607.0)</f>
        <v>4607</v>
      </c>
      <c r="F212" s="28">
        <f>IFERROR(__xludf.DUMMYFUNCTION("""COMPUTED_VALUE"""),107.0)</f>
        <v>107</v>
      </c>
      <c r="G212" s="28">
        <f>IFERROR(__xludf.DUMMYFUNCTION("""COMPUTED_VALUE"""),32.0)</f>
        <v>32</v>
      </c>
      <c r="H212" s="28">
        <f>IFERROR(__xludf.DUMMYFUNCTION("""COMPUTED_VALUE"""),0.0)</f>
        <v>0</v>
      </c>
      <c r="I212" s="28">
        <f>IFERROR(__xludf.DUMMYFUNCTION("""COMPUTED_VALUE"""),11.0)</f>
        <v>11</v>
      </c>
      <c r="J212" s="28">
        <f>IFERROR(__xludf.DUMMYFUNCTION("""COMPUTED_VALUE"""),53.0)</f>
        <v>53</v>
      </c>
      <c r="K212" s="28">
        <f>IFERROR(__xludf.DUMMYFUNCTION("""COMPUTED_VALUE"""),32.0)</f>
        <v>32</v>
      </c>
      <c r="L212" s="28">
        <f>IFERROR(__xludf.DUMMYFUNCTION("""COMPUTED_VALUE"""),30.0)</f>
        <v>30</v>
      </c>
      <c r="M212" s="28">
        <f>IFERROR(__xludf.DUMMYFUNCTION("""COMPUTED_VALUE"""),2.0)</f>
        <v>2</v>
      </c>
      <c r="N212" s="28">
        <f>IFERROR(__xludf.DUMMYFUNCTION("""COMPUTED_VALUE"""),25.0)</f>
        <v>25</v>
      </c>
    </row>
    <row r="213">
      <c r="A213" s="26">
        <f>IFERROR(__xludf.DUMMYFUNCTION("""COMPUTED_VALUE"""),45328.0)</f>
        <v>45328</v>
      </c>
      <c r="B213" s="27">
        <f>IFERROR(__xludf.DUMMYFUNCTION("""COMPUTED_VALUE"""),45.0)</f>
        <v>45</v>
      </c>
      <c r="C213" s="28">
        <f>IFERROR(__xludf.DUMMYFUNCTION("""COMPUTED_VALUE"""),176.0)</f>
        <v>176</v>
      </c>
      <c r="D213" s="28">
        <f>IFERROR(__xludf.DUMMYFUNCTION("""COMPUTED_VALUE"""),4.0)</f>
        <v>4</v>
      </c>
      <c r="E213" s="28">
        <f>IFERROR(__xludf.DUMMYFUNCTION("""COMPUTED_VALUE"""),3335.0)</f>
        <v>3335</v>
      </c>
      <c r="F213" s="28">
        <f>IFERROR(__xludf.DUMMYFUNCTION("""COMPUTED_VALUE"""),74.0)</f>
        <v>74</v>
      </c>
      <c r="G213" s="28">
        <f>IFERROR(__xludf.DUMMYFUNCTION("""COMPUTED_VALUE"""),27.0)</f>
        <v>27</v>
      </c>
      <c r="H213" s="28">
        <f>IFERROR(__xludf.DUMMYFUNCTION("""COMPUTED_VALUE"""),0.0)</f>
        <v>0</v>
      </c>
      <c r="I213" s="28">
        <f>IFERROR(__xludf.DUMMYFUNCTION("""COMPUTED_VALUE"""),17.0)</f>
        <v>17</v>
      </c>
      <c r="J213" s="28">
        <f>IFERROR(__xludf.DUMMYFUNCTION("""COMPUTED_VALUE"""),35.0)</f>
        <v>35</v>
      </c>
      <c r="K213" s="28">
        <f>IFERROR(__xludf.DUMMYFUNCTION("""COMPUTED_VALUE"""),35.0)</f>
        <v>35</v>
      </c>
      <c r="L213" s="28">
        <f>IFERROR(__xludf.DUMMYFUNCTION("""COMPUTED_VALUE"""),8.0)</f>
        <v>8</v>
      </c>
      <c r="M213" s="28">
        <f>IFERROR(__xludf.DUMMYFUNCTION("""COMPUTED_VALUE"""),0.0)</f>
        <v>0</v>
      </c>
      <c r="N213" s="28">
        <f>IFERROR(__xludf.DUMMYFUNCTION("""COMPUTED_VALUE"""),30.0)</f>
        <v>30</v>
      </c>
    </row>
    <row r="214">
      <c r="A214" s="26">
        <f>IFERROR(__xludf.DUMMYFUNCTION("""COMPUTED_VALUE"""),45329.0)</f>
        <v>45329</v>
      </c>
      <c r="B214" s="27">
        <f>IFERROR(__xludf.DUMMYFUNCTION("""COMPUTED_VALUE"""),44.0)</f>
        <v>44</v>
      </c>
      <c r="C214" s="28">
        <f>IFERROR(__xludf.DUMMYFUNCTION("""COMPUTED_VALUE"""),189.0)</f>
        <v>189</v>
      </c>
      <c r="D214" s="28">
        <f>IFERROR(__xludf.DUMMYFUNCTION("""COMPUTED_VALUE"""),4.0)</f>
        <v>4</v>
      </c>
      <c r="E214" s="28">
        <f>IFERROR(__xludf.DUMMYFUNCTION("""COMPUTED_VALUE"""),4069.0)</f>
        <v>4069</v>
      </c>
      <c r="F214" s="28">
        <f>IFERROR(__xludf.DUMMYFUNCTION("""COMPUTED_VALUE"""),92.0)</f>
        <v>92</v>
      </c>
      <c r="G214" s="28">
        <f>IFERROR(__xludf.DUMMYFUNCTION("""COMPUTED_VALUE"""),38.0)</f>
        <v>38</v>
      </c>
      <c r="H214" s="28">
        <f>IFERROR(__xludf.DUMMYFUNCTION("""COMPUTED_VALUE"""),0.0)</f>
        <v>0</v>
      </c>
      <c r="I214" s="28">
        <f>IFERROR(__xludf.DUMMYFUNCTION("""COMPUTED_VALUE"""),6.0)</f>
        <v>6</v>
      </c>
      <c r="J214" s="28">
        <f>IFERROR(__xludf.DUMMYFUNCTION("""COMPUTED_VALUE"""),32.0)</f>
        <v>32</v>
      </c>
      <c r="K214" s="28">
        <f>IFERROR(__xludf.DUMMYFUNCTION("""COMPUTED_VALUE"""),33.0)</f>
        <v>33</v>
      </c>
      <c r="L214" s="28">
        <f>IFERROR(__xludf.DUMMYFUNCTION("""COMPUTED_VALUE"""),29.0)</f>
        <v>29</v>
      </c>
      <c r="M214" s="28">
        <f>IFERROR(__xludf.DUMMYFUNCTION("""COMPUTED_VALUE"""),2.0)</f>
        <v>2</v>
      </c>
      <c r="N214" s="28">
        <f>IFERROR(__xludf.DUMMYFUNCTION("""COMPUTED_VALUE"""),29.0)</f>
        <v>29</v>
      </c>
    </row>
    <row r="215">
      <c r="A215" s="26">
        <f>IFERROR(__xludf.DUMMYFUNCTION("""COMPUTED_VALUE"""),45330.0)</f>
        <v>45330</v>
      </c>
      <c r="B215" s="27">
        <f>IFERROR(__xludf.DUMMYFUNCTION("""COMPUTED_VALUE"""),52.0)</f>
        <v>52</v>
      </c>
      <c r="C215" s="28">
        <f>IFERROR(__xludf.DUMMYFUNCTION("""COMPUTED_VALUE"""),200.0)</f>
        <v>200</v>
      </c>
      <c r="D215" s="28">
        <f>IFERROR(__xludf.DUMMYFUNCTION("""COMPUTED_VALUE"""),4.0)</f>
        <v>4</v>
      </c>
      <c r="E215" s="28">
        <f>IFERROR(__xludf.DUMMYFUNCTION("""COMPUTED_VALUE"""),3725.0)</f>
        <v>3725</v>
      </c>
      <c r="F215" s="28">
        <f>IFERROR(__xludf.DUMMYFUNCTION("""COMPUTED_VALUE"""),72.0)</f>
        <v>72</v>
      </c>
      <c r="G215" s="28">
        <f>IFERROR(__xludf.DUMMYFUNCTION("""COMPUTED_VALUE"""),41.0)</f>
        <v>41</v>
      </c>
      <c r="H215" s="28">
        <f>IFERROR(__xludf.DUMMYFUNCTION("""COMPUTED_VALUE"""),0.0)</f>
        <v>0</v>
      </c>
      <c r="I215" s="28">
        <f>IFERROR(__xludf.DUMMYFUNCTION("""COMPUTED_VALUE"""),11.0)</f>
        <v>11</v>
      </c>
      <c r="J215" s="28">
        <f>IFERROR(__xludf.DUMMYFUNCTION("""COMPUTED_VALUE"""),37.0)</f>
        <v>37</v>
      </c>
      <c r="K215" s="28">
        <f>IFERROR(__xludf.DUMMYFUNCTION("""COMPUTED_VALUE"""),38.0)</f>
        <v>38</v>
      </c>
      <c r="L215" s="28">
        <f>IFERROR(__xludf.DUMMYFUNCTION("""COMPUTED_VALUE"""),11.0)</f>
        <v>11</v>
      </c>
      <c r="M215" s="28">
        <f>IFERROR(__xludf.DUMMYFUNCTION("""COMPUTED_VALUE"""),4.0)</f>
        <v>4</v>
      </c>
      <c r="N215" s="28">
        <f>IFERROR(__xludf.DUMMYFUNCTION("""COMPUTED_VALUE"""),33.0)</f>
        <v>33</v>
      </c>
    </row>
    <row r="216">
      <c r="A216" s="26">
        <f>IFERROR(__xludf.DUMMYFUNCTION("""COMPUTED_VALUE"""),45331.0)</f>
        <v>45331</v>
      </c>
      <c r="B216" s="27">
        <f>IFERROR(__xludf.DUMMYFUNCTION("""COMPUTED_VALUE"""),41.0)</f>
        <v>41</v>
      </c>
      <c r="C216" s="28">
        <f>IFERROR(__xludf.DUMMYFUNCTION("""COMPUTED_VALUE"""),182.0)</f>
        <v>182</v>
      </c>
      <c r="D216" s="28">
        <f>IFERROR(__xludf.DUMMYFUNCTION("""COMPUTED_VALUE"""),4.0)</f>
        <v>4</v>
      </c>
      <c r="E216" s="28">
        <f>IFERROR(__xludf.DUMMYFUNCTION("""COMPUTED_VALUE"""),3379.0)</f>
        <v>3379</v>
      </c>
      <c r="F216" s="28">
        <f>IFERROR(__xludf.DUMMYFUNCTION("""COMPUTED_VALUE"""),82.0)</f>
        <v>82</v>
      </c>
      <c r="G216" s="28">
        <f>IFERROR(__xludf.DUMMYFUNCTION("""COMPUTED_VALUE"""),32.0)</f>
        <v>32</v>
      </c>
      <c r="H216" s="28">
        <f>IFERROR(__xludf.DUMMYFUNCTION("""COMPUTED_VALUE"""),0.0)</f>
        <v>0</v>
      </c>
      <c r="I216" s="28">
        <f>IFERROR(__xludf.DUMMYFUNCTION("""COMPUTED_VALUE"""),9.0)</f>
        <v>9</v>
      </c>
      <c r="J216" s="28">
        <f>IFERROR(__xludf.DUMMYFUNCTION("""COMPUTED_VALUE"""),37.0)</f>
        <v>37</v>
      </c>
      <c r="K216" s="28">
        <f>IFERROR(__xludf.DUMMYFUNCTION("""COMPUTED_VALUE"""),30.0)</f>
        <v>30</v>
      </c>
      <c r="L216" s="28">
        <f>IFERROR(__xludf.DUMMYFUNCTION("""COMPUTED_VALUE"""),19.0)</f>
        <v>19</v>
      </c>
      <c r="M216" s="28">
        <f>IFERROR(__xludf.DUMMYFUNCTION("""COMPUTED_VALUE"""),3.0)</f>
        <v>3</v>
      </c>
      <c r="N216" s="28">
        <f>IFERROR(__xludf.DUMMYFUNCTION("""COMPUTED_VALUE"""),24.0)</f>
        <v>24</v>
      </c>
    </row>
    <row r="217">
      <c r="A217" s="26">
        <f>IFERROR(__xludf.DUMMYFUNCTION("""COMPUTED_VALUE"""),45332.0)</f>
        <v>45332</v>
      </c>
      <c r="B217" s="27">
        <f>IFERROR(__xludf.DUMMYFUNCTION("""COMPUTED_VALUE"""),14.0)</f>
        <v>14</v>
      </c>
      <c r="C217" s="28">
        <f>IFERROR(__xludf.DUMMYFUNCTION("""COMPUTED_VALUE"""),61.0)</f>
        <v>61</v>
      </c>
      <c r="D217" s="28">
        <f>IFERROR(__xludf.DUMMYFUNCTION("""COMPUTED_VALUE"""),4.0)</f>
        <v>4</v>
      </c>
      <c r="E217" s="28">
        <f>IFERROR(__xludf.DUMMYFUNCTION("""COMPUTED_VALUE"""),1099.0)</f>
        <v>1099</v>
      </c>
      <c r="F217" s="28">
        <f>IFERROR(__xludf.DUMMYFUNCTION("""COMPUTED_VALUE"""),78.0)</f>
        <v>78</v>
      </c>
      <c r="G217" s="28">
        <f>IFERROR(__xludf.DUMMYFUNCTION("""COMPUTED_VALUE"""),5.0)</f>
        <v>5</v>
      </c>
      <c r="H217" s="28">
        <f>IFERROR(__xludf.DUMMYFUNCTION("""COMPUTED_VALUE"""),0.0)</f>
        <v>0</v>
      </c>
      <c r="I217" s="28">
        <f>IFERROR(__xludf.DUMMYFUNCTION("""COMPUTED_VALUE"""),9.0)</f>
        <v>9</v>
      </c>
      <c r="J217" s="28">
        <f>IFERROR(__xludf.DUMMYFUNCTION("""COMPUTED_VALUE"""),7.0)</f>
        <v>7</v>
      </c>
      <c r="K217" s="28">
        <f>IFERROR(__xludf.DUMMYFUNCTION("""COMPUTED_VALUE"""),14.0)</f>
        <v>14</v>
      </c>
      <c r="L217" s="28">
        <f>IFERROR(__xludf.DUMMYFUNCTION("""COMPUTED_VALUE"""),1.0)</f>
        <v>1</v>
      </c>
      <c r="M217" s="28">
        <f>IFERROR(__xludf.DUMMYFUNCTION("""COMPUTED_VALUE"""),0.0)</f>
        <v>0</v>
      </c>
      <c r="N217" s="28">
        <f>IFERROR(__xludf.DUMMYFUNCTION("""COMPUTED_VALUE"""),11.0)</f>
        <v>11</v>
      </c>
    </row>
    <row r="218">
      <c r="A218" s="26">
        <f>IFERROR(__xludf.DUMMYFUNCTION("""COMPUTED_VALUE"""),45333.0)</f>
        <v>45333</v>
      </c>
      <c r="B218" s="27">
        <f>IFERROR(__xludf.DUMMYFUNCTION("""COMPUTED_VALUE"""),0.0)</f>
        <v>0</v>
      </c>
      <c r="C218" s="28">
        <f>IFERROR(__xludf.DUMMYFUNCTION("""COMPUTED_VALUE"""),0.0)</f>
        <v>0</v>
      </c>
      <c r="D218" s="28">
        <f>IFERROR(__xludf.DUMMYFUNCTION("""COMPUTED_VALUE"""),0.0)</f>
        <v>0</v>
      </c>
      <c r="E218" s="28">
        <f>IFERROR(__xludf.DUMMYFUNCTION("""COMPUTED_VALUE"""),0.0)</f>
        <v>0</v>
      </c>
      <c r="F218" s="28">
        <f>IFERROR(__xludf.DUMMYFUNCTION("""COMPUTED_VALUE"""),0.0)</f>
        <v>0</v>
      </c>
      <c r="G218" s="28">
        <f>IFERROR(__xludf.DUMMYFUNCTION("""COMPUTED_VALUE"""),0.0)</f>
        <v>0</v>
      </c>
      <c r="H218" s="28">
        <f>IFERROR(__xludf.DUMMYFUNCTION("""COMPUTED_VALUE"""),0.0)</f>
        <v>0</v>
      </c>
      <c r="I218" s="28">
        <f>IFERROR(__xludf.DUMMYFUNCTION("""COMPUTED_VALUE"""),0.0)</f>
        <v>0</v>
      </c>
      <c r="J218" s="28">
        <f>IFERROR(__xludf.DUMMYFUNCTION("""COMPUTED_VALUE"""),0.0)</f>
        <v>0</v>
      </c>
      <c r="K218" s="28">
        <f>IFERROR(__xludf.DUMMYFUNCTION("""COMPUTED_VALUE"""),0.0)</f>
        <v>0</v>
      </c>
      <c r="L218" s="28">
        <f>IFERROR(__xludf.DUMMYFUNCTION("""COMPUTED_VALUE"""),0.0)</f>
        <v>0</v>
      </c>
      <c r="M218" s="28">
        <f>IFERROR(__xludf.DUMMYFUNCTION("""COMPUTED_VALUE"""),0.0)</f>
        <v>0</v>
      </c>
      <c r="N218" s="28">
        <f>IFERROR(__xludf.DUMMYFUNCTION("""COMPUTED_VALUE"""),0.0)</f>
        <v>0</v>
      </c>
    </row>
    <row r="219">
      <c r="A219" s="26">
        <f>IFERROR(__xludf.DUMMYFUNCTION("""COMPUTED_VALUE"""),45334.0)</f>
        <v>45334</v>
      </c>
      <c r="B219" s="27">
        <f>IFERROR(__xludf.DUMMYFUNCTION("""COMPUTED_VALUE"""),29.0)</f>
        <v>29</v>
      </c>
      <c r="C219" s="28">
        <f>IFERROR(__xludf.DUMMYFUNCTION("""COMPUTED_VALUE"""),122.0)</f>
        <v>122</v>
      </c>
      <c r="D219" s="28">
        <f>IFERROR(__xludf.DUMMYFUNCTION("""COMPUTED_VALUE"""),4.0)</f>
        <v>4</v>
      </c>
      <c r="E219" s="28">
        <f>IFERROR(__xludf.DUMMYFUNCTION("""COMPUTED_VALUE"""),2206.0)</f>
        <v>2206</v>
      </c>
      <c r="F219" s="28">
        <f>IFERROR(__xludf.DUMMYFUNCTION("""COMPUTED_VALUE"""),76.0)</f>
        <v>76</v>
      </c>
      <c r="G219" s="28">
        <f>IFERROR(__xludf.DUMMYFUNCTION("""COMPUTED_VALUE"""),21.0)</f>
        <v>21</v>
      </c>
      <c r="H219" s="28">
        <f>IFERROR(__xludf.DUMMYFUNCTION("""COMPUTED_VALUE"""),0.0)</f>
        <v>0</v>
      </c>
      <c r="I219" s="28">
        <f>IFERROR(__xludf.DUMMYFUNCTION("""COMPUTED_VALUE"""),8.0)</f>
        <v>8</v>
      </c>
      <c r="J219" s="28">
        <f>IFERROR(__xludf.DUMMYFUNCTION("""COMPUTED_VALUE"""),22.0)</f>
        <v>22</v>
      </c>
      <c r="K219" s="28">
        <f>IFERROR(__xludf.DUMMYFUNCTION("""COMPUTED_VALUE"""),23.0)</f>
        <v>23</v>
      </c>
      <c r="L219" s="28">
        <f>IFERROR(__xludf.DUMMYFUNCTION("""COMPUTED_VALUE"""),9.0)</f>
        <v>9</v>
      </c>
      <c r="M219" s="28">
        <f>IFERROR(__xludf.DUMMYFUNCTION("""COMPUTED_VALUE"""),4.0)</f>
        <v>4</v>
      </c>
      <c r="N219" s="28">
        <f>IFERROR(__xludf.DUMMYFUNCTION("""COMPUTED_VALUE"""),20.0)</f>
        <v>20</v>
      </c>
    </row>
    <row r="220">
      <c r="A220" s="26">
        <f>IFERROR(__xludf.DUMMYFUNCTION("""COMPUTED_VALUE"""),45335.0)</f>
        <v>45335</v>
      </c>
      <c r="B220" s="27">
        <f>IFERROR(__xludf.DUMMYFUNCTION("""COMPUTED_VALUE"""),43.0)</f>
        <v>43</v>
      </c>
      <c r="C220" s="28">
        <f>IFERROR(__xludf.DUMMYFUNCTION("""COMPUTED_VALUE"""),165.0)</f>
        <v>165</v>
      </c>
      <c r="D220" s="28">
        <f>IFERROR(__xludf.DUMMYFUNCTION("""COMPUTED_VALUE"""),4.0)</f>
        <v>4</v>
      </c>
      <c r="E220" s="28">
        <f>IFERROR(__xludf.DUMMYFUNCTION("""COMPUTED_VALUE"""),2779.0)</f>
        <v>2779</v>
      </c>
      <c r="F220" s="28">
        <f>IFERROR(__xludf.DUMMYFUNCTION("""COMPUTED_VALUE"""),65.0)</f>
        <v>65</v>
      </c>
      <c r="G220" s="28">
        <f>IFERROR(__xludf.DUMMYFUNCTION("""COMPUTED_VALUE"""),24.0)</f>
        <v>24</v>
      </c>
      <c r="H220" s="28">
        <f>IFERROR(__xludf.DUMMYFUNCTION("""COMPUTED_VALUE"""),0.0)</f>
        <v>0</v>
      </c>
      <c r="I220" s="28">
        <f>IFERROR(__xludf.DUMMYFUNCTION("""COMPUTED_VALUE"""),19.0)</f>
        <v>19</v>
      </c>
      <c r="J220" s="28">
        <f>IFERROR(__xludf.DUMMYFUNCTION("""COMPUTED_VALUE"""),27.0)</f>
        <v>27</v>
      </c>
      <c r="K220" s="28">
        <f>IFERROR(__xludf.DUMMYFUNCTION("""COMPUTED_VALUE"""),29.0)</f>
        <v>29</v>
      </c>
      <c r="L220" s="28">
        <f>IFERROR(__xludf.DUMMYFUNCTION("""COMPUTED_VALUE"""),15.0)</f>
        <v>15</v>
      </c>
      <c r="M220" s="28">
        <f>IFERROR(__xludf.DUMMYFUNCTION("""COMPUTED_VALUE"""),2.0)</f>
        <v>2</v>
      </c>
      <c r="N220" s="28">
        <f>IFERROR(__xludf.DUMMYFUNCTION("""COMPUTED_VALUE"""),24.0)</f>
        <v>24</v>
      </c>
    </row>
    <row r="221">
      <c r="A221" s="26">
        <f>IFERROR(__xludf.DUMMYFUNCTION("""COMPUTED_VALUE"""),45336.0)</f>
        <v>45336</v>
      </c>
      <c r="B221" s="27">
        <f>IFERROR(__xludf.DUMMYFUNCTION("""COMPUTED_VALUE"""),47.0)</f>
        <v>47</v>
      </c>
      <c r="C221" s="28">
        <f>IFERROR(__xludf.DUMMYFUNCTION("""COMPUTED_VALUE"""),182.0)</f>
        <v>182</v>
      </c>
      <c r="D221" s="28">
        <f>IFERROR(__xludf.DUMMYFUNCTION("""COMPUTED_VALUE"""),4.0)</f>
        <v>4</v>
      </c>
      <c r="E221" s="28">
        <f>IFERROR(__xludf.DUMMYFUNCTION("""COMPUTED_VALUE"""),4031.0)</f>
        <v>4031</v>
      </c>
      <c r="F221" s="28">
        <f>IFERROR(__xludf.DUMMYFUNCTION("""COMPUTED_VALUE"""),86.0)</f>
        <v>86</v>
      </c>
      <c r="G221" s="28">
        <f>IFERROR(__xludf.DUMMYFUNCTION("""COMPUTED_VALUE"""),31.0)</f>
        <v>31</v>
      </c>
      <c r="H221" s="28">
        <f>IFERROR(__xludf.DUMMYFUNCTION("""COMPUTED_VALUE"""),0.0)</f>
        <v>0</v>
      </c>
      <c r="I221" s="28">
        <f>IFERROR(__xludf.DUMMYFUNCTION("""COMPUTED_VALUE"""),16.0)</f>
        <v>16</v>
      </c>
      <c r="J221" s="28">
        <f>IFERROR(__xludf.DUMMYFUNCTION("""COMPUTED_VALUE"""),10.0)</f>
        <v>10</v>
      </c>
      <c r="K221" s="28">
        <f>IFERROR(__xludf.DUMMYFUNCTION("""COMPUTED_VALUE"""),41.0)</f>
        <v>41</v>
      </c>
      <c r="L221" s="28">
        <f>IFERROR(__xludf.DUMMYFUNCTION("""COMPUTED_VALUE"""),8.0)</f>
        <v>8</v>
      </c>
      <c r="M221" s="28">
        <f>IFERROR(__xludf.DUMMYFUNCTION("""COMPUTED_VALUE"""),3.0)</f>
        <v>3</v>
      </c>
      <c r="N221" s="28">
        <f>IFERROR(__xludf.DUMMYFUNCTION("""COMPUTED_VALUE"""),33.0)</f>
        <v>33</v>
      </c>
    </row>
    <row r="222">
      <c r="A222" s="26">
        <f>IFERROR(__xludf.DUMMYFUNCTION("""COMPUTED_VALUE"""),45337.0)</f>
        <v>45337</v>
      </c>
      <c r="B222" s="27">
        <f>IFERROR(__xludf.DUMMYFUNCTION("""COMPUTED_VALUE"""),22.0)</f>
        <v>22</v>
      </c>
      <c r="C222" s="28">
        <f>IFERROR(__xludf.DUMMYFUNCTION("""COMPUTED_VALUE"""),94.0)</f>
        <v>94</v>
      </c>
      <c r="D222" s="28">
        <f>IFERROR(__xludf.DUMMYFUNCTION("""COMPUTED_VALUE"""),4.0)</f>
        <v>4</v>
      </c>
      <c r="E222" s="28">
        <f>IFERROR(__xludf.DUMMYFUNCTION("""COMPUTED_VALUE"""),1854.0)</f>
        <v>1854</v>
      </c>
      <c r="F222" s="28">
        <f>IFERROR(__xludf.DUMMYFUNCTION("""COMPUTED_VALUE"""),84.0)</f>
        <v>84</v>
      </c>
      <c r="G222" s="28">
        <f>IFERROR(__xludf.DUMMYFUNCTION("""COMPUTED_VALUE"""),10.0)</f>
        <v>10</v>
      </c>
      <c r="H222" s="28">
        <f>IFERROR(__xludf.DUMMYFUNCTION("""COMPUTED_VALUE"""),0.0)</f>
        <v>0</v>
      </c>
      <c r="I222" s="28">
        <f>IFERROR(__xludf.DUMMYFUNCTION("""COMPUTED_VALUE"""),12.0)</f>
        <v>12</v>
      </c>
      <c r="J222" s="28">
        <f>IFERROR(__xludf.DUMMYFUNCTION("""COMPUTED_VALUE"""),11.0)</f>
        <v>11</v>
      </c>
      <c r="K222" s="28">
        <f>IFERROR(__xludf.DUMMYFUNCTION("""COMPUTED_VALUE"""),20.0)</f>
        <v>20</v>
      </c>
      <c r="L222" s="28">
        <f>IFERROR(__xludf.DUMMYFUNCTION("""COMPUTED_VALUE"""),7.0)</f>
        <v>7</v>
      </c>
      <c r="M222" s="28">
        <f>IFERROR(__xludf.DUMMYFUNCTION("""COMPUTED_VALUE"""),0.0)</f>
        <v>0</v>
      </c>
      <c r="N222" s="28">
        <f>IFERROR(__xludf.DUMMYFUNCTION("""COMPUTED_VALUE"""),15.0)</f>
        <v>15</v>
      </c>
    </row>
    <row r="223">
      <c r="A223" s="26">
        <f>IFERROR(__xludf.DUMMYFUNCTION("""COMPUTED_VALUE"""),45338.0)</f>
        <v>45338</v>
      </c>
      <c r="B223" s="27">
        <f>IFERROR(__xludf.DUMMYFUNCTION("""COMPUTED_VALUE"""),25.0)</f>
        <v>25</v>
      </c>
      <c r="C223" s="28">
        <f>IFERROR(__xludf.DUMMYFUNCTION("""COMPUTED_VALUE"""),101.0)</f>
        <v>101</v>
      </c>
      <c r="D223" s="28">
        <f>IFERROR(__xludf.DUMMYFUNCTION("""COMPUTED_VALUE"""),4.0)</f>
        <v>4</v>
      </c>
      <c r="E223" s="28">
        <f>IFERROR(__xludf.DUMMYFUNCTION("""COMPUTED_VALUE"""),1821.0)</f>
        <v>1821</v>
      </c>
      <c r="F223" s="28">
        <f>IFERROR(__xludf.DUMMYFUNCTION("""COMPUTED_VALUE"""),73.0)</f>
        <v>73</v>
      </c>
      <c r="G223" s="28">
        <f>IFERROR(__xludf.DUMMYFUNCTION("""COMPUTED_VALUE"""),14.0)</f>
        <v>14</v>
      </c>
      <c r="H223" s="28">
        <f>IFERROR(__xludf.DUMMYFUNCTION("""COMPUTED_VALUE"""),0.0)</f>
        <v>0</v>
      </c>
      <c r="I223" s="28">
        <f>IFERROR(__xludf.DUMMYFUNCTION("""COMPUTED_VALUE"""),11.0)</f>
        <v>11</v>
      </c>
      <c r="J223" s="28">
        <f>IFERROR(__xludf.DUMMYFUNCTION("""COMPUTED_VALUE"""),14.0)</f>
        <v>14</v>
      </c>
      <c r="K223" s="28">
        <f>IFERROR(__xludf.DUMMYFUNCTION("""COMPUTED_VALUE"""),19.0)</f>
        <v>19</v>
      </c>
      <c r="L223" s="28">
        <f>IFERROR(__xludf.DUMMYFUNCTION("""COMPUTED_VALUE"""),6.0)</f>
        <v>6</v>
      </c>
      <c r="M223" s="28">
        <f>IFERROR(__xludf.DUMMYFUNCTION("""COMPUTED_VALUE"""),2.0)</f>
        <v>2</v>
      </c>
      <c r="N223" s="28">
        <f>IFERROR(__xludf.DUMMYFUNCTION("""COMPUTED_VALUE"""),18.0)</f>
        <v>18</v>
      </c>
    </row>
    <row r="224">
      <c r="A224" s="26">
        <f>IFERROR(__xludf.DUMMYFUNCTION("""COMPUTED_VALUE"""),45339.0)</f>
        <v>45339</v>
      </c>
      <c r="B224" s="27">
        <f>IFERROR(__xludf.DUMMYFUNCTION("""COMPUTED_VALUE"""),7.0)</f>
        <v>7</v>
      </c>
      <c r="C224" s="28">
        <f>IFERROR(__xludf.DUMMYFUNCTION("""COMPUTED_VALUE"""),31.0)</f>
        <v>31</v>
      </c>
      <c r="D224" s="28">
        <f>IFERROR(__xludf.DUMMYFUNCTION("""COMPUTED_VALUE"""),4.0)</f>
        <v>4</v>
      </c>
      <c r="E224" s="28">
        <f>IFERROR(__xludf.DUMMYFUNCTION("""COMPUTED_VALUE"""),630.0)</f>
        <v>630</v>
      </c>
      <c r="F224" s="28">
        <f>IFERROR(__xludf.DUMMYFUNCTION("""COMPUTED_VALUE"""),90.0)</f>
        <v>90</v>
      </c>
      <c r="G224" s="28">
        <f>IFERROR(__xludf.DUMMYFUNCTION("""COMPUTED_VALUE"""),2.0)</f>
        <v>2</v>
      </c>
      <c r="H224" s="28">
        <f>IFERROR(__xludf.DUMMYFUNCTION("""COMPUTED_VALUE"""),0.0)</f>
        <v>0</v>
      </c>
      <c r="I224" s="28">
        <f>IFERROR(__xludf.DUMMYFUNCTION("""COMPUTED_VALUE"""),5.0)</f>
        <v>5</v>
      </c>
      <c r="J224" s="28">
        <f>IFERROR(__xludf.DUMMYFUNCTION("""COMPUTED_VALUE"""),6.0)</f>
        <v>6</v>
      </c>
      <c r="K224" s="28">
        <f>IFERROR(__xludf.DUMMYFUNCTION("""COMPUTED_VALUE"""),6.0)</f>
        <v>6</v>
      </c>
      <c r="L224" s="28">
        <f>IFERROR(__xludf.DUMMYFUNCTION("""COMPUTED_VALUE"""),4.0)</f>
        <v>4</v>
      </c>
      <c r="M224" s="28">
        <f>IFERROR(__xludf.DUMMYFUNCTION("""COMPUTED_VALUE"""),0.0)</f>
        <v>0</v>
      </c>
      <c r="N224" s="28">
        <f>IFERROR(__xludf.DUMMYFUNCTION("""COMPUTED_VALUE"""),5.0)</f>
        <v>5</v>
      </c>
    </row>
    <row r="225">
      <c r="A225" s="26">
        <f>IFERROR(__xludf.DUMMYFUNCTION("""COMPUTED_VALUE"""),45340.0)</f>
        <v>45340</v>
      </c>
      <c r="B225" s="27">
        <f>IFERROR(__xludf.DUMMYFUNCTION("""COMPUTED_VALUE"""),0.0)</f>
        <v>0</v>
      </c>
      <c r="C225" s="28">
        <f>IFERROR(__xludf.DUMMYFUNCTION("""COMPUTED_VALUE"""),0.0)</f>
        <v>0</v>
      </c>
      <c r="D225" s="28">
        <f>IFERROR(__xludf.DUMMYFUNCTION("""COMPUTED_VALUE"""),0.0)</f>
        <v>0</v>
      </c>
      <c r="E225" s="28">
        <f>IFERROR(__xludf.DUMMYFUNCTION("""COMPUTED_VALUE"""),0.0)</f>
        <v>0</v>
      </c>
      <c r="F225" s="28">
        <f>IFERROR(__xludf.DUMMYFUNCTION("""COMPUTED_VALUE"""),0.0)</f>
        <v>0</v>
      </c>
      <c r="G225" s="28">
        <f>IFERROR(__xludf.DUMMYFUNCTION("""COMPUTED_VALUE"""),0.0)</f>
        <v>0</v>
      </c>
      <c r="H225" s="28">
        <f>IFERROR(__xludf.DUMMYFUNCTION("""COMPUTED_VALUE"""),0.0)</f>
        <v>0</v>
      </c>
      <c r="I225" s="28">
        <f>IFERROR(__xludf.DUMMYFUNCTION("""COMPUTED_VALUE"""),0.0)</f>
        <v>0</v>
      </c>
      <c r="J225" s="28">
        <f>IFERROR(__xludf.DUMMYFUNCTION("""COMPUTED_VALUE"""),0.0)</f>
        <v>0</v>
      </c>
      <c r="K225" s="28">
        <f>IFERROR(__xludf.DUMMYFUNCTION("""COMPUTED_VALUE"""),0.0)</f>
        <v>0</v>
      </c>
      <c r="L225" s="28">
        <f>IFERROR(__xludf.DUMMYFUNCTION("""COMPUTED_VALUE"""),0.0)</f>
        <v>0</v>
      </c>
      <c r="M225" s="28">
        <f>IFERROR(__xludf.DUMMYFUNCTION("""COMPUTED_VALUE"""),0.0)</f>
        <v>0</v>
      </c>
      <c r="N225" s="28">
        <f>IFERROR(__xludf.DUMMYFUNCTION("""COMPUTED_VALUE"""),0.0)</f>
        <v>0</v>
      </c>
    </row>
    <row r="226">
      <c r="A226" s="26">
        <f>IFERROR(__xludf.DUMMYFUNCTION("""COMPUTED_VALUE"""),45341.0)</f>
        <v>45341</v>
      </c>
      <c r="B226" s="27">
        <f>IFERROR(__xludf.DUMMYFUNCTION("""COMPUTED_VALUE"""),11.0)</f>
        <v>11</v>
      </c>
      <c r="C226" s="28">
        <f>IFERROR(__xludf.DUMMYFUNCTION("""COMPUTED_VALUE"""),46.0)</f>
        <v>46</v>
      </c>
      <c r="D226" s="28">
        <f>IFERROR(__xludf.DUMMYFUNCTION("""COMPUTED_VALUE"""),4.0)</f>
        <v>4</v>
      </c>
      <c r="E226" s="28">
        <f>IFERROR(__xludf.DUMMYFUNCTION("""COMPUTED_VALUE"""),967.0)</f>
        <v>967</v>
      </c>
      <c r="F226" s="28">
        <f>IFERROR(__xludf.DUMMYFUNCTION("""COMPUTED_VALUE"""),88.0)</f>
        <v>88</v>
      </c>
      <c r="G226" s="28">
        <f>IFERROR(__xludf.DUMMYFUNCTION("""COMPUTED_VALUE"""),6.0)</f>
        <v>6</v>
      </c>
      <c r="H226" s="28">
        <f>IFERROR(__xludf.DUMMYFUNCTION("""COMPUTED_VALUE"""),0.0)</f>
        <v>0</v>
      </c>
      <c r="I226" s="28">
        <f>IFERROR(__xludf.DUMMYFUNCTION("""COMPUTED_VALUE"""),5.0)</f>
        <v>5</v>
      </c>
      <c r="J226" s="28">
        <f>IFERROR(__xludf.DUMMYFUNCTION("""COMPUTED_VALUE"""),9.0)</f>
        <v>9</v>
      </c>
      <c r="K226" s="28">
        <f>IFERROR(__xludf.DUMMYFUNCTION("""COMPUTED_VALUE"""),8.0)</f>
        <v>8</v>
      </c>
      <c r="L226" s="28">
        <f>IFERROR(__xludf.DUMMYFUNCTION("""COMPUTED_VALUE"""),6.0)</f>
        <v>6</v>
      </c>
      <c r="M226" s="28">
        <f>IFERROR(__xludf.DUMMYFUNCTION("""COMPUTED_VALUE"""),0.0)</f>
        <v>0</v>
      </c>
      <c r="N226" s="28">
        <f>IFERROR(__xludf.DUMMYFUNCTION("""COMPUTED_VALUE"""),8.0)</f>
        <v>8</v>
      </c>
    </row>
    <row r="227">
      <c r="A227" s="26">
        <f>IFERROR(__xludf.DUMMYFUNCTION("""COMPUTED_VALUE"""),45342.0)</f>
        <v>45342</v>
      </c>
      <c r="B227" s="27">
        <f>IFERROR(__xludf.DUMMYFUNCTION("""COMPUTED_VALUE"""),24.0)</f>
        <v>24</v>
      </c>
      <c r="C227" s="28">
        <f>IFERROR(__xludf.DUMMYFUNCTION("""COMPUTED_VALUE"""),102.0)</f>
        <v>102</v>
      </c>
      <c r="D227" s="28">
        <f>IFERROR(__xludf.DUMMYFUNCTION("""COMPUTED_VALUE"""),4.0)</f>
        <v>4</v>
      </c>
      <c r="E227" s="28">
        <f>IFERROR(__xludf.DUMMYFUNCTION("""COMPUTED_VALUE"""),2035.0)</f>
        <v>2035</v>
      </c>
      <c r="F227" s="28">
        <f>IFERROR(__xludf.DUMMYFUNCTION("""COMPUTED_VALUE"""),85.0)</f>
        <v>85</v>
      </c>
      <c r="G227" s="28">
        <f>IFERROR(__xludf.DUMMYFUNCTION("""COMPUTED_VALUE"""),17.0)</f>
        <v>17</v>
      </c>
      <c r="H227" s="28">
        <f>IFERROR(__xludf.DUMMYFUNCTION("""COMPUTED_VALUE"""),0.0)</f>
        <v>0</v>
      </c>
      <c r="I227" s="28">
        <f>IFERROR(__xludf.DUMMYFUNCTION("""COMPUTED_VALUE"""),7.0)</f>
        <v>7</v>
      </c>
      <c r="J227" s="28">
        <f>IFERROR(__xludf.DUMMYFUNCTION("""COMPUTED_VALUE"""),20.0)</f>
        <v>20</v>
      </c>
      <c r="K227" s="28">
        <f>IFERROR(__xludf.DUMMYFUNCTION("""COMPUTED_VALUE"""),18.0)</f>
        <v>18</v>
      </c>
      <c r="L227" s="28">
        <f>IFERROR(__xludf.DUMMYFUNCTION("""COMPUTED_VALUE"""),16.0)</f>
        <v>16</v>
      </c>
      <c r="M227" s="28">
        <f>IFERROR(__xludf.DUMMYFUNCTION("""COMPUTED_VALUE"""),0.0)</f>
        <v>0</v>
      </c>
      <c r="N227" s="28">
        <f>IFERROR(__xludf.DUMMYFUNCTION("""COMPUTED_VALUE"""),17.0)</f>
        <v>17</v>
      </c>
    </row>
    <row r="228">
      <c r="A228" s="26">
        <f>IFERROR(__xludf.DUMMYFUNCTION("""COMPUTED_VALUE"""),45343.0)</f>
        <v>45343</v>
      </c>
      <c r="B228" s="27">
        <f>IFERROR(__xludf.DUMMYFUNCTION("""COMPUTED_VALUE"""),15.0)</f>
        <v>15</v>
      </c>
      <c r="C228" s="28">
        <f>IFERROR(__xludf.DUMMYFUNCTION("""COMPUTED_VALUE"""),65.0)</f>
        <v>65</v>
      </c>
      <c r="D228" s="28">
        <f>IFERROR(__xludf.DUMMYFUNCTION("""COMPUTED_VALUE"""),4.0)</f>
        <v>4</v>
      </c>
      <c r="E228" s="28">
        <f>IFERROR(__xludf.DUMMYFUNCTION("""COMPUTED_VALUE"""),1088.0)</f>
        <v>1088</v>
      </c>
      <c r="F228" s="28">
        <f>IFERROR(__xludf.DUMMYFUNCTION("""COMPUTED_VALUE"""),73.0)</f>
        <v>73</v>
      </c>
      <c r="G228" s="28">
        <f>IFERROR(__xludf.DUMMYFUNCTION("""COMPUTED_VALUE"""),5.0)</f>
        <v>5</v>
      </c>
      <c r="H228" s="28">
        <f>IFERROR(__xludf.DUMMYFUNCTION("""COMPUTED_VALUE"""),0.0)</f>
        <v>0</v>
      </c>
      <c r="I228" s="28">
        <f>IFERROR(__xludf.DUMMYFUNCTION("""COMPUTED_VALUE"""),10.0)</f>
        <v>10</v>
      </c>
      <c r="J228" s="28">
        <f>IFERROR(__xludf.DUMMYFUNCTION("""COMPUTED_VALUE"""),9.0)</f>
        <v>9</v>
      </c>
      <c r="K228" s="28">
        <f>IFERROR(__xludf.DUMMYFUNCTION("""COMPUTED_VALUE"""),13.0)</f>
        <v>13</v>
      </c>
      <c r="L228" s="28">
        <f>IFERROR(__xludf.DUMMYFUNCTION("""COMPUTED_VALUE"""),3.0)</f>
        <v>3</v>
      </c>
      <c r="M228" s="28">
        <f>IFERROR(__xludf.DUMMYFUNCTION("""COMPUTED_VALUE"""),0.0)</f>
        <v>0</v>
      </c>
      <c r="N228" s="28">
        <f>IFERROR(__xludf.DUMMYFUNCTION("""COMPUTED_VALUE"""),12.0)</f>
        <v>12</v>
      </c>
    </row>
    <row r="229">
      <c r="A229" s="26">
        <f>IFERROR(__xludf.DUMMYFUNCTION("""COMPUTED_VALUE"""),45344.0)</f>
        <v>45344</v>
      </c>
      <c r="B229" s="27">
        <f>IFERROR(__xludf.DUMMYFUNCTION("""COMPUTED_VALUE"""),14.0)</f>
        <v>14</v>
      </c>
      <c r="C229" s="28">
        <f>IFERROR(__xludf.DUMMYFUNCTION("""COMPUTED_VALUE"""),65.0)</f>
        <v>65</v>
      </c>
      <c r="D229" s="28">
        <f>IFERROR(__xludf.DUMMYFUNCTION("""COMPUTED_VALUE"""),5.0)</f>
        <v>5</v>
      </c>
      <c r="E229" s="28">
        <f>IFERROR(__xludf.DUMMYFUNCTION("""COMPUTED_VALUE"""),953.0)</f>
        <v>953</v>
      </c>
      <c r="F229" s="28">
        <f>IFERROR(__xludf.DUMMYFUNCTION("""COMPUTED_VALUE"""),68.0)</f>
        <v>68</v>
      </c>
      <c r="G229" s="28">
        <f>IFERROR(__xludf.DUMMYFUNCTION("""COMPUTED_VALUE"""),8.0)</f>
        <v>8</v>
      </c>
      <c r="H229" s="28">
        <f>IFERROR(__xludf.DUMMYFUNCTION("""COMPUTED_VALUE"""),0.0)</f>
        <v>0</v>
      </c>
      <c r="I229" s="28">
        <f>IFERROR(__xludf.DUMMYFUNCTION("""COMPUTED_VALUE"""),6.0)</f>
        <v>6</v>
      </c>
      <c r="J229" s="28">
        <f>IFERROR(__xludf.DUMMYFUNCTION("""COMPUTED_VALUE"""),8.0)</f>
        <v>8</v>
      </c>
      <c r="K229" s="28">
        <f>IFERROR(__xludf.DUMMYFUNCTION("""COMPUTED_VALUE"""),13.0)</f>
        <v>13</v>
      </c>
      <c r="L229" s="28">
        <f>IFERROR(__xludf.DUMMYFUNCTION("""COMPUTED_VALUE"""),4.0)</f>
        <v>4</v>
      </c>
      <c r="M229" s="28">
        <f>IFERROR(__xludf.DUMMYFUNCTION("""COMPUTED_VALUE"""),3.0)</f>
        <v>3</v>
      </c>
      <c r="N229" s="28">
        <f>IFERROR(__xludf.DUMMYFUNCTION("""COMPUTED_VALUE"""),9.0)</f>
        <v>9</v>
      </c>
    </row>
    <row r="230">
      <c r="A230" s="26">
        <f>IFERROR(__xludf.DUMMYFUNCTION("""COMPUTED_VALUE"""),45345.0)</f>
        <v>45345</v>
      </c>
      <c r="B230" s="27">
        <f>IFERROR(__xludf.DUMMYFUNCTION("""COMPUTED_VALUE"""),14.0)</f>
        <v>14</v>
      </c>
      <c r="C230" s="28">
        <f>IFERROR(__xludf.DUMMYFUNCTION("""COMPUTED_VALUE"""),42.0)</f>
        <v>42</v>
      </c>
      <c r="D230" s="28">
        <f>IFERROR(__xludf.DUMMYFUNCTION("""COMPUTED_VALUE"""),3.0)</f>
        <v>3</v>
      </c>
      <c r="E230" s="28">
        <f>IFERROR(__xludf.DUMMYFUNCTION("""COMPUTED_VALUE"""),665.0)</f>
        <v>665</v>
      </c>
      <c r="F230" s="28">
        <f>IFERROR(__xludf.DUMMYFUNCTION("""COMPUTED_VALUE"""),48.0)</f>
        <v>48</v>
      </c>
      <c r="G230" s="28">
        <f>IFERROR(__xludf.DUMMYFUNCTION("""COMPUTED_VALUE"""),9.0)</f>
        <v>9</v>
      </c>
      <c r="H230" s="28">
        <f>IFERROR(__xludf.DUMMYFUNCTION("""COMPUTED_VALUE"""),0.0)</f>
        <v>0</v>
      </c>
      <c r="I230" s="28">
        <f>IFERROR(__xludf.DUMMYFUNCTION("""COMPUTED_VALUE"""),5.0)</f>
        <v>5</v>
      </c>
      <c r="J230" s="28">
        <f>IFERROR(__xludf.DUMMYFUNCTION("""COMPUTED_VALUE"""),1.0)</f>
        <v>1</v>
      </c>
      <c r="K230" s="28">
        <f>IFERROR(__xludf.DUMMYFUNCTION("""COMPUTED_VALUE"""),10.0)</f>
        <v>10</v>
      </c>
      <c r="L230" s="28">
        <f>IFERROR(__xludf.DUMMYFUNCTION("""COMPUTED_VALUE"""),1.0)</f>
        <v>1</v>
      </c>
      <c r="M230" s="28">
        <f>IFERROR(__xludf.DUMMYFUNCTION("""COMPUTED_VALUE"""),1.0)</f>
        <v>1</v>
      </c>
      <c r="N230" s="28">
        <f>IFERROR(__xludf.DUMMYFUNCTION("""COMPUTED_VALUE"""),9.0)</f>
        <v>9</v>
      </c>
    </row>
    <row r="231">
      <c r="A231" s="26">
        <f>IFERROR(__xludf.DUMMYFUNCTION("""COMPUTED_VALUE"""),45346.0)</f>
        <v>45346</v>
      </c>
      <c r="B231" s="27">
        <f>IFERROR(__xludf.DUMMYFUNCTION("""COMPUTED_VALUE"""),8.0)</f>
        <v>8</v>
      </c>
      <c r="C231" s="28">
        <f>IFERROR(__xludf.DUMMYFUNCTION("""COMPUTED_VALUE"""),37.0)</f>
        <v>37</v>
      </c>
      <c r="D231" s="28">
        <f>IFERROR(__xludf.DUMMYFUNCTION("""COMPUTED_VALUE"""),5.0)</f>
        <v>5</v>
      </c>
      <c r="E231" s="28">
        <f>IFERROR(__xludf.DUMMYFUNCTION("""COMPUTED_VALUE"""),751.0)</f>
        <v>751</v>
      </c>
      <c r="F231" s="28">
        <f>IFERROR(__xludf.DUMMYFUNCTION("""COMPUTED_VALUE"""),94.0)</f>
        <v>94</v>
      </c>
      <c r="G231" s="28">
        <f>IFERROR(__xludf.DUMMYFUNCTION("""COMPUTED_VALUE"""),4.0)</f>
        <v>4</v>
      </c>
      <c r="H231" s="28">
        <f>IFERROR(__xludf.DUMMYFUNCTION("""COMPUTED_VALUE"""),0.0)</f>
        <v>0</v>
      </c>
      <c r="I231" s="28">
        <f>IFERROR(__xludf.DUMMYFUNCTION("""COMPUTED_VALUE"""),4.0)</f>
        <v>4</v>
      </c>
      <c r="J231" s="28">
        <f>IFERROR(__xludf.DUMMYFUNCTION("""COMPUTED_VALUE"""),13.0)</f>
        <v>13</v>
      </c>
      <c r="K231" s="28">
        <f>IFERROR(__xludf.DUMMYFUNCTION("""COMPUTED_VALUE"""),5.0)</f>
        <v>5</v>
      </c>
      <c r="L231" s="28">
        <f>IFERROR(__xludf.DUMMYFUNCTION("""COMPUTED_VALUE"""),3.0)</f>
        <v>3</v>
      </c>
      <c r="M231" s="28">
        <f>IFERROR(__xludf.DUMMYFUNCTION("""COMPUTED_VALUE"""),0.0)</f>
        <v>0</v>
      </c>
      <c r="N231" s="28">
        <f>IFERROR(__xludf.DUMMYFUNCTION("""COMPUTED_VALUE"""),4.0)</f>
        <v>4</v>
      </c>
    </row>
    <row r="232">
      <c r="A232" s="26">
        <f>IFERROR(__xludf.DUMMYFUNCTION("""COMPUTED_VALUE"""),45347.0)</f>
        <v>45347</v>
      </c>
      <c r="B232" s="27">
        <f>IFERROR(__xludf.DUMMYFUNCTION("""COMPUTED_VALUE"""),0.0)</f>
        <v>0</v>
      </c>
      <c r="C232" s="28">
        <f>IFERROR(__xludf.DUMMYFUNCTION("""COMPUTED_VALUE"""),0.0)</f>
        <v>0</v>
      </c>
      <c r="D232" s="28">
        <f>IFERROR(__xludf.DUMMYFUNCTION("""COMPUTED_VALUE"""),0.0)</f>
        <v>0</v>
      </c>
      <c r="E232" s="28">
        <f>IFERROR(__xludf.DUMMYFUNCTION("""COMPUTED_VALUE"""),0.0)</f>
        <v>0</v>
      </c>
      <c r="F232" s="28">
        <f>IFERROR(__xludf.DUMMYFUNCTION("""COMPUTED_VALUE"""),0.0)</f>
        <v>0</v>
      </c>
      <c r="G232" s="28">
        <f>IFERROR(__xludf.DUMMYFUNCTION("""COMPUTED_VALUE"""),0.0)</f>
        <v>0</v>
      </c>
      <c r="H232" s="28">
        <f>IFERROR(__xludf.DUMMYFUNCTION("""COMPUTED_VALUE"""),0.0)</f>
        <v>0</v>
      </c>
      <c r="I232" s="28">
        <f>IFERROR(__xludf.DUMMYFUNCTION("""COMPUTED_VALUE"""),0.0)</f>
        <v>0</v>
      </c>
      <c r="J232" s="28">
        <f>IFERROR(__xludf.DUMMYFUNCTION("""COMPUTED_VALUE"""),0.0)</f>
        <v>0</v>
      </c>
      <c r="K232" s="28">
        <f>IFERROR(__xludf.DUMMYFUNCTION("""COMPUTED_VALUE"""),0.0)</f>
        <v>0</v>
      </c>
      <c r="L232" s="28">
        <f>IFERROR(__xludf.DUMMYFUNCTION("""COMPUTED_VALUE"""),0.0)</f>
        <v>0</v>
      </c>
      <c r="M232" s="28">
        <f>IFERROR(__xludf.DUMMYFUNCTION("""COMPUTED_VALUE"""),0.0)</f>
        <v>0</v>
      </c>
      <c r="N232" s="28">
        <f>IFERROR(__xludf.DUMMYFUNCTION("""COMPUTED_VALUE"""),0.0)</f>
        <v>0</v>
      </c>
    </row>
    <row r="233">
      <c r="A233" s="26">
        <f>IFERROR(__xludf.DUMMYFUNCTION("""COMPUTED_VALUE"""),45348.0)</f>
        <v>45348</v>
      </c>
      <c r="B233" s="27">
        <f>IFERROR(__xludf.DUMMYFUNCTION("""COMPUTED_VALUE"""),9.0)</f>
        <v>9</v>
      </c>
      <c r="C233" s="28">
        <f>IFERROR(__xludf.DUMMYFUNCTION("""COMPUTED_VALUE"""),40.0)</f>
        <v>40</v>
      </c>
      <c r="D233" s="28">
        <f>IFERROR(__xludf.DUMMYFUNCTION("""COMPUTED_VALUE"""),4.0)</f>
        <v>4</v>
      </c>
      <c r="E233" s="28">
        <f>IFERROR(__xludf.DUMMYFUNCTION("""COMPUTED_VALUE"""),766.0)</f>
        <v>766</v>
      </c>
      <c r="F233" s="28">
        <f>IFERROR(__xludf.DUMMYFUNCTION("""COMPUTED_VALUE"""),85.0)</f>
        <v>85</v>
      </c>
      <c r="G233" s="28">
        <f>IFERROR(__xludf.DUMMYFUNCTION("""COMPUTED_VALUE"""),4.0)</f>
        <v>4</v>
      </c>
      <c r="H233" s="28">
        <f>IFERROR(__xludf.DUMMYFUNCTION("""COMPUTED_VALUE"""),0.0)</f>
        <v>0</v>
      </c>
      <c r="I233" s="28">
        <f>IFERROR(__xludf.DUMMYFUNCTION("""COMPUTED_VALUE"""),5.0)</f>
        <v>5</v>
      </c>
      <c r="J233" s="28">
        <f>IFERROR(__xludf.DUMMYFUNCTION("""COMPUTED_VALUE"""),9.0)</f>
        <v>9</v>
      </c>
      <c r="K233" s="28">
        <f>IFERROR(__xludf.DUMMYFUNCTION("""COMPUTED_VALUE"""),6.0)</f>
        <v>6</v>
      </c>
      <c r="L233" s="28">
        <f>IFERROR(__xludf.DUMMYFUNCTION("""COMPUTED_VALUE"""),2.0)</f>
        <v>2</v>
      </c>
      <c r="M233" s="28">
        <f>IFERROR(__xludf.DUMMYFUNCTION("""COMPUTED_VALUE"""),1.0)</f>
        <v>1</v>
      </c>
      <c r="N233" s="28">
        <f>IFERROR(__xludf.DUMMYFUNCTION("""COMPUTED_VALUE"""),5.0)</f>
        <v>5</v>
      </c>
    </row>
    <row r="234">
      <c r="A234" s="26">
        <f>IFERROR(__xludf.DUMMYFUNCTION("""COMPUTED_VALUE"""),45349.0)</f>
        <v>45349</v>
      </c>
      <c r="B234" s="27">
        <f>IFERROR(__xludf.DUMMYFUNCTION("""COMPUTED_VALUE"""),11.0)</f>
        <v>11</v>
      </c>
      <c r="C234" s="28">
        <f>IFERROR(__xludf.DUMMYFUNCTION("""COMPUTED_VALUE"""),36.0)</f>
        <v>36</v>
      </c>
      <c r="D234" s="28">
        <f>IFERROR(__xludf.DUMMYFUNCTION("""COMPUTED_VALUE"""),3.0)</f>
        <v>3</v>
      </c>
      <c r="E234" s="28">
        <f>IFERROR(__xludf.DUMMYFUNCTION("""COMPUTED_VALUE"""),635.0)</f>
        <v>635</v>
      </c>
      <c r="F234" s="28">
        <f>IFERROR(__xludf.DUMMYFUNCTION("""COMPUTED_VALUE"""),58.0)</f>
        <v>58</v>
      </c>
      <c r="G234" s="28">
        <f>IFERROR(__xludf.DUMMYFUNCTION("""COMPUTED_VALUE"""),9.0)</f>
        <v>9</v>
      </c>
      <c r="H234" s="28">
        <f>IFERROR(__xludf.DUMMYFUNCTION("""COMPUTED_VALUE"""),0.0)</f>
        <v>0</v>
      </c>
      <c r="I234" s="28">
        <f>IFERROR(__xludf.DUMMYFUNCTION("""COMPUTED_VALUE"""),2.0)</f>
        <v>2</v>
      </c>
      <c r="J234" s="28">
        <f>IFERROR(__xludf.DUMMYFUNCTION("""COMPUTED_VALUE"""),1.0)</f>
        <v>1</v>
      </c>
      <c r="K234" s="28">
        <f>IFERROR(__xludf.DUMMYFUNCTION("""COMPUTED_VALUE"""),9.0)</f>
        <v>9</v>
      </c>
      <c r="L234" s="28">
        <f>IFERROR(__xludf.DUMMYFUNCTION("""COMPUTED_VALUE"""),3.0)</f>
        <v>3</v>
      </c>
      <c r="M234" s="28">
        <f>IFERROR(__xludf.DUMMYFUNCTION("""COMPUTED_VALUE"""),1.0)</f>
        <v>1</v>
      </c>
      <c r="N234" s="28">
        <f>IFERROR(__xludf.DUMMYFUNCTION("""COMPUTED_VALUE"""),7.0)</f>
        <v>7</v>
      </c>
    </row>
    <row r="235">
      <c r="A235" s="26">
        <f>IFERROR(__xludf.DUMMYFUNCTION("""COMPUTED_VALUE"""),45350.0)</f>
        <v>45350</v>
      </c>
      <c r="B235" s="27">
        <f>IFERROR(__xludf.DUMMYFUNCTION("""COMPUTED_VALUE"""),8.0)</f>
        <v>8</v>
      </c>
      <c r="C235" s="28">
        <f>IFERROR(__xludf.DUMMYFUNCTION("""COMPUTED_VALUE"""),36.0)</f>
        <v>36</v>
      </c>
      <c r="D235" s="28">
        <f>IFERROR(__xludf.DUMMYFUNCTION("""COMPUTED_VALUE"""),4.0)</f>
        <v>4</v>
      </c>
      <c r="E235" s="28">
        <f>IFERROR(__xludf.DUMMYFUNCTION("""COMPUTED_VALUE"""),586.0)</f>
        <v>586</v>
      </c>
      <c r="F235" s="28">
        <f>IFERROR(__xludf.DUMMYFUNCTION("""COMPUTED_VALUE"""),73.0)</f>
        <v>73</v>
      </c>
      <c r="G235" s="28">
        <f>IFERROR(__xludf.DUMMYFUNCTION("""COMPUTED_VALUE"""),7.0)</f>
        <v>7</v>
      </c>
      <c r="H235" s="28">
        <f>IFERROR(__xludf.DUMMYFUNCTION("""COMPUTED_VALUE"""),0.0)</f>
        <v>0</v>
      </c>
      <c r="I235" s="28">
        <f>IFERROR(__xludf.DUMMYFUNCTION("""COMPUTED_VALUE"""),1.0)</f>
        <v>1</v>
      </c>
      <c r="J235" s="28">
        <f>IFERROR(__xludf.DUMMYFUNCTION("""COMPUTED_VALUE"""),6.0)</f>
        <v>6</v>
      </c>
      <c r="K235" s="28">
        <f>IFERROR(__xludf.DUMMYFUNCTION("""COMPUTED_VALUE"""),7.0)</f>
        <v>7</v>
      </c>
      <c r="L235" s="28">
        <f>IFERROR(__xludf.DUMMYFUNCTION("""COMPUTED_VALUE"""),4.0)</f>
        <v>4</v>
      </c>
      <c r="M235" s="28">
        <f>IFERROR(__xludf.DUMMYFUNCTION("""COMPUTED_VALUE"""),1.0)</f>
        <v>1</v>
      </c>
      <c r="N235" s="28">
        <f>IFERROR(__xludf.DUMMYFUNCTION("""COMPUTED_VALUE"""),3.0)</f>
        <v>3</v>
      </c>
    </row>
    <row r="236">
      <c r="A236" s="26">
        <f>IFERROR(__xludf.DUMMYFUNCTION("""COMPUTED_VALUE"""),45351.0)</f>
        <v>45351</v>
      </c>
      <c r="B236" s="27">
        <f>IFERROR(__xludf.DUMMYFUNCTION("""COMPUTED_VALUE"""),14.0)</f>
        <v>14</v>
      </c>
      <c r="C236" s="28">
        <f>IFERROR(__xludf.DUMMYFUNCTION("""COMPUTED_VALUE"""),47.0)</f>
        <v>47</v>
      </c>
      <c r="D236" s="28">
        <f>IFERROR(__xludf.DUMMYFUNCTION("""COMPUTED_VALUE"""),3.0)</f>
        <v>3</v>
      </c>
      <c r="E236" s="28">
        <f>IFERROR(__xludf.DUMMYFUNCTION("""COMPUTED_VALUE"""),745.0)</f>
        <v>745</v>
      </c>
      <c r="F236" s="28">
        <f>IFERROR(__xludf.DUMMYFUNCTION("""COMPUTED_VALUE"""),53.0)</f>
        <v>53</v>
      </c>
      <c r="G236" s="28">
        <f>IFERROR(__xludf.DUMMYFUNCTION("""COMPUTED_VALUE"""),10.0)</f>
        <v>10</v>
      </c>
      <c r="H236" s="28">
        <f>IFERROR(__xludf.DUMMYFUNCTION("""COMPUTED_VALUE"""),0.0)</f>
        <v>0</v>
      </c>
      <c r="I236" s="28">
        <f>IFERROR(__xludf.DUMMYFUNCTION("""COMPUTED_VALUE"""),4.0)</f>
        <v>4</v>
      </c>
      <c r="J236" s="28">
        <f>IFERROR(__xludf.DUMMYFUNCTION("""COMPUTED_VALUE"""),4.0)</f>
        <v>4</v>
      </c>
      <c r="K236" s="28">
        <f>IFERROR(__xludf.DUMMYFUNCTION("""COMPUTED_VALUE"""),10.0)</f>
        <v>10</v>
      </c>
      <c r="L236" s="28">
        <f>IFERROR(__xludf.DUMMYFUNCTION("""COMPUTED_VALUE"""),3.0)</f>
        <v>3</v>
      </c>
      <c r="M236" s="28">
        <f>IFERROR(__xludf.DUMMYFUNCTION("""COMPUTED_VALUE"""),0.0)</f>
        <v>0</v>
      </c>
      <c r="N236" s="28">
        <f>IFERROR(__xludf.DUMMYFUNCTION("""COMPUTED_VALUE"""),9.0)</f>
        <v>9</v>
      </c>
    </row>
    <row r="237">
      <c r="A237" s="26">
        <f>IFERROR(__xludf.DUMMYFUNCTION("""COMPUTED_VALUE"""),45352.0)</f>
        <v>45352</v>
      </c>
      <c r="B237" s="27">
        <f>IFERROR(__xludf.DUMMYFUNCTION("""COMPUTED_VALUE"""),14.0)</f>
        <v>14</v>
      </c>
      <c r="C237" s="28">
        <f>IFERROR(__xludf.DUMMYFUNCTION("""COMPUTED_VALUE"""),62.0)</f>
        <v>62</v>
      </c>
      <c r="D237" s="28">
        <f>IFERROR(__xludf.DUMMYFUNCTION("""COMPUTED_VALUE"""),4.0)</f>
        <v>4</v>
      </c>
      <c r="E237" s="28">
        <f>IFERROR(__xludf.DUMMYFUNCTION("""COMPUTED_VALUE"""),884.0)</f>
        <v>884</v>
      </c>
      <c r="F237" s="28">
        <f>IFERROR(__xludf.DUMMYFUNCTION("""COMPUTED_VALUE"""),63.0)</f>
        <v>63</v>
      </c>
      <c r="G237" s="28">
        <f>IFERROR(__xludf.DUMMYFUNCTION("""COMPUTED_VALUE"""),9.0)</f>
        <v>9</v>
      </c>
      <c r="H237" s="28">
        <f>IFERROR(__xludf.DUMMYFUNCTION("""COMPUTED_VALUE"""),0.0)</f>
        <v>0</v>
      </c>
      <c r="I237" s="28">
        <f>IFERROR(__xludf.DUMMYFUNCTION("""COMPUTED_VALUE"""),5.0)</f>
        <v>5</v>
      </c>
      <c r="J237" s="28">
        <f>IFERROR(__xludf.DUMMYFUNCTION("""COMPUTED_VALUE"""),3.0)</f>
        <v>3</v>
      </c>
      <c r="K237" s="28">
        <f>IFERROR(__xludf.DUMMYFUNCTION("""COMPUTED_VALUE"""),10.0)</f>
        <v>10</v>
      </c>
      <c r="L237" s="28">
        <f>IFERROR(__xludf.DUMMYFUNCTION("""COMPUTED_VALUE"""),8.0)</f>
        <v>8</v>
      </c>
      <c r="M237" s="28">
        <f>IFERROR(__xludf.DUMMYFUNCTION("""COMPUTED_VALUE"""),1.0)</f>
        <v>1</v>
      </c>
      <c r="N237" s="28">
        <f>IFERROR(__xludf.DUMMYFUNCTION("""COMPUTED_VALUE"""),8.0)</f>
        <v>8</v>
      </c>
    </row>
    <row r="238">
      <c r="A238" s="26">
        <f>IFERROR(__xludf.DUMMYFUNCTION("""COMPUTED_VALUE"""),45353.0)</f>
        <v>45353</v>
      </c>
      <c r="B238" s="27">
        <f>IFERROR(__xludf.DUMMYFUNCTION("""COMPUTED_VALUE"""),2.0)</f>
        <v>2</v>
      </c>
      <c r="C238" s="28">
        <f>IFERROR(__xludf.DUMMYFUNCTION("""COMPUTED_VALUE"""),5.0)</f>
        <v>5</v>
      </c>
      <c r="D238" s="28">
        <f>IFERROR(__xludf.DUMMYFUNCTION("""COMPUTED_VALUE"""),2.0)</f>
        <v>2</v>
      </c>
      <c r="E238" s="28">
        <f>IFERROR(__xludf.DUMMYFUNCTION("""COMPUTED_VALUE"""),66.0)</f>
        <v>66</v>
      </c>
      <c r="F238" s="28">
        <f>IFERROR(__xludf.DUMMYFUNCTION("""COMPUTED_VALUE"""),33.0)</f>
        <v>33</v>
      </c>
      <c r="G238" s="28">
        <f>IFERROR(__xludf.DUMMYFUNCTION("""COMPUTED_VALUE"""),1.0)</f>
        <v>1</v>
      </c>
      <c r="H238" s="28">
        <f>IFERROR(__xludf.DUMMYFUNCTION("""COMPUTED_VALUE"""),0.0)</f>
        <v>0</v>
      </c>
      <c r="I238" s="28">
        <f>IFERROR(__xludf.DUMMYFUNCTION("""COMPUTED_VALUE"""),1.0)</f>
        <v>1</v>
      </c>
      <c r="J238" s="28">
        <f>IFERROR(__xludf.DUMMYFUNCTION("""COMPUTED_VALUE"""),0.0)</f>
        <v>0</v>
      </c>
      <c r="K238" s="28">
        <f>IFERROR(__xludf.DUMMYFUNCTION("""COMPUTED_VALUE"""),1.0)</f>
        <v>1</v>
      </c>
      <c r="L238" s="28">
        <f>IFERROR(__xludf.DUMMYFUNCTION("""COMPUTED_VALUE"""),0.0)</f>
        <v>0</v>
      </c>
      <c r="M238" s="28">
        <f>IFERROR(__xludf.DUMMYFUNCTION("""COMPUTED_VALUE"""),0.0)</f>
        <v>0</v>
      </c>
      <c r="N238" s="28">
        <f>IFERROR(__xludf.DUMMYFUNCTION("""COMPUTED_VALUE"""),0.0)</f>
        <v>0</v>
      </c>
    </row>
    <row r="239">
      <c r="A239" s="26">
        <f>IFERROR(__xludf.DUMMYFUNCTION("""COMPUTED_VALUE"""),45354.0)</f>
        <v>45354</v>
      </c>
      <c r="B239" s="27">
        <f>IFERROR(__xludf.DUMMYFUNCTION("""COMPUTED_VALUE"""),0.0)</f>
        <v>0</v>
      </c>
      <c r="C239" s="28">
        <f>IFERROR(__xludf.DUMMYFUNCTION("""COMPUTED_VALUE"""),0.0)</f>
        <v>0</v>
      </c>
      <c r="D239" s="28">
        <f>IFERROR(__xludf.DUMMYFUNCTION("""COMPUTED_VALUE"""),0.0)</f>
        <v>0</v>
      </c>
      <c r="E239" s="28">
        <f>IFERROR(__xludf.DUMMYFUNCTION("""COMPUTED_VALUE"""),0.0)</f>
        <v>0</v>
      </c>
      <c r="F239" s="28">
        <f>IFERROR(__xludf.DUMMYFUNCTION("""COMPUTED_VALUE"""),0.0)</f>
        <v>0</v>
      </c>
      <c r="G239" s="28">
        <f>IFERROR(__xludf.DUMMYFUNCTION("""COMPUTED_VALUE"""),0.0)</f>
        <v>0</v>
      </c>
      <c r="H239" s="28">
        <f>IFERROR(__xludf.DUMMYFUNCTION("""COMPUTED_VALUE"""),0.0)</f>
        <v>0</v>
      </c>
      <c r="I239" s="28">
        <f>IFERROR(__xludf.DUMMYFUNCTION("""COMPUTED_VALUE"""),0.0)</f>
        <v>0</v>
      </c>
      <c r="J239" s="28">
        <f>IFERROR(__xludf.DUMMYFUNCTION("""COMPUTED_VALUE"""),0.0)</f>
        <v>0</v>
      </c>
      <c r="K239" s="28">
        <f>IFERROR(__xludf.DUMMYFUNCTION("""COMPUTED_VALUE"""),0.0)</f>
        <v>0</v>
      </c>
      <c r="L239" s="28">
        <f>IFERROR(__xludf.DUMMYFUNCTION("""COMPUTED_VALUE"""),0.0)</f>
        <v>0</v>
      </c>
      <c r="M239" s="28">
        <f>IFERROR(__xludf.DUMMYFUNCTION("""COMPUTED_VALUE"""),0.0)</f>
        <v>0</v>
      </c>
      <c r="N239" s="28">
        <f>IFERROR(__xludf.DUMMYFUNCTION("""COMPUTED_VALUE"""),0.0)</f>
        <v>0</v>
      </c>
    </row>
    <row r="240">
      <c r="A240" s="26">
        <f>IFERROR(__xludf.DUMMYFUNCTION("""COMPUTED_VALUE"""),45355.0)</f>
        <v>45355</v>
      </c>
      <c r="B240" s="27">
        <f>IFERROR(__xludf.DUMMYFUNCTION("""COMPUTED_VALUE"""),16.0)</f>
        <v>16</v>
      </c>
      <c r="C240" s="28">
        <f>IFERROR(__xludf.DUMMYFUNCTION("""COMPUTED_VALUE"""),66.0)</f>
        <v>66</v>
      </c>
      <c r="D240" s="28">
        <f>IFERROR(__xludf.DUMMYFUNCTION("""COMPUTED_VALUE"""),4.0)</f>
        <v>4</v>
      </c>
      <c r="E240" s="28">
        <f>IFERROR(__xludf.DUMMYFUNCTION("""COMPUTED_VALUE"""),1279.0)</f>
        <v>1279</v>
      </c>
      <c r="F240" s="28">
        <f>IFERROR(__xludf.DUMMYFUNCTION("""COMPUTED_VALUE"""),80.0)</f>
        <v>80</v>
      </c>
      <c r="G240" s="28">
        <f>IFERROR(__xludf.DUMMYFUNCTION("""COMPUTED_VALUE"""),12.0)</f>
        <v>12</v>
      </c>
      <c r="H240" s="28">
        <f>IFERROR(__xludf.DUMMYFUNCTION("""COMPUTED_VALUE"""),0.0)</f>
        <v>0</v>
      </c>
      <c r="I240" s="28">
        <f>IFERROR(__xludf.DUMMYFUNCTION("""COMPUTED_VALUE"""),3.0)</f>
        <v>3</v>
      </c>
      <c r="J240" s="28">
        <f>IFERROR(__xludf.DUMMYFUNCTION("""COMPUTED_VALUE"""),14.0)</f>
        <v>14</v>
      </c>
      <c r="K240" s="28">
        <f>IFERROR(__xludf.DUMMYFUNCTION("""COMPUTED_VALUE"""),11.0)</f>
        <v>11</v>
      </c>
      <c r="L240" s="28">
        <f>IFERROR(__xludf.DUMMYFUNCTION("""COMPUTED_VALUE"""),5.0)</f>
        <v>5</v>
      </c>
      <c r="M240" s="28">
        <f>IFERROR(__xludf.DUMMYFUNCTION("""COMPUTED_VALUE"""),0.0)</f>
        <v>0</v>
      </c>
      <c r="N240" s="28">
        <f>IFERROR(__xludf.DUMMYFUNCTION("""COMPUTED_VALUE"""),10.0)</f>
        <v>10</v>
      </c>
    </row>
    <row r="241">
      <c r="A241" s="26">
        <f>IFERROR(__xludf.DUMMYFUNCTION("""COMPUTED_VALUE"""),45356.0)</f>
        <v>45356</v>
      </c>
      <c r="B241" s="27">
        <f>IFERROR(__xludf.DUMMYFUNCTION("""COMPUTED_VALUE"""),16.0)</f>
        <v>16</v>
      </c>
      <c r="C241" s="28">
        <f>IFERROR(__xludf.DUMMYFUNCTION("""COMPUTED_VALUE"""),70.0)</f>
        <v>70</v>
      </c>
      <c r="D241" s="28">
        <f>IFERROR(__xludf.DUMMYFUNCTION("""COMPUTED_VALUE"""),4.0)</f>
        <v>4</v>
      </c>
      <c r="E241" s="28">
        <f>IFERROR(__xludf.DUMMYFUNCTION("""COMPUTED_VALUE"""),1144.0)</f>
        <v>1144</v>
      </c>
      <c r="F241" s="28">
        <f>IFERROR(__xludf.DUMMYFUNCTION("""COMPUTED_VALUE"""),72.0)</f>
        <v>72</v>
      </c>
      <c r="G241" s="28">
        <f>IFERROR(__xludf.DUMMYFUNCTION("""COMPUTED_VALUE"""),12.0)</f>
        <v>12</v>
      </c>
      <c r="H241" s="28">
        <f>IFERROR(__xludf.DUMMYFUNCTION("""COMPUTED_VALUE"""),0.0)</f>
        <v>0</v>
      </c>
      <c r="I241" s="28">
        <f>IFERROR(__xludf.DUMMYFUNCTION("""COMPUTED_VALUE"""),4.0)</f>
        <v>4</v>
      </c>
      <c r="J241" s="28">
        <f>IFERROR(__xludf.DUMMYFUNCTION("""COMPUTED_VALUE"""),18.0)</f>
        <v>18</v>
      </c>
      <c r="K241" s="28">
        <f>IFERROR(__xludf.DUMMYFUNCTION("""COMPUTED_VALUE"""),6.0)</f>
        <v>6</v>
      </c>
      <c r="L241" s="28">
        <f>IFERROR(__xludf.DUMMYFUNCTION("""COMPUTED_VALUE"""),5.0)</f>
        <v>5</v>
      </c>
      <c r="M241" s="28">
        <f>IFERROR(__xludf.DUMMYFUNCTION("""COMPUTED_VALUE"""),1.0)</f>
        <v>1</v>
      </c>
      <c r="N241" s="28">
        <f>IFERROR(__xludf.DUMMYFUNCTION("""COMPUTED_VALUE"""),5.0)</f>
        <v>5</v>
      </c>
    </row>
    <row r="242">
      <c r="A242" s="26">
        <f>IFERROR(__xludf.DUMMYFUNCTION("""COMPUTED_VALUE"""),45357.0)</f>
        <v>45357</v>
      </c>
      <c r="B242" s="27">
        <f>IFERROR(__xludf.DUMMYFUNCTION("""COMPUTED_VALUE"""),5.0)</f>
        <v>5</v>
      </c>
      <c r="C242" s="28">
        <f>IFERROR(__xludf.DUMMYFUNCTION("""COMPUTED_VALUE"""),19.0)</f>
        <v>19</v>
      </c>
      <c r="D242" s="28">
        <f>IFERROR(__xludf.DUMMYFUNCTION("""COMPUTED_VALUE"""),4.0)</f>
        <v>4</v>
      </c>
      <c r="E242" s="28">
        <f>IFERROR(__xludf.DUMMYFUNCTION("""COMPUTED_VALUE"""),347.0)</f>
        <v>347</v>
      </c>
      <c r="F242" s="28">
        <f>IFERROR(__xludf.DUMMYFUNCTION("""COMPUTED_VALUE"""),69.0)</f>
        <v>69</v>
      </c>
      <c r="G242" s="28">
        <f>IFERROR(__xludf.DUMMYFUNCTION("""COMPUTED_VALUE"""),5.0)</f>
        <v>5</v>
      </c>
      <c r="H242" s="28">
        <f>IFERROR(__xludf.DUMMYFUNCTION("""COMPUTED_VALUE"""),0.0)</f>
        <v>0</v>
      </c>
      <c r="I242" s="28">
        <f>IFERROR(__xludf.DUMMYFUNCTION("""COMPUTED_VALUE"""),0.0)</f>
        <v>0</v>
      </c>
      <c r="J242" s="28">
        <f>IFERROR(__xludf.DUMMYFUNCTION("""COMPUTED_VALUE"""),4.0)</f>
        <v>4</v>
      </c>
      <c r="K242" s="28">
        <f>IFERROR(__xludf.DUMMYFUNCTION("""COMPUTED_VALUE"""),3.0)</f>
        <v>3</v>
      </c>
      <c r="L242" s="28">
        <f>IFERROR(__xludf.DUMMYFUNCTION("""COMPUTED_VALUE"""),2.0)</f>
        <v>2</v>
      </c>
      <c r="M242" s="28">
        <f>IFERROR(__xludf.DUMMYFUNCTION("""COMPUTED_VALUE"""),0.0)</f>
        <v>0</v>
      </c>
      <c r="N242" s="28">
        <f>IFERROR(__xludf.DUMMYFUNCTION("""COMPUTED_VALUE"""),3.0)</f>
        <v>3</v>
      </c>
    </row>
    <row r="243">
      <c r="A243" s="26">
        <f>IFERROR(__xludf.DUMMYFUNCTION("""COMPUTED_VALUE"""),45358.0)</f>
        <v>45358</v>
      </c>
      <c r="B243" s="27">
        <f>IFERROR(__xludf.DUMMYFUNCTION("""COMPUTED_VALUE"""),5.0)</f>
        <v>5</v>
      </c>
      <c r="C243" s="28">
        <f>IFERROR(__xludf.DUMMYFUNCTION("""COMPUTED_VALUE"""),17.0)</f>
        <v>17</v>
      </c>
      <c r="D243" s="28">
        <f>IFERROR(__xludf.DUMMYFUNCTION("""COMPUTED_VALUE"""),3.0)</f>
        <v>3</v>
      </c>
      <c r="E243" s="28">
        <f>IFERROR(__xludf.DUMMYFUNCTION("""COMPUTED_VALUE"""),322.0)</f>
        <v>322</v>
      </c>
      <c r="F243" s="28">
        <f>IFERROR(__xludf.DUMMYFUNCTION("""COMPUTED_VALUE"""),64.0)</f>
        <v>64</v>
      </c>
      <c r="G243" s="28">
        <f>IFERROR(__xludf.DUMMYFUNCTION("""COMPUTED_VALUE"""),4.0)</f>
        <v>4</v>
      </c>
      <c r="H243" s="28">
        <f>IFERROR(__xludf.DUMMYFUNCTION("""COMPUTED_VALUE"""),0.0)</f>
        <v>0</v>
      </c>
      <c r="I243" s="28">
        <f>IFERROR(__xludf.DUMMYFUNCTION("""COMPUTED_VALUE"""),1.0)</f>
        <v>1</v>
      </c>
      <c r="J243" s="28">
        <f>IFERROR(__xludf.DUMMYFUNCTION("""COMPUTED_VALUE"""),1.0)</f>
        <v>1</v>
      </c>
      <c r="K243" s="28">
        <f>IFERROR(__xludf.DUMMYFUNCTION("""COMPUTED_VALUE"""),4.0)</f>
        <v>4</v>
      </c>
      <c r="L243" s="28">
        <f>IFERROR(__xludf.DUMMYFUNCTION("""COMPUTED_VALUE"""),0.0)</f>
        <v>0</v>
      </c>
      <c r="M243" s="28">
        <f>IFERROR(__xludf.DUMMYFUNCTION("""COMPUTED_VALUE"""),0.0)</f>
        <v>0</v>
      </c>
      <c r="N243" s="28">
        <f>IFERROR(__xludf.DUMMYFUNCTION("""COMPUTED_VALUE"""),2.0)</f>
        <v>2</v>
      </c>
    </row>
    <row r="244">
      <c r="A244" s="26">
        <f>IFERROR(__xludf.DUMMYFUNCTION("""COMPUTED_VALUE"""),45359.0)</f>
        <v>45359</v>
      </c>
      <c r="B244" s="27">
        <f>IFERROR(__xludf.DUMMYFUNCTION("""COMPUTED_VALUE"""),5.0)</f>
        <v>5</v>
      </c>
      <c r="C244" s="28">
        <f>IFERROR(__xludf.DUMMYFUNCTION("""COMPUTED_VALUE"""),14.0)</f>
        <v>14</v>
      </c>
      <c r="D244" s="28">
        <f>IFERROR(__xludf.DUMMYFUNCTION("""COMPUTED_VALUE"""),3.0)</f>
        <v>3</v>
      </c>
      <c r="E244" s="28">
        <f>IFERROR(__xludf.DUMMYFUNCTION("""COMPUTED_VALUE"""),215.0)</f>
        <v>215</v>
      </c>
      <c r="F244" s="28">
        <f>IFERROR(__xludf.DUMMYFUNCTION("""COMPUTED_VALUE"""),43.0)</f>
        <v>43</v>
      </c>
      <c r="G244" s="28">
        <f>IFERROR(__xludf.DUMMYFUNCTION("""COMPUTED_VALUE"""),2.0)</f>
        <v>2</v>
      </c>
      <c r="H244" s="28">
        <f>IFERROR(__xludf.DUMMYFUNCTION("""COMPUTED_VALUE"""),0.0)</f>
        <v>0</v>
      </c>
      <c r="I244" s="28">
        <f>IFERROR(__xludf.DUMMYFUNCTION("""COMPUTED_VALUE"""),3.0)</f>
        <v>3</v>
      </c>
      <c r="J244" s="28">
        <f>IFERROR(__xludf.DUMMYFUNCTION("""COMPUTED_VALUE"""),1.0)</f>
        <v>1</v>
      </c>
      <c r="K244" s="28">
        <f>IFERROR(__xludf.DUMMYFUNCTION("""COMPUTED_VALUE"""),3.0)</f>
        <v>3</v>
      </c>
      <c r="L244" s="28">
        <f>IFERROR(__xludf.DUMMYFUNCTION("""COMPUTED_VALUE"""),0.0)</f>
        <v>0</v>
      </c>
      <c r="M244" s="28">
        <f>IFERROR(__xludf.DUMMYFUNCTION("""COMPUTED_VALUE"""),0.0)</f>
        <v>0</v>
      </c>
      <c r="N244" s="28">
        <f>IFERROR(__xludf.DUMMYFUNCTION("""COMPUTED_VALUE"""),2.0)</f>
        <v>2</v>
      </c>
    </row>
    <row r="245">
      <c r="A245" s="26">
        <f>IFERROR(__xludf.DUMMYFUNCTION("""COMPUTED_VALUE"""),45360.0)</f>
        <v>45360</v>
      </c>
      <c r="B245" s="27">
        <f>IFERROR(__xludf.DUMMYFUNCTION("""COMPUTED_VALUE"""),8.0)</f>
        <v>8</v>
      </c>
      <c r="C245" s="28">
        <f>IFERROR(__xludf.DUMMYFUNCTION("""COMPUTED_VALUE"""),28.0)</f>
        <v>28</v>
      </c>
      <c r="D245" s="28">
        <f>IFERROR(__xludf.DUMMYFUNCTION("""COMPUTED_VALUE"""),4.0)</f>
        <v>4</v>
      </c>
      <c r="E245" s="28">
        <f>IFERROR(__xludf.DUMMYFUNCTION("""COMPUTED_VALUE"""),496.0)</f>
        <v>496</v>
      </c>
      <c r="F245" s="28">
        <f>IFERROR(__xludf.DUMMYFUNCTION("""COMPUTED_VALUE"""),62.0)</f>
        <v>62</v>
      </c>
      <c r="G245" s="28">
        <f>IFERROR(__xludf.DUMMYFUNCTION("""COMPUTED_VALUE"""),5.0)</f>
        <v>5</v>
      </c>
      <c r="H245" s="28">
        <f>IFERROR(__xludf.DUMMYFUNCTION("""COMPUTED_VALUE"""),0.0)</f>
        <v>0</v>
      </c>
      <c r="I245" s="28">
        <f>IFERROR(__xludf.DUMMYFUNCTION("""COMPUTED_VALUE"""),3.0)</f>
        <v>3</v>
      </c>
      <c r="J245" s="28">
        <f>IFERROR(__xludf.DUMMYFUNCTION("""COMPUTED_VALUE"""),2.0)</f>
        <v>2</v>
      </c>
      <c r="K245" s="28">
        <f>IFERROR(__xludf.DUMMYFUNCTION("""COMPUTED_VALUE"""),5.0)</f>
        <v>5</v>
      </c>
      <c r="L245" s="28">
        <f>IFERROR(__xludf.DUMMYFUNCTION("""COMPUTED_VALUE"""),5.0)</f>
        <v>5</v>
      </c>
      <c r="M245" s="28">
        <f>IFERROR(__xludf.DUMMYFUNCTION("""COMPUTED_VALUE"""),0.0)</f>
        <v>0</v>
      </c>
      <c r="N245" s="28">
        <f>IFERROR(__xludf.DUMMYFUNCTION("""COMPUTED_VALUE"""),4.0)</f>
        <v>4</v>
      </c>
    </row>
    <row r="246">
      <c r="A246" s="26">
        <f>IFERROR(__xludf.DUMMYFUNCTION("""COMPUTED_VALUE"""),45361.0)</f>
        <v>45361</v>
      </c>
      <c r="B246" s="27">
        <f>IFERROR(__xludf.DUMMYFUNCTION("""COMPUTED_VALUE"""),0.0)</f>
        <v>0</v>
      </c>
      <c r="C246" s="28">
        <f>IFERROR(__xludf.DUMMYFUNCTION("""COMPUTED_VALUE"""),0.0)</f>
        <v>0</v>
      </c>
      <c r="D246" s="28">
        <f>IFERROR(__xludf.DUMMYFUNCTION("""COMPUTED_VALUE"""),0.0)</f>
        <v>0</v>
      </c>
      <c r="E246" s="28">
        <f>IFERROR(__xludf.DUMMYFUNCTION("""COMPUTED_VALUE"""),0.0)</f>
        <v>0</v>
      </c>
      <c r="F246" s="28">
        <f>IFERROR(__xludf.DUMMYFUNCTION("""COMPUTED_VALUE"""),0.0)</f>
        <v>0</v>
      </c>
      <c r="G246" s="28">
        <f>IFERROR(__xludf.DUMMYFUNCTION("""COMPUTED_VALUE"""),0.0)</f>
        <v>0</v>
      </c>
      <c r="H246" s="28">
        <f>IFERROR(__xludf.DUMMYFUNCTION("""COMPUTED_VALUE"""),0.0)</f>
        <v>0</v>
      </c>
      <c r="I246" s="28">
        <f>IFERROR(__xludf.DUMMYFUNCTION("""COMPUTED_VALUE"""),0.0)</f>
        <v>0</v>
      </c>
      <c r="J246" s="28">
        <f>IFERROR(__xludf.DUMMYFUNCTION("""COMPUTED_VALUE"""),0.0)</f>
        <v>0</v>
      </c>
      <c r="K246" s="28">
        <f>IFERROR(__xludf.DUMMYFUNCTION("""COMPUTED_VALUE"""),0.0)</f>
        <v>0</v>
      </c>
      <c r="L246" s="28">
        <f>IFERROR(__xludf.DUMMYFUNCTION("""COMPUTED_VALUE"""),0.0)</f>
        <v>0</v>
      </c>
      <c r="M246" s="28">
        <f>IFERROR(__xludf.DUMMYFUNCTION("""COMPUTED_VALUE"""),0.0)</f>
        <v>0</v>
      </c>
      <c r="N246" s="28">
        <f>IFERROR(__xludf.DUMMYFUNCTION("""COMPUTED_VALUE"""),0.0)</f>
        <v>0</v>
      </c>
    </row>
    <row r="247">
      <c r="A247" s="26">
        <f>IFERROR(__xludf.DUMMYFUNCTION("""COMPUTED_VALUE"""),45362.0)</f>
        <v>45362</v>
      </c>
      <c r="B247" s="27">
        <f>IFERROR(__xludf.DUMMYFUNCTION("""COMPUTED_VALUE"""),12.0)</f>
        <v>12</v>
      </c>
      <c r="C247" s="28">
        <f>IFERROR(__xludf.DUMMYFUNCTION("""COMPUTED_VALUE"""),47.0)</f>
        <v>47</v>
      </c>
      <c r="D247" s="28">
        <f>IFERROR(__xludf.DUMMYFUNCTION("""COMPUTED_VALUE"""),4.0)</f>
        <v>4</v>
      </c>
      <c r="E247" s="28">
        <f>IFERROR(__xludf.DUMMYFUNCTION("""COMPUTED_VALUE"""),838.0)</f>
        <v>838</v>
      </c>
      <c r="F247" s="28">
        <f>IFERROR(__xludf.DUMMYFUNCTION("""COMPUTED_VALUE"""),70.0)</f>
        <v>70</v>
      </c>
      <c r="G247" s="28">
        <f>IFERROR(__xludf.DUMMYFUNCTION("""COMPUTED_VALUE"""),12.0)</f>
        <v>12</v>
      </c>
      <c r="H247" s="28">
        <f>IFERROR(__xludf.DUMMYFUNCTION("""COMPUTED_VALUE"""),0.0)</f>
        <v>0</v>
      </c>
      <c r="I247" s="28">
        <f>IFERROR(__xludf.DUMMYFUNCTION("""COMPUTED_VALUE"""),0.0)</f>
        <v>0</v>
      </c>
      <c r="J247" s="28">
        <f>IFERROR(__xludf.DUMMYFUNCTION("""COMPUTED_VALUE"""),8.0)</f>
        <v>8</v>
      </c>
      <c r="K247" s="28">
        <f>IFERROR(__xludf.DUMMYFUNCTION("""COMPUTED_VALUE"""),5.0)</f>
        <v>5</v>
      </c>
      <c r="L247" s="28">
        <f>IFERROR(__xludf.DUMMYFUNCTION("""COMPUTED_VALUE"""),8.0)</f>
        <v>8</v>
      </c>
      <c r="M247" s="28">
        <f>IFERROR(__xludf.DUMMYFUNCTION("""COMPUTED_VALUE"""),0.0)</f>
        <v>0</v>
      </c>
      <c r="N247" s="28">
        <f>IFERROR(__xludf.DUMMYFUNCTION("""COMPUTED_VALUE"""),3.0)</f>
        <v>3</v>
      </c>
    </row>
    <row r="248">
      <c r="A248" s="26">
        <f>IFERROR(__xludf.DUMMYFUNCTION("""COMPUTED_VALUE"""),45363.0)</f>
        <v>45363</v>
      </c>
      <c r="B248" s="27">
        <f>IFERROR(__xludf.DUMMYFUNCTION("""COMPUTED_VALUE"""),7.0)</f>
        <v>7</v>
      </c>
      <c r="C248" s="28">
        <f>IFERROR(__xludf.DUMMYFUNCTION("""COMPUTED_VALUE"""),20.0)</f>
        <v>20</v>
      </c>
      <c r="D248" s="28">
        <f>IFERROR(__xludf.DUMMYFUNCTION("""COMPUTED_VALUE"""),3.0)</f>
        <v>3</v>
      </c>
      <c r="E248" s="28">
        <f>IFERROR(__xludf.DUMMYFUNCTION("""COMPUTED_VALUE"""),299.0)</f>
        <v>299</v>
      </c>
      <c r="F248" s="28">
        <f>IFERROR(__xludf.DUMMYFUNCTION("""COMPUTED_VALUE"""),43.0)</f>
        <v>43</v>
      </c>
      <c r="G248" s="28">
        <f>IFERROR(__xludf.DUMMYFUNCTION("""COMPUTED_VALUE"""),7.0)</f>
        <v>7</v>
      </c>
      <c r="H248" s="28">
        <f>IFERROR(__xludf.DUMMYFUNCTION("""COMPUTED_VALUE"""),0.0)</f>
        <v>0</v>
      </c>
      <c r="I248" s="28">
        <f>IFERROR(__xludf.DUMMYFUNCTION("""COMPUTED_VALUE"""),0.0)</f>
        <v>0</v>
      </c>
      <c r="J248" s="28">
        <f>IFERROR(__xludf.DUMMYFUNCTION("""COMPUTED_VALUE"""),2.0)</f>
        <v>2</v>
      </c>
      <c r="K248" s="28">
        <f>IFERROR(__xludf.DUMMYFUNCTION("""COMPUTED_VALUE"""),4.0)</f>
        <v>4</v>
      </c>
      <c r="L248" s="28">
        <f>IFERROR(__xludf.DUMMYFUNCTION("""COMPUTED_VALUE"""),0.0)</f>
        <v>0</v>
      </c>
      <c r="M248" s="28">
        <f>IFERROR(__xludf.DUMMYFUNCTION("""COMPUTED_VALUE"""),0.0)</f>
        <v>0</v>
      </c>
      <c r="N248" s="28">
        <f>IFERROR(__xludf.DUMMYFUNCTION("""COMPUTED_VALUE"""),4.0)</f>
        <v>4</v>
      </c>
    </row>
    <row r="249">
      <c r="A249" s="26">
        <f>IFERROR(__xludf.DUMMYFUNCTION("""COMPUTED_VALUE"""),45364.0)</f>
        <v>45364</v>
      </c>
      <c r="B249" s="27">
        <f>IFERROR(__xludf.DUMMYFUNCTION("""COMPUTED_VALUE"""),13.0)</f>
        <v>13</v>
      </c>
      <c r="C249" s="28">
        <f>IFERROR(__xludf.DUMMYFUNCTION("""COMPUTED_VALUE"""),60.0)</f>
        <v>60</v>
      </c>
      <c r="D249" s="28">
        <f>IFERROR(__xludf.DUMMYFUNCTION("""COMPUTED_VALUE"""),5.0)</f>
        <v>5</v>
      </c>
      <c r="E249" s="28">
        <f>IFERROR(__xludf.DUMMYFUNCTION("""COMPUTED_VALUE"""),983.0)</f>
        <v>983</v>
      </c>
      <c r="F249" s="28">
        <f>IFERROR(__xludf.DUMMYFUNCTION("""COMPUTED_VALUE"""),76.0)</f>
        <v>76</v>
      </c>
      <c r="G249" s="28">
        <f>IFERROR(__xludf.DUMMYFUNCTION("""COMPUTED_VALUE"""),12.0)</f>
        <v>12</v>
      </c>
      <c r="H249" s="28">
        <f>IFERROR(__xludf.DUMMYFUNCTION("""COMPUTED_VALUE"""),0.0)</f>
        <v>0</v>
      </c>
      <c r="I249" s="28">
        <f>IFERROR(__xludf.DUMMYFUNCTION("""COMPUTED_VALUE"""),1.0)</f>
        <v>1</v>
      </c>
      <c r="J249" s="28">
        <f>IFERROR(__xludf.DUMMYFUNCTION("""COMPUTED_VALUE"""),7.0)</f>
        <v>7</v>
      </c>
      <c r="K249" s="28">
        <f>IFERROR(__xludf.DUMMYFUNCTION("""COMPUTED_VALUE"""),8.0)</f>
        <v>8</v>
      </c>
      <c r="L249" s="28">
        <f>IFERROR(__xludf.DUMMYFUNCTION("""COMPUTED_VALUE"""),14.0)</f>
        <v>14</v>
      </c>
      <c r="M249" s="28">
        <f>IFERROR(__xludf.DUMMYFUNCTION("""COMPUTED_VALUE"""),1.0)</f>
        <v>1</v>
      </c>
      <c r="N249" s="28">
        <f>IFERROR(__xludf.DUMMYFUNCTION("""COMPUTED_VALUE"""),7.0)</f>
        <v>7</v>
      </c>
    </row>
    <row r="250">
      <c r="A250" s="26">
        <f>IFERROR(__xludf.DUMMYFUNCTION("""COMPUTED_VALUE"""),45365.0)</f>
        <v>45365</v>
      </c>
      <c r="B250" s="27">
        <f>IFERROR(__xludf.DUMMYFUNCTION("""COMPUTED_VALUE"""),10.0)</f>
        <v>10</v>
      </c>
      <c r="C250" s="28">
        <f>IFERROR(__xludf.DUMMYFUNCTION("""COMPUTED_VALUE"""),41.0)</f>
        <v>41</v>
      </c>
      <c r="D250" s="28">
        <f>IFERROR(__xludf.DUMMYFUNCTION("""COMPUTED_VALUE"""),4.0)</f>
        <v>4</v>
      </c>
      <c r="E250" s="28">
        <f>IFERROR(__xludf.DUMMYFUNCTION("""COMPUTED_VALUE"""),711.0)</f>
        <v>711</v>
      </c>
      <c r="F250" s="28">
        <f>IFERROR(__xludf.DUMMYFUNCTION("""COMPUTED_VALUE"""),71.0)</f>
        <v>71</v>
      </c>
      <c r="G250" s="28">
        <f>IFERROR(__xludf.DUMMYFUNCTION("""COMPUTED_VALUE"""),6.0)</f>
        <v>6</v>
      </c>
      <c r="H250" s="28">
        <f>IFERROR(__xludf.DUMMYFUNCTION("""COMPUTED_VALUE"""),0.0)</f>
        <v>0</v>
      </c>
      <c r="I250" s="28">
        <f>IFERROR(__xludf.DUMMYFUNCTION("""COMPUTED_VALUE"""),4.0)</f>
        <v>4</v>
      </c>
      <c r="J250" s="28">
        <f>IFERROR(__xludf.DUMMYFUNCTION("""COMPUTED_VALUE"""),5.0)</f>
        <v>5</v>
      </c>
      <c r="K250" s="28">
        <f>IFERROR(__xludf.DUMMYFUNCTION("""COMPUTED_VALUE"""),7.0)</f>
        <v>7</v>
      </c>
      <c r="L250" s="28">
        <f>IFERROR(__xludf.DUMMYFUNCTION("""COMPUTED_VALUE"""),6.0)</f>
        <v>6</v>
      </c>
      <c r="M250" s="28">
        <f>IFERROR(__xludf.DUMMYFUNCTION("""COMPUTED_VALUE"""),1.0)</f>
        <v>1</v>
      </c>
      <c r="N250" s="28">
        <f>IFERROR(__xludf.DUMMYFUNCTION("""COMPUTED_VALUE"""),6.0)</f>
        <v>6</v>
      </c>
    </row>
    <row r="251">
      <c r="A251" s="26">
        <f>IFERROR(__xludf.DUMMYFUNCTION("""COMPUTED_VALUE"""),45366.0)</f>
        <v>45366</v>
      </c>
      <c r="B251" s="27">
        <f>IFERROR(__xludf.DUMMYFUNCTION("""COMPUTED_VALUE"""),16.0)</f>
        <v>16</v>
      </c>
      <c r="C251" s="28">
        <f>IFERROR(__xludf.DUMMYFUNCTION("""COMPUTED_VALUE"""),71.0)</f>
        <v>71</v>
      </c>
      <c r="D251" s="28">
        <f>IFERROR(__xludf.DUMMYFUNCTION("""COMPUTED_VALUE"""),4.0)</f>
        <v>4</v>
      </c>
      <c r="E251" s="28">
        <f>IFERROR(__xludf.DUMMYFUNCTION("""COMPUTED_VALUE"""),893.0)</f>
        <v>893</v>
      </c>
      <c r="F251" s="28">
        <f>IFERROR(__xludf.DUMMYFUNCTION("""COMPUTED_VALUE"""),56.0)</f>
        <v>56</v>
      </c>
      <c r="G251" s="28">
        <f>IFERROR(__xludf.DUMMYFUNCTION("""COMPUTED_VALUE"""),5.0)</f>
        <v>5</v>
      </c>
      <c r="H251" s="28">
        <f>IFERROR(__xludf.DUMMYFUNCTION("""COMPUTED_VALUE"""),0.0)</f>
        <v>0</v>
      </c>
      <c r="I251" s="28">
        <f>IFERROR(__xludf.DUMMYFUNCTION("""COMPUTED_VALUE"""),11.0)</f>
        <v>11</v>
      </c>
      <c r="J251" s="28">
        <f>IFERROR(__xludf.DUMMYFUNCTION("""COMPUTED_VALUE"""),3.0)</f>
        <v>3</v>
      </c>
      <c r="K251" s="28">
        <f>IFERROR(__xludf.DUMMYFUNCTION("""COMPUTED_VALUE"""),9.0)</f>
        <v>9</v>
      </c>
      <c r="L251" s="28">
        <f>IFERROR(__xludf.DUMMYFUNCTION("""COMPUTED_VALUE"""),9.0)</f>
        <v>9</v>
      </c>
      <c r="M251" s="28">
        <f>IFERROR(__xludf.DUMMYFUNCTION("""COMPUTED_VALUE"""),2.0)</f>
        <v>2</v>
      </c>
      <c r="N251" s="28">
        <f>IFERROR(__xludf.DUMMYFUNCTION("""COMPUTED_VALUE"""),6.0)</f>
        <v>6</v>
      </c>
    </row>
    <row r="252">
      <c r="A252" s="26">
        <f>IFERROR(__xludf.DUMMYFUNCTION("""COMPUTED_VALUE"""),45367.0)</f>
        <v>45367</v>
      </c>
      <c r="B252" s="27">
        <f>IFERROR(__xludf.DUMMYFUNCTION("""COMPUTED_VALUE"""),6.0)</f>
        <v>6</v>
      </c>
      <c r="C252" s="28">
        <f>IFERROR(__xludf.DUMMYFUNCTION("""COMPUTED_VALUE"""),21.0)</f>
        <v>21</v>
      </c>
      <c r="D252" s="28">
        <f>IFERROR(__xludf.DUMMYFUNCTION("""COMPUTED_VALUE"""),4.0)</f>
        <v>4</v>
      </c>
      <c r="E252" s="28">
        <f>IFERROR(__xludf.DUMMYFUNCTION("""COMPUTED_VALUE"""),366.0)</f>
        <v>366</v>
      </c>
      <c r="F252" s="28">
        <f>IFERROR(__xludf.DUMMYFUNCTION("""COMPUTED_VALUE"""),61.0)</f>
        <v>61</v>
      </c>
      <c r="G252" s="28">
        <f>IFERROR(__xludf.DUMMYFUNCTION("""COMPUTED_VALUE"""),1.0)</f>
        <v>1</v>
      </c>
      <c r="H252" s="28">
        <f>IFERROR(__xludf.DUMMYFUNCTION("""COMPUTED_VALUE"""),0.0)</f>
        <v>0</v>
      </c>
      <c r="I252" s="28">
        <f>IFERROR(__xludf.DUMMYFUNCTION("""COMPUTED_VALUE"""),5.0)</f>
        <v>5</v>
      </c>
      <c r="J252" s="28">
        <f>IFERROR(__xludf.DUMMYFUNCTION("""COMPUTED_VALUE"""),0.0)</f>
        <v>0</v>
      </c>
      <c r="K252" s="28">
        <f>IFERROR(__xludf.DUMMYFUNCTION("""COMPUTED_VALUE"""),6.0)</f>
        <v>6</v>
      </c>
      <c r="L252" s="28">
        <f>IFERROR(__xludf.DUMMYFUNCTION("""COMPUTED_VALUE"""),2.0)</f>
        <v>2</v>
      </c>
      <c r="M252" s="28">
        <f>IFERROR(__xludf.DUMMYFUNCTION("""COMPUTED_VALUE"""),0.0)</f>
        <v>0</v>
      </c>
      <c r="N252" s="28">
        <f>IFERROR(__xludf.DUMMYFUNCTION("""COMPUTED_VALUE"""),5.0)</f>
        <v>5</v>
      </c>
    </row>
    <row r="253">
      <c r="A253" s="26">
        <f>IFERROR(__xludf.DUMMYFUNCTION("""COMPUTED_VALUE"""),45368.0)</f>
        <v>45368</v>
      </c>
      <c r="B253" s="27">
        <f>IFERROR(__xludf.DUMMYFUNCTION("""COMPUTED_VALUE"""),0.0)</f>
        <v>0</v>
      </c>
      <c r="C253" s="28">
        <f>IFERROR(__xludf.DUMMYFUNCTION("""COMPUTED_VALUE"""),0.0)</f>
        <v>0</v>
      </c>
      <c r="D253" s="28">
        <f>IFERROR(__xludf.DUMMYFUNCTION("""COMPUTED_VALUE"""),0.0)</f>
        <v>0</v>
      </c>
      <c r="E253" s="28">
        <f>IFERROR(__xludf.DUMMYFUNCTION("""COMPUTED_VALUE"""),0.0)</f>
        <v>0</v>
      </c>
      <c r="F253" s="28">
        <f>IFERROR(__xludf.DUMMYFUNCTION("""COMPUTED_VALUE"""),0.0)</f>
        <v>0</v>
      </c>
      <c r="G253" s="28">
        <f>IFERROR(__xludf.DUMMYFUNCTION("""COMPUTED_VALUE"""),0.0)</f>
        <v>0</v>
      </c>
      <c r="H253" s="28">
        <f>IFERROR(__xludf.DUMMYFUNCTION("""COMPUTED_VALUE"""),0.0)</f>
        <v>0</v>
      </c>
      <c r="I253" s="28">
        <f>IFERROR(__xludf.DUMMYFUNCTION("""COMPUTED_VALUE"""),0.0)</f>
        <v>0</v>
      </c>
      <c r="J253" s="28">
        <f>IFERROR(__xludf.DUMMYFUNCTION("""COMPUTED_VALUE"""),0.0)</f>
        <v>0</v>
      </c>
      <c r="K253" s="28">
        <f>IFERROR(__xludf.DUMMYFUNCTION("""COMPUTED_VALUE"""),0.0)</f>
        <v>0</v>
      </c>
      <c r="L253" s="28">
        <f>IFERROR(__xludf.DUMMYFUNCTION("""COMPUTED_VALUE"""),0.0)</f>
        <v>0</v>
      </c>
      <c r="M253" s="28">
        <f>IFERROR(__xludf.DUMMYFUNCTION("""COMPUTED_VALUE"""),0.0)</f>
        <v>0</v>
      </c>
      <c r="N253" s="28">
        <f>IFERROR(__xludf.DUMMYFUNCTION("""COMPUTED_VALUE"""),0.0)</f>
        <v>0</v>
      </c>
    </row>
    <row r="254">
      <c r="A254" s="26">
        <f>IFERROR(__xludf.DUMMYFUNCTION("""COMPUTED_VALUE"""),45369.0)</f>
        <v>45369</v>
      </c>
      <c r="B254" s="27">
        <f>IFERROR(__xludf.DUMMYFUNCTION("""COMPUTED_VALUE"""),3.0)</f>
        <v>3</v>
      </c>
      <c r="C254" s="28">
        <f>IFERROR(__xludf.DUMMYFUNCTION("""COMPUTED_VALUE"""),12.0)</f>
        <v>12</v>
      </c>
      <c r="D254" s="28">
        <f>IFERROR(__xludf.DUMMYFUNCTION("""COMPUTED_VALUE"""),4.0)</f>
        <v>4</v>
      </c>
      <c r="E254" s="28">
        <f>IFERROR(__xludf.DUMMYFUNCTION("""COMPUTED_VALUE"""),263.0)</f>
        <v>263</v>
      </c>
      <c r="F254" s="28">
        <f>IFERROR(__xludf.DUMMYFUNCTION("""COMPUTED_VALUE"""),88.0)</f>
        <v>88</v>
      </c>
      <c r="G254" s="28">
        <f>IFERROR(__xludf.DUMMYFUNCTION("""COMPUTED_VALUE"""),2.0)</f>
        <v>2</v>
      </c>
      <c r="H254" s="28">
        <f>IFERROR(__xludf.DUMMYFUNCTION("""COMPUTED_VALUE"""),0.0)</f>
        <v>0</v>
      </c>
      <c r="I254" s="28">
        <f>IFERROR(__xludf.DUMMYFUNCTION("""COMPUTED_VALUE"""),1.0)</f>
        <v>1</v>
      </c>
      <c r="J254" s="28">
        <f>IFERROR(__xludf.DUMMYFUNCTION("""COMPUTED_VALUE"""),3.0)</f>
        <v>3</v>
      </c>
      <c r="K254" s="28">
        <f>IFERROR(__xludf.DUMMYFUNCTION("""COMPUTED_VALUE"""),3.0)</f>
        <v>3</v>
      </c>
      <c r="L254" s="28">
        <f>IFERROR(__xludf.DUMMYFUNCTION("""COMPUTED_VALUE"""),0.0)</f>
        <v>0</v>
      </c>
      <c r="M254" s="28">
        <f>IFERROR(__xludf.DUMMYFUNCTION("""COMPUTED_VALUE"""),0.0)</f>
        <v>0</v>
      </c>
      <c r="N254" s="28">
        <f>IFERROR(__xludf.DUMMYFUNCTION("""COMPUTED_VALUE"""),3.0)</f>
        <v>3</v>
      </c>
    </row>
    <row r="255">
      <c r="A255" s="26">
        <f>IFERROR(__xludf.DUMMYFUNCTION("""COMPUTED_VALUE"""),45370.0)</f>
        <v>45370</v>
      </c>
      <c r="B255" s="27">
        <f>IFERROR(__xludf.DUMMYFUNCTION("""COMPUTED_VALUE"""),6.0)</f>
        <v>6</v>
      </c>
      <c r="C255" s="28">
        <f>IFERROR(__xludf.DUMMYFUNCTION("""COMPUTED_VALUE"""),20.0)</f>
        <v>20</v>
      </c>
      <c r="D255" s="28">
        <f>IFERROR(__xludf.DUMMYFUNCTION("""COMPUTED_VALUE"""),3.0)</f>
        <v>3</v>
      </c>
      <c r="E255" s="28">
        <f>IFERROR(__xludf.DUMMYFUNCTION("""COMPUTED_VALUE"""),391.0)</f>
        <v>391</v>
      </c>
      <c r="F255" s="28">
        <f>IFERROR(__xludf.DUMMYFUNCTION("""COMPUTED_VALUE"""),65.0)</f>
        <v>65</v>
      </c>
      <c r="G255" s="28">
        <f>IFERROR(__xludf.DUMMYFUNCTION("""COMPUTED_VALUE"""),3.0)</f>
        <v>3</v>
      </c>
      <c r="H255" s="28">
        <f>IFERROR(__xludf.DUMMYFUNCTION("""COMPUTED_VALUE"""),0.0)</f>
        <v>0</v>
      </c>
      <c r="I255" s="28">
        <f>IFERROR(__xludf.DUMMYFUNCTION("""COMPUTED_VALUE"""),3.0)</f>
        <v>3</v>
      </c>
      <c r="J255" s="28">
        <f>IFERROR(__xludf.DUMMYFUNCTION("""COMPUTED_VALUE"""),2.0)</f>
        <v>2</v>
      </c>
      <c r="K255" s="28">
        <f>IFERROR(__xludf.DUMMYFUNCTION("""COMPUTED_VALUE"""),6.0)</f>
        <v>6</v>
      </c>
      <c r="L255" s="28">
        <f>IFERROR(__xludf.DUMMYFUNCTION("""COMPUTED_VALUE"""),0.0)</f>
        <v>0</v>
      </c>
      <c r="M255" s="28">
        <f>IFERROR(__xludf.DUMMYFUNCTION("""COMPUTED_VALUE"""),0.0)</f>
        <v>0</v>
      </c>
      <c r="N255" s="28">
        <f>IFERROR(__xludf.DUMMYFUNCTION("""COMPUTED_VALUE"""),6.0)</f>
        <v>6</v>
      </c>
    </row>
    <row r="256">
      <c r="A256" s="26">
        <f>IFERROR(__xludf.DUMMYFUNCTION("""COMPUTED_VALUE"""),45371.0)</f>
        <v>45371</v>
      </c>
      <c r="B256" s="27">
        <f>IFERROR(__xludf.DUMMYFUNCTION("""COMPUTED_VALUE"""),11.0)</f>
        <v>11</v>
      </c>
      <c r="C256" s="28">
        <f>IFERROR(__xludf.DUMMYFUNCTION("""COMPUTED_VALUE"""),56.0)</f>
        <v>56</v>
      </c>
      <c r="D256" s="28">
        <f>IFERROR(__xludf.DUMMYFUNCTION("""COMPUTED_VALUE"""),5.0)</f>
        <v>5</v>
      </c>
      <c r="E256" s="28">
        <f>IFERROR(__xludf.DUMMYFUNCTION("""COMPUTED_VALUE"""),896.0)</f>
        <v>896</v>
      </c>
      <c r="F256" s="28">
        <f>IFERROR(__xludf.DUMMYFUNCTION("""COMPUTED_VALUE"""),81.0)</f>
        <v>81</v>
      </c>
      <c r="G256" s="28">
        <f>IFERROR(__xludf.DUMMYFUNCTION("""COMPUTED_VALUE"""),5.0)</f>
        <v>5</v>
      </c>
      <c r="H256" s="28">
        <f>IFERROR(__xludf.DUMMYFUNCTION("""COMPUTED_VALUE"""),0.0)</f>
        <v>0</v>
      </c>
      <c r="I256" s="28">
        <f>IFERROR(__xludf.DUMMYFUNCTION("""COMPUTED_VALUE"""),5.0)</f>
        <v>5</v>
      </c>
      <c r="J256" s="28">
        <f>IFERROR(__xludf.DUMMYFUNCTION("""COMPUTED_VALUE"""),7.0)</f>
        <v>7</v>
      </c>
      <c r="K256" s="28">
        <f>IFERROR(__xludf.DUMMYFUNCTION("""COMPUTED_VALUE"""),6.0)</f>
        <v>6</v>
      </c>
      <c r="L256" s="28">
        <f>IFERROR(__xludf.DUMMYFUNCTION("""COMPUTED_VALUE"""),9.0)</f>
        <v>9</v>
      </c>
      <c r="M256" s="28">
        <f>IFERROR(__xludf.DUMMYFUNCTION("""COMPUTED_VALUE"""),0.0)</f>
        <v>0</v>
      </c>
      <c r="N256" s="28">
        <f>IFERROR(__xludf.DUMMYFUNCTION("""COMPUTED_VALUE"""),3.0)</f>
        <v>3</v>
      </c>
    </row>
    <row r="257">
      <c r="A257" s="26">
        <f>IFERROR(__xludf.DUMMYFUNCTION("""COMPUTED_VALUE"""),45372.0)</f>
        <v>45372</v>
      </c>
      <c r="B257" s="27">
        <f>IFERROR(__xludf.DUMMYFUNCTION("""COMPUTED_VALUE"""),8.0)</f>
        <v>8</v>
      </c>
      <c r="C257" s="28">
        <f>IFERROR(__xludf.DUMMYFUNCTION("""COMPUTED_VALUE"""),36.0)</f>
        <v>36</v>
      </c>
      <c r="D257" s="28">
        <f>IFERROR(__xludf.DUMMYFUNCTION("""COMPUTED_VALUE"""),4.0)</f>
        <v>4</v>
      </c>
      <c r="E257" s="28">
        <f>IFERROR(__xludf.DUMMYFUNCTION("""COMPUTED_VALUE"""),672.0)</f>
        <v>672</v>
      </c>
      <c r="F257" s="28">
        <f>IFERROR(__xludf.DUMMYFUNCTION("""COMPUTED_VALUE"""),84.0)</f>
        <v>84</v>
      </c>
      <c r="G257" s="28">
        <f>IFERROR(__xludf.DUMMYFUNCTION("""COMPUTED_VALUE"""),3.0)</f>
        <v>3</v>
      </c>
      <c r="H257" s="28">
        <f>IFERROR(__xludf.DUMMYFUNCTION("""COMPUTED_VALUE"""),0.0)</f>
        <v>0</v>
      </c>
      <c r="I257" s="28">
        <f>IFERROR(__xludf.DUMMYFUNCTION("""COMPUTED_VALUE"""),5.0)</f>
        <v>5</v>
      </c>
      <c r="J257" s="28">
        <f>IFERROR(__xludf.DUMMYFUNCTION("""COMPUTED_VALUE"""),8.0)</f>
        <v>8</v>
      </c>
      <c r="K257" s="28">
        <f>IFERROR(__xludf.DUMMYFUNCTION("""COMPUTED_VALUE"""),6.0)</f>
        <v>6</v>
      </c>
      <c r="L257" s="28">
        <f>IFERROR(__xludf.DUMMYFUNCTION("""COMPUTED_VALUE"""),3.0)</f>
        <v>3</v>
      </c>
      <c r="M257" s="28">
        <f>IFERROR(__xludf.DUMMYFUNCTION("""COMPUTED_VALUE"""),0.0)</f>
        <v>0</v>
      </c>
      <c r="N257" s="28">
        <f>IFERROR(__xludf.DUMMYFUNCTION("""COMPUTED_VALUE"""),5.0)</f>
        <v>5</v>
      </c>
    </row>
    <row r="258">
      <c r="A258" s="26">
        <f>IFERROR(__xludf.DUMMYFUNCTION("""COMPUTED_VALUE"""),45373.0)</f>
        <v>45373</v>
      </c>
      <c r="B258" s="27">
        <f>IFERROR(__xludf.DUMMYFUNCTION("""COMPUTED_VALUE"""),5.0)</f>
        <v>5</v>
      </c>
      <c r="C258" s="28">
        <f>IFERROR(__xludf.DUMMYFUNCTION("""COMPUTED_VALUE"""),18.0)</f>
        <v>18</v>
      </c>
      <c r="D258" s="28">
        <f>IFERROR(__xludf.DUMMYFUNCTION("""COMPUTED_VALUE"""),4.0)</f>
        <v>4</v>
      </c>
      <c r="E258" s="28">
        <f>IFERROR(__xludf.DUMMYFUNCTION("""COMPUTED_VALUE"""),402.0)</f>
        <v>402</v>
      </c>
      <c r="F258" s="28">
        <f>IFERROR(__xludf.DUMMYFUNCTION("""COMPUTED_VALUE"""),80.0)</f>
        <v>80</v>
      </c>
      <c r="G258" s="28">
        <f>IFERROR(__xludf.DUMMYFUNCTION("""COMPUTED_VALUE"""),4.0)</f>
        <v>4</v>
      </c>
      <c r="H258" s="28">
        <f>IFERROR(__xludf.DUMMYFUNCTION("""COMPUTED_VALUE"""),0.0)</f>
        <v>0</v>
      </c>
      <c r="I258" s="28">
        <f>IFERROR(__xludf.DUMMYFUNCTION("""COMPUTED_VALUE"""),1.0)</f>
        <v>1</v>
      </c>
      <c r="J258" s="28">
        <f>IFERROR(__xludf.DUMMYFUNCTION("""COMPUTED_VALUE"""),2.0)</f>
        <v>2</v>
      </c>
      <c r="K258" s="28">
        <f>IFERROR(__xludf.DUMMYFUNCTION("""COMPUTED_VALUE"""),4.0)</f>
        <v>4</v>
      </c>
      <c r="L258" s="28">
        <f>IFERROR(__xludf.DUMMYFUNCTION("""COMPUTED_VALUE"""),2.0)</f>
        <v>2</v>
      </c>
      <c r="M258" s="28">
        <f>IFERROR(__xludf.DUMMYFUNCTION("""COMPUTED_VALUE"""),0.0)</f>
        <v>0</v>
      </c>
      <c r="N258" s="28">
        <f>IFERROR(__xludf.DUMMYFUNCTION("""COMPUTED_VALUE"""),4.0)</f>
        <v>4</v>
      </c>
    </row>
    <row r="259">
      <c r="A259" s="26">
        <f>IFERROR(__xludf.DUMMYFUNCTION("""COMPUTED_VALUE"""),45374.0)</f>
        <v>45374</v>
      </c>
      <c r="B259" s="27">
        <f>IFERROR(__xludf.DUMMYFUNCTION("""COMPUTED_VALUE"""),0.0)</f>
        <v>0</v>
      </c>
      <c r="C259" s="28">
        <f>IFERROR(__xludf.DUMMYFUNCTION("""COMPUTED_VALUE"""),0.0)</f>
        <v>0</v>
      </c>
      <c r="D259" s="28">
        <f>IFERROR(__xludf.DUMMYFUNCTION("""COMPUTED_VALUE"""),0.0)</f>
        <v>0</v>
      </c>
      <c r="E259" s="28">
        <f>IFERROR(__xludf.DUMMYFUNCTION("""COMPUTED_VALUE"""),0.0)</f>
        <v>0</v>
      </c>
      <c r="F259" s="28">
        <f>IFERROR(__xludf.DUMMYFUNCTION("""COMPUTED_VALUE"""),0.0)</f>
        <v>0</v>
      </c>
      <c r="G259" s="28">
        <f>IFERROR(__xludf.DUMMYFUNCTION("""COMPUTED_VALUE"""),0.0)</f>
        <v>0</v>
      </c>
      <c r="H259" s="28">
        <f>IFERROR(__xludf.DUMMYFUNCTION("""COMPUTED_VALUE"""),0.0)</f>
        <v>0</v>
      </c>
      <c r="I259" s="28">
        <f>IFERROR(__xludf.DUMMYFUNCTION("""COMPUTED_VALUE"""),0.0)</f>
        <v>0</v>
      </c>
      <c r="J259" s="28">
        <f>IFERROR(__xludf.DUMMYFUNCTION("""COMPUTED_VALUE"""),0.0)</f>
        <v>0</v>
      </c>
      <c r="K259" s="28">
        <f>IFERROR(__xludf.DUMMYFUNCTION("""COMPUTED_VALUE"""),0.0)</f>
        <v>0</v>
      </c>
      <c r="L259" s="28">
        <f>IFERROR(__xludf.DUMMYFUNCTION("""COMPUTED_VALUE"""),0.0)</f>
        <v>0</v>
      </c>
      <c r="M259" s="28">
        <f>IFERROR(__xludf.DUMMYFUNCTION("""COMPUTED_VALUE"""),0.0)</f>
        <v>0</v>
      </c>
      <c r="N259" s="28">
        <f>IFERROR(__xludf.DUMMYFUNCTION("""COMPUTED_VALUE"""),0.0)</f>
        <v>0</v>
      </c>
    </row>
    <row r="260">
      <c r="A260" s="26">
        <f>IFERROR(__xludf.DUMMYFUNCTION("""COMPUTED_VALUE"""),45375.0)</f>
        <v>45375</v>
      </c>
      <c r="B260" s="27">
        <f>IFERROR(__xludf.DUMMYFUNCTION("""COMPUTED_VALUE"""),0.0)</f>
        <v>0</v>
      </c>
      <c r="C260" s="28">
        <f>IFERROR(__xludf.DUMMYFUNCTION("""COMPUTED_VALUE"""),0.0)</f>
        <v>0</v>
      </c>
      <c r="D260" s="28">
        <f>IFERROR(__xludf.DUMMYFUNCTION("""COMPUTED_VALUE"""),0.0)</f>
        <v>0</v>
      </c>
      <c r="E260" s="28">
        <f>IFERROR(__xludf.DUMMYFUNCTION("""COMPUTED_VALUE"""),0.0)</f>
        <v>0</v>
      </c>
      <c r="F260" s="28">
        <f>IFERROR(__xludf.DUMMYFUNCTION("""COMPUTED_VALUE"""),0.0)</f>
        <v>0</v>
      </c>
      <c r="G260" s="28">
        <f>IFERROR(__xludf.DUMMYFUNCTION("""COMPUTED_VALUE"""),0.0)</f>
        <v>0</v>
      </c>
      <c r="H260" s="28">
        <f>IFERROR(__xludf.DUMMYFUNCTION("""COMPUTED_VALUE"""),0.0)</f>
        <v>0</v>
      </c>
      <c r="I260" s="28">
        <f>IFERROR(__xludf.DUMMYFUNCTION("""COMPUTED_VALUE"""),0.0)</f>
        <v>0</v>
      </c>
      <c r="J260" s="28">
        <f>IFERROR(__xludf.DUMMYFUNCTION("""COMPUTED_VALUE"""),0.0)</f>
        <v>0</v>
      </c>
      <c r="K260" s="28">
        <f>IFERROR(__xludf.DUMMYFUNCTION("""COMPUTED_VALUE"""),0.0)</f>
        <v>0</v>
      </c>
      <c r="L260" s="28">
        <f>IFERROR(__xludf.DUMMYFUNCTION("""COMPUTED_VALUE"""),0.0)</f>
        <v>0</v>
      </c>
      <c r="M260" s="28">
        <f>IFERROR(__xludf.DUMMYFUNCTION("""COMPUTED_VALUE"""),0.0)</f>
        <v>0</v>
      </c>
      <c r="N260" s="28">
        <f>IFERROR(__xludf.DUMMYFUNCTION("""COMPUTED_VALUE"""),0.0)</f>
        <v>0</v>
      </c>
    </row>
    <row r="261">
      <c r="A261" s="26">
        <f>IFERROR(__xludf.DUMMYFUNCTION("""COMPUTED_VALUE"""),45376.0)</f>
        <v>45376</v>
      </c>
      <c r="B261" s="27">
        <f>IFERROR(__xludf.DUMMYFUNCTION("""COMPUTED_VALUE"""),5.0)</f>
        <v>5</v>
      </c>
      <c r="C261" s="28">
        <f>IFERROR(__xludf.DUMMYFUNCTION("""COMPUTED_VALUE"""),20.0)</f>
        <v>20</v>
      </c>
      <c r="D261" s="28">
        <f>IFERROR(__xludf.DUMMYFUNCTION("""COMPUTED_VALUE"""),4.0)</f>
        <v>4</v>
      </c>
      <c r="E261" s="28">
        <f>IFERROR(__xludf.DUMMYFUNCTION("""COMPUTED_VALUE"""),335.0)</f>
        <v>335</v>
      </c>
      <c r="F261" s="28">
        <f>IFERROR(__xludf.DUMMYFUNCTION("""COMPUTED_VALUE"""),67.0)</f>
        <v>67</v>
      </c>
      <c r="G261" s="28">
        <f>IFERROR(__xludf.DUMMYFUNCTION("""COMPUTED_VALUE"""),3.0)</f>
        <v>3</v>
      </c>
      <c r="H261" s="28">
        <f>IFERROR(__xludf.DUMMYFUNCTION("""COMPUTED_VALUE"""),0.0)</f>
        <v>0</v>
      </c>
      <c r="I261" s="28">
        <f>IFERROR(__xludf.DUMMYFUNCTION("""COMPUTED_VALUE"""),2.0)</f>
        <v>2</v>
      </c>
      <c r="J261" s="28">
        <f>IFERROR(__xludf.DUMMYFUNCTION("""COMPUTED_VALUE"""),1.0)</f>
        <v>1</v>
      </c>
      <c r="K261" s="28">
        <f>IFERROR(__xludf.DUMMYFUNCTION("""COMPUTED_VALUE"""),3.0)</f>
        <v>3</v>
      </c>
      <c r="L261" s="28">
        <f>IFERROR(__xludf.DUMMYFUNCTION("""COMPUTED_VALUE"""),2.0)</f>
        <v>2</v>
      </c>
      <c r="M261" s="28">
        <f>IFERROR(__xludf.DUMMYFUNCTION("""COMPUTED_VALUE"""),1.0)</f>
        <v>1</v>
      </c>
      <c r="N261" s="28">
        <f>IFERROR(__xludf.DUMMYFUNCTION("""COMPUTED_VALUE"""),2.0)</f>
        <v>2</v>
      </c>
    </row>
    <row r="262">
      <c r="A262" s="26">
        <f>IFERROR(__xludf.DUMMYFUNCTION("""COMPUTED_VALUE"""),45377.0)</f>
        <v>45377</v>
      </c>
      <c r="B262" s="27">
        <f>IFERROR(__xludf.DUMMYFUNCTION("""COMPUTED_VALUE"""),3.0)</f>
        <v>3</v>
      </c>
      <c r="C262" s="28">
        <f>IFERROR(__xludf.DUMMYFUNCTION("""COMPUTED_VALUE"""),13.0)</f>
        <v>13</v>
      </c>
      <c r="D262" s="28">
        <f>IFERROR(__xludf.DUMMYFUNCTION("""COMPUTED_VALUE"""),4.0)</f>
        <v>4</v>
      </c>
      <c r="E262" s="28">
        <f>IFERROR(__xludf.DUMMYFUNCTION("""COMPUTED_VALUE"""),278.0)</f>
        <v>278</v>
      </c>
      <c r="F262" s="28">
        <f>IFERROR(__xludf.DUMMYFUNCTION("""COMPUTED_VALUE"""),93.0)</f>
        <v>93</v>
      </c>
      <c r="G262" s="28">
        <f>IFERROR(__xludf.DUMMYFUNCTION("""COMPUTED_VALUE"""),0.0)</f>
        <v>0</v>
      </c>
      <c r="H262" s="28">
        <f>IFERROR(__xludf.DUMMYFUNCTION("""COMPUTED_VALUE"""),0.0)</f>
        <v>0</v>
      </c>
      <c r="I262" s="28">
        <f>IFERROR(__xludf.DUMMYFUNCTION("""COMPUTED_VALUE"""),3.0)</f>
        <v>3</v>
      </c>
      <c r="J262" s="28">
        <f>IFERROR(__xludf.DUMMYFUNCTION("""COMPUTED_VALUE"""),2.0)</f>
        <v>2</v>
      </c>
      <c r="K262" s="28">
        <f>IFERROR(__xludf.DUMMYFUNCTION("""COMPUTED_VALUE"""),3.0)</f>
        <v>3</v>
      </c>
      <c r="L262" s="28">
        <f>IFERROR(__xludf.DUMMYFUNCTION("""COMPUTED_VALUE"""),2.0)</f>
        <v>2</v>
      </c>
      <c r="M262" s="28">
        <f>IFERROR(__xludf.DUMMYFUNCTION("""COMPUTED_VALUE"""),0.0)</f>
        <v>0</v>
      </c>
      <c r="N262" s="28">
        <f>IFERROR(__xludf.DUMMYFUNCTION("""COMPUTED_VALUE"""),3.0)</f>
        <v>3</v>
      </c>
    </row>
    <row r="263">
      <c r="A263" s="26">
        <f>IFERROR(__xludf.DUMMYFUNCTION("""COMPUTED_VALUE"""),45378.0)</f>
        <v>45378</v>
      </c>
      <c r="B263" s="27">
        <f>IFERROR(__xludf.DUMMYFUNCTION("""COMPUTED_VALUE"""),10.0)</f>
        <v>10</v>
      </c>
      <c r="C263" s="28">
        <f>IFERROR(__xludf.DUMMYFUNCTION("""COMPUTED_VALUE"""),33.0)</f>
        <v>33</v>
      </c>
      <c r="D263" s="28">
        <f>IFERROR(__xludf.DUMMYFUNCTION("""COMPUTED_VALUE"""),3.0)</f>
        <v>3</v>
      </c>
      <c r="E263" s="28">
        <f>IFERROR(__xludf.DUMMYFUNCTION("""COMPUTED_VALUE"""),602.0)</f>
        <v>602</v>
      </c>
      <c r="F263" s="28">
        <f>IFERROR(__xludf.DUMMYFUNCTION("""COMPUTED_VALUE"""),60.0)</f>
        <v>60</v>
      </c>
      <c r="G263" s="28">
        <f>IFERROR(__xludf.DUMMYFUNCTION("""COMPUTED_VALUE"""),7.0)</f>
        <v>7</v>
      </c>
      <c r="H263" s="28">
        <f>IFERROR(__xludf.DUMMYFUNCTION("""COMPUTED_VALUE"""),0.0)</f>
        <v>0</v>
      </c>
      <c r="I263" s="28">
        <f>IFERROR(__xludf.DUMMYFUNCTION("""COMPUTED_VALUE"""),3.0)</f>
        <v>3</v>
      </c>
      <c r="J263" s="28">
        <f>IFERROR(__xludf.DUMMYFUNCTION("""COMPUTED_VALUE"""),8.0)</f>
        <v>8</v>
      </c>
      <c r="K263" s="28">
        <f>IFERROR(__xludf.DUMMYFUNCTION("""COMPUTED_VALUE"""),5.0)</f>
        <v>5</v>
      </c>
      <c r="L263" s="28">
        <f>IFERROR(__xludf.DUMMYFUNCTION("""COMPUTED_VALUE"""),1.0)</f>
        <v>1</v>
      </c>
      <c r="M263" s="28">
        <f>IFERROR(__xludf.DUMMYFUNCTION("""COMPUTED_VALUE"""),0.0)</f>
        <v>0</v>
      </c>
      <c r="N263" s="28">
        <f>IFERROR(__xludf.DUMMYFUNCTION("""COMPUTED_VALUE"""),4.0)</f>
        <v>4</v>
      </c>
    </row>
    <row r="264">
      <c r="A264" s="26">
        <f>IFERROR(__xludf.DUMMYFUNCTION("""COMPUTED_VALUE"""),45379.0)</f>
        <v>45379</v>
      </c>
      <c r="B264" s="27">
        <f>IFERROR(__xludf.DUMMYFUNCTION("""COMPUTED_VALUE"""),8.0)</f>
        <v>8</v>
      </c>
      <c r="C264" s="28">
        <f>IFERROR(__xludf.DUMMYFUNCTION("""COMPUTED_VALUE"""),36.0)</f>
        <v>36</v>
      </c>
      <c r="D264" s="28">
        <f>IFERROR(__xludf.DUMMYFUNCTION("""COMPUTED_VALUE"""),4.0)</f>
        <v>4</v>
      </c>
      <c r="E264" s="28">
        <f>IFERROR(__xludf.DUMMYFUNCTION("""COMPUTED_VALUE"""),723.0)</f>
        <v>723</v>
      </c>
      <c r="F264" s="28">
        <f>IFERROR(__xludf.DUMMYFUNCTION("""COMPUTED_VALUE"""),90.0)</f>
        <v>90</v>
      </c>
      <c r="G264" s="28">
        <f>IFERROR(__xludf.DUMMYFUNCTION("""COMPUTED_VALUE"""),4.0)</f>
        <v>4</v>
      </c>
      <c r="H264" s="28">
        <f>IFERROR(__xludf.DUMMYFUNCTION("""COMPUTED_VALUE"""),0.0)</f>
        <v>0</v>
      </c>
      <c r="I264" s="28">
        <f>IFERROR(__xludf.DUMMYFUNCTION("""COMPUTED_VALUE"""),4.0)</f>
        <v>4</v>
      </c>
      <c r="J264" s="28">
        <f>IFERROR(__xludf.DUMMYFUNCTION("""COMPUTED_VALUE"""),8.0)</f>
        <v>8</v>
      </c>
      <c r="K264" s="28">
        <f>IFERROR(__xludf.DUMMYFUNCTION("""COMPUTED_VALUE"""),4.0)</f>
        <v>4</v>
      </c>
      <c r="L264" s="28">
        <f>IFERROR(__xludf.DUMMYFUNCTION("""COMPUTED_VALUE"""),7.0)</f>
        <v>7</v>
      </c>
      <c r="M264" s="28">
        <f>IFERROR(__xludf.DUMMYFUNCTION("""COMPUTED_VALUE"""),0.0)</f>
        <v>0</v>
      </c>
      <c r="N264" s="28">
        <f>IFERROR(__xludf.DUMMYFUNCTION("""COMPUTED_VALUE"""),4.0)</f>
        <v>4</v>
      </c>
    </row>
    <row r="265">
      <c r="A265" s="26">
        <f>IFERROR(__xludf.DUMMYFUNCTION("""COMPUTED_VALUE"""),45380.0)</f>
        <v>45380</v>
      </c>
      <c r="B265" s="27">
        <f>IFERROR(__xludf.DUMMYFUNCTION("""COMPUTED_VALUE"""),8.0)</f>
        <v>8</v>
      </c>
      <c r="C265" s="28">
        <f>IFERROR(__xludf.DUMMYFUNCTION("""COMPUTED_VALUE"""),31.0)</f>
        <v>31</v>
      </c>
      <c r="D265" s="28">
        <f>IFERROR(__xludf.DUMMYFUNCTION("""COMPUTED_VALUE"""),4.0)</f>
        <v>4</v>
      </c>
      <c r="E265" s="28">
        <f>IFERROR(__xludf.DUMMYFUNCTION("""COMPUTED_VALUE"""),481.0)</f>
        <v>481</v>
      </c>
      <c r="F265" s="28">
        <f>IFERROR(__xludf.DUMMYFUNCTION("""COMPUTED_VALUE"""),60.0)</f>
        <v>60</v>
      </c>
      <c r="G265" s="28">
        <f>IFERROR(__xludf.DUMMYFUNCTION("""COMPUTED_VALUE"""),5.0)</f>
        <v>5</v>
      </c>
      <c r="H265" s="28">
        <f>IFERROR(__xludf.DUMMYFUNCTION("""COMPUTED_VALUE"""),0.0)</f>
        <v>0</v>
      </c>
      <c r="I265" s="28">
        <f>IFERROR(__xludf.DUMMYFUNCTION("""COMPUTED_VALUE"""),3.0)</f>
        <v>3</v>
      </c>
      <c r="J265" s="28">
        <f>IFERROR(__xludf.DUMMYFUNCTION("""COMPUTED_VALUE"""),3.0)</f>
        <v>3</v>
      </c>
      <c r="K265" s="28">
        <f>IFERROR(__xludf.DUMMYFUNCTION("""COMPUTED_VALUE"""),6.0)</f>
        <v>6</v>
      </c>
      <c r="L265" s="28">
        <f>IFERROR(__xludf.DUMMYFUNCTION("""COMPUTED_VALUE"""),3.0)</f>
        <v>3</v>
      </c>
      <c r="M265" s="28">
        <f>IFERROR(__xludf.DUMMYFUNCTION("""COMPUTED_VALUE"""),1.0)</f>
        <v>1</v>
      </c>
      <c r="N265" s="28">
        <f>IFERROR(__xludf.DUMMYFUNCTION("""COMPUTED_VALUE"""),5.0)</f>
        <v>5</v>
      </c>
    </row>
    <row r="266">
      <c r="A266" s="26">
        <f>IFERROR(__xludf.DUMMYFUNCTION("""COMPUTED_VALUE"""),45381.0)</f>
        <v>45381</v>
      </c>
      <c r="B266" s="27">
        <f>IFERROR(__xludf.DUMMYFUNCTION("""COMPUTED_VALUE"""),3.0)</f>
        <v>3</v>
      </c>
      <c r="C266" s="28">
        <f>IFERROR(__xludf.DUMMYFUNCTION("""COMPUTED_VALUE"""),9.0)</f>
        <v>9</v>
      </c>
      <c r="D266" s="28">
        <f>IFERROR(__xludf.DUMMYFUNCTION("""COMPUTED_VALUE"""),3.0)</f>
        <v>3</v>
      </c>
      <c r="E266" s="28">
        <f>IFERROR(__xludf.DUMMYFUNCTION("""COMPUTED_VALUE"""),160.0)</f>
        <v>160</v>
      </c>
      <c r="F266" s="28">
        <f>IFERROR(__xludf.DUMMYFUNCTION("""COMPUTED_VALUE"""),53.0)</f>
        <v>53</v>
      </c>
      <c r="G266" s="28">
        <f>IFERROR(__xludf.DUMMYFUNCTION("""COMPUTED_VALUE"""),2.0)</f>
        <v>2</v>
      </c>
      <c r="H266" s="28">
        <f>IFERROR(__xludf.DUMMYFUNCTION("""COMPUTED_VALUE"""),0.0)</f>
        <v>0</v>
      </c>
      <c r="I266" s="28">
        <f>IFERROR(__xludf.DUMMYFUNCTION("""COMPUTED_VALUE"""),1.0)</f>
        <v>1</v>
      </c>
      <c r="J266" s="28">
        <f>IFERROR(__xludf.DUMMYFUNCTION("""COMPUTED_VALUE"""),0.0)</f>
        <v>0</v>
      </c>
      <c r="K266" s="28">
        <f>IFERROR(__xludf.DUMMYFUNCTION("""COMPUTED_VALUE"""),3.0)</f>
        <v>3</v>
      </c>
      <c r="L266" s="28">
        <f>IFERROR(__xludf.DUMMYFUNCTION("""COMPUTED_VALUE"""),0.0)</f>
        <v>0</v>
      </c>
      <c r="M266" s="28">
        <f>IFERROR(__xludf.DUMMYFUNCTION("""COMPUTED_VALUE"""),1.0)</f>
        <v>1</v>
      </c>
      <c r="N266" s="28">
        <f>IFERROR(__xludf.DUMMYFUNCTION("""COMPUTED_VALUE"""),2.0)</f>
        <v>2</v>
      </c>
    </row>
    <row r="267">
      <c r="A267" s="26">
        <f>IFERROR(__xludf.DUMMYFUNCTION("""COMPUTED_VALUE"""),45382.0)</f>
        <v>45382</v>
      </c>
      <c r="B267" s="27">
        <f>IFERROR(__xludf.DUMMYFUNCTION("""COMPUTED_VALUE"""),0.0)</f>
        <v>0</v>
      </c>
      <c r="C267" s="28">
        <f>IFERROR(__xludf.DUMMYFUNCTION("""COMPUTED_VALUE"""),0.0)</f>
        <v>0</v>
      </c>
      <c r="D267" s="28">
        <f>IFERROR(__xludf.DUMMYFUNCTION("""COMPUTED_VALUE"""),0.0)</f>
        <v>0</v>
      </c>
      <c r="E267" s="28">
        <f>IFERROR(__xludf.DUMMYFUNCTION("""COMPUTED_VALUE"""),0.0)</f>
        <v>0</v>
      </c>
      <c r="F267" s="28">
        <f>IFERROR(__xludf.DUMMYFUNCTION("""COMPUTED_VALUE"""),0.0)</f>
        <v>0</v>
      </c>
      <c r="G267" s="28">
        <f>IFERROR(__xludf.DUMMYFUNCTION("""COMPUTED_VALUE"""),0.0)</f>
        <v>0</v>
      </c>
      <c r="H267" s="28">
        <f>IFERROR(__xludf.DUMMYFUNCTION("""COMPUTED_VALUE"""),0.0)</f>
        <v>0</v>
      </c>
      <c r="I267" s="28">
        <f>IFERROR(__xludf.DUMMYFUNCTION("""COMPUTED_VALUE"""),0.0)</f>
        <v>0</v>
      </c>
      <c r="J267" s="28">
        <f>IFERROR(__xludf.DUMMYFUNCTION("""COMPUTED_VALUE"""),0.0)</f>
        <v>0</v>
      </c>
      <c r="K267" s="28">
        <f>IFERROR(__xludf.DUMMYFUNCTION("""COMPUTED_VALUE"""),0.0)</f>
        <v>0</v>
      </c>
      <c r="L267" s="28">
        <f>IFERROR(__xludf.DUMMYFUNCTION("""COMPUTED_VALUE"""),0.0)</f>
        <v>0</v>
      </c>
      <c r="M267" s="28">
        <f>IFERROR(__xludf.DUMMYFUNCTION("""COMPUTED_VALUE"""),0.0)</f>
        <v>0</v>
      </c>
      <c r="N267" s="28">
        <f>IFERROR(__xludf.DUMMYFUNCTION("""COMPUTED_VALUE"""),0.0)</f>
        <v>0</v>
      </c>
    </row>
    <row r="268">
      <c r="A268" s="26">
        <f>IFERROR(__xludf.DUMMYFUNCTION("""COMPUTED_VALUE"""),45383.0)</f>
        <v>45383</v>
      </c>
      <c r="B268" s="27">
        <f>IFERROR(__xludf.DUMMYFUNCTION("""COMPUTED_VALUE"""),0.0)</f>
        <v>0</v>
      </c>
      <c r="C268" s="28">
        <f>IFERROR(__xludf.DUMMYFUNCTION("""COMPUTED_VALUE"""),0.0)</f>
        <v>0</v>
      </c>
      <c r="D268" s="28">
        <f>IFERROR(__xludf.DUMMYFUNCTION("""COMPUTED_VALUE"""),0.0)</f>
        <v>0</v>
      </c>
      <c r="E268" s="28">
        <f>IFERROR(__xludf.DUMMYFUNCTION("""COMPUTED_VALUE"""),0.0)</f>
        <v>0</v>
      </c>
      <c r="F268" s="28">
        <f>IFERROR(__xludf.DUMMYFUNCTION("""COMPUTED_VALUE"""),0.0)</f>
        <v>0</v>
      </c>
      <c r="G268" s="28">
        <f>IFERROR(__xludf.DUMMYFUNCTION("""COMPUTED_VALUE"""),0.0)</f>
        <v>0</v>
      </c>
      <c r="H268" s="28">
        <f>IFERROR(__xludf.DUMMYFUNCTION("""COMPUTED_VALUE"""),0.0)</f>
        <v>0</v>
      </c>
      <c r="I268" s="28">
        <f>IFERROR(__xludf.DUMMYFUNCTION("""COMPUTED_VALUE"""),0.0)</f>
        <v>0</v>
      </c>
      <c r="J268" s="28">
        <f>IFERROR(__xludf.DUMMYFUNCTION("""COMPUTED_VALUE"""),0.0)</f>
        <v>0</v>
      </c>
      <c r="K268" s="28">
        <f>IFERROR(__xludf.DUMMYFUNCTION("""COMPUTED_VALUE"""),0.0)</f>
        <v>0</v>
      </c>
      <c r="L268" s="28">
        <f>IFERROR(__xludf.DUMMYFUNCTION("""COMPUTED_VALUE"""),0.0)</f>
        <v>0</v>
      </c>
      <c r="M268" s="28">
        <f>IFERROR(__xludf.DUMMYFUNCTION("""COMPUTED_VALUE"""),0.0)</f>
        <v>0</v>
      </c>
      <c r="N268" s="28">
        <f>IFERROR(__xludf.DUMMYFUNCTION("""COMPUTED_VALUE"""),0.0)</f>
        <v>0</v>
      </c>
    </row>
    <row r="269">
      <c r="A269" s="26">
        <f>IFERROR(__xludf.DUMMYFUNCTION("""COMPUTED_VALUE"""),45384.0)</f>
        <v>45384</v>
      </c>
      <c r="B269" s="27">
        <f>IFERROR(__xludf.DUMMYFUNCTION("""COMPUTED_VALUE"""),6.0)</f>
        <v>6</v>
      </c>
      <c r="C269" s="28">
        <f>IFERROR(__xludf.DUMMYFUNCTION("""COMPUTED_VALUE"""),33.0)</f>
        <v>33</v>
      </c>
      <c r="D269" s="28">
        <f>IFERROR(__xludf.DUMMYFUNCTION("""COMPUTED_VALUE"""),6.0)</f>
        <v>6</v>
      </c>
      <c r="E269" s="28">
        <f>IFERROR(__xludf.DUMMYFUNCTION("""COMPUTED_VALUE"""),683.0)</f>
        <v>683</v>
      </c>
      <c r="F269" s="28">
        <f>IFERROR(__xludf.DUMMYFUNCTION("""COMPUTED_VALUE"""),114.0)</f>
        <v>114</v>
      </c>
      <c r="G269" s="28">
        <f>IFERROR(__xludf.DUMMYFUNCTION("""COMPUTED_VALUE"""),3.0)</f>
        <v>3</v>
      </c>
      <c r="H269" s="28">
        <f>IFERROR(__xludf.DUMMYFUNCTION("""COMPUTED_VALUE"""),0.0)</f>
        <v>0</v>
      </c>
      <c r="I269" s="28">
        <f>IFERROR(__xludf.DUMMYFUNCTION("""COMPUTED_VALUE"""),3.0)</f>
        <v>3</v>
      </c>
      <c r="J269" s="28">
        <f>IFERROR(__xludf.DUMMYFUNCTION("""COMPUTED_VALUE"""),4.0)</f>
        <v>4</v>
      </c>
      <c r="K269" s="28">
        <f>IFERROR(__xludf.DUMMYFUNCTION("""COMPUTED_VALUE"""),6.0)</f>
        <v>6</v>
      </c>
      <c r="L269" s="28">
        <f>IFERROR(__xludf.DUMMYFUNCTION("""COMPUTED_VALUE"""),10.0)</f>
        <v>10</v>
      </c>
      <c r="M269" s="28">
        <f>IFERROR(__xludf.DUMMYFUNCTION("""COMPUTED_VALUE"""),0.0)</f>
        <v>0</v>
      </c>
      <c r="N269" s="28">
        <f>IFERROR(__xludf.DUMMYFUNCTION("""COMPUTED_VALUE"""),6.0)</f>
        <v>6</v>
      </c>
    </row>
    <row r="270">
      <c r="A270" s="26">
        <f>IFERROR(__xludf.DUMMYFUNCTION("""COMPUTED_VALUE"""),45385.0)</f>
        <v>45385</v>
      </c>
      <c r="B270" s="27">
        <f>IFERROR(__xludf.DUMMYFUNCTION("""COMPUTED_VALUE"""),13.0)</f>
        <v>13</v>
      </c>
      <c r="C270" s="28">
        <f>IFERROR(__xludf.DUMMYFUNCTION("""COMPUTED_VALUE"""),55.0)</f>
        <v>55</v>
      </c>
      <c r="D270" s="28">
        <f>IFERROR(__xludf.DUMMYFUNCTION("""COMPUTED_VALUE"""),4.0)</f>
        <v>4</v>
      </c>
      <c r="E270" s="28">
        <f>IFERROR(__xludf.DUMMYFUNCTION("""COMPUTED_VALUE"""),1030.0)</f>
        <v>1030</v>
      </c>
      <c r="F270" s="28">
        <f>IFERROR(__xludf.DUMMYFUNCTION("""COMPUTED_VALUE"""),79.0)</f>
        <v>79</v>
      </c>
      <c r="G270" s="28">
        <f>IFERROR(__xludf.DUMMYFUNCTION("""COMPUTED_VALUE"""),7.0)</f>
        <v>7</v>
      </c>
      <c r="H270" s="28">
        <f>IFERROR(__xludf.DUMMYFUNCTION("""COMPUTED_VALUE"""),0.0)</f>
        <v>0</v>
      </c>
      <c r="I270" s="28">
        <f>IFERROR(__xludf.DUMMYFUNCTION("""COMPUTED_VALUE"""),5.0)</f>
        <v>5</v>
      </c>
      <c r="J270" s="28">
        <f>IFERROR(__xludf.DUMMYFUNCTION("""COMPUTED_VALUE"""),8.0)</f>
        <v>8</v>
      </c>
      <c r="K270" s="28">
        <f>IFERROR(__xludf.DUMMYFUNCTION("""COMPUTED_VALUE"""),9.0)</f>
        <v>9</v>
      </c>
      <c r="L270" s="28">
        <f>IFERROR(__xludf.DUMMYFUNCTION("""COMPUTED_VALUE"""),8.0)</f>
        <v>8</v>
      </c>
      <c r="M270" s="28">
        <f>IFERROR(__xludf.DUMMYFUNCTION("""COMPUTED_VALUE"""),0.0)</f>
        <v>0</v>
      </c>
      <c r="N270" s="28">
        <f>IFERROR(__xludf.DUMMYFUNCTION("""COMPUTED_VALUE"""),8.0)</f>
        <v>8</v>
      </c>
    </row>
    <row r="271">
      <c r="A271" s="26">
        <f>IFERROR(__xludf.DUMMYFUNCTION("""COMPUTED_VALUE"""),45386.0)</f>
        <v>45386</v>
      </c>
      <c r="B271" s="27">
        <f>IFERROR(__xludf.DUMMYFUNCTION("""COMPUTED_VALUE"""),20.0)</f>
        <v>20</v>
      </c>
      <c r="C271" s="28">
        <f>IFERROR(__xludf.DUMMYFUNCTION("""COMPUTED_VALUE"""),183.0)</f>
        <v>183</v>
      </c>
      <c r="D271" s="28">
        <f>IFERROR(__xludf.DUMMYFUNCTION("""COMPUTED_VALUE"""),9.0)</f>
        <v>9</v>
      </c>
      <c r="E271" s="28">
        <f>IFERROR(__xludf.DUMMYFUNCTION("""COMPUTED_VALUE"""),2179.0)</f>
        <v>2179</v>
      </c>
      <c r="F271" s="28">
        <f>IFERROR(__xludf.DUMMYFUNCTION("""COMPUTED_VALUE"""),109.0)</f>
        <v>109</v>
      </c>
      <c r="G271" s="28">
        <f>IFERROR(__xludf.DUMMYFUNCTION("""COMPUTED_VALUE"""),12.0)</f>
        <v>12</v>
      </c>
      <c r="H271" s="28">
        <f>IFERROR(__xludf.DUMMYFUNCTION("""COMPUTED_VALUE"""),0.0)</f>
        <v>0</v>
      </c>
      <c r="I271" s="28">
        <f>IFERROR(__xludf.DUMMYFUNCTION("""COMPUTED_VALUE"""),7.0)</f>
        <v>7</v>
      </c>
      <c r="J271" s="28">
        <f>IFERROR(__xludf.DUMMYFUNCTION("""COMPUTED_VALUE"""),4.0)</f>
        <v>4</v>
      </c>
      <c r="K271" s="28">
        <f>IFERROR(__xludf.DUMMYFUNCTION("""COMPUTED_VALUE"""),16.0)</f>
        <v>16</v>
      </c>
      <c r="L271" s="28">
        <f>IFERROR(__xludf.DUMMYFUNCTION("""COMPUTED_VALUE"""),3.0)</f>
        <v>3</v>
      </c>
      <c r="M271" s="28">
        <f>IFERROR(__xludf.DUMMYFUNCTION("""COMPUTED_VALUE"""),3.0)</f>
        <v>3</v>
      </c>
      <c r="N271" s="28">
        <f>IFERROR(__xludf.DUMMYFUNCTION("""COMPUTED_VALUE"""),16.0)</f>
        <v>16</v>
      </c>
    </row>
    <row r="272">
      <c r="A272" s="26">
        <f>IFERROR(__xludf.DUMMYFUNCTION("""COMPUTED_VALUE"""),45387.0)</f>
        <v>45387</v>
      </c>
      <c r="B272" s="27">
        <f>IFERROR(__xludf.DUMMYFUNCTION("""COMPUTED_VALUE"""),15.0)</f>
        <v>15</v>
      </c>
      <c r="C272" s="28">
        <f>IFERROR(__xludf.DUMMYFUNCTION("""COMPUTED_VALUE"""),138.0)</f>
        <v>138</v>
      </c>
      <c r="D272" s="28">
        <f>IFERROR(__xludf.DUMMYFUNCTION("""COMPUTED_VALUE"""),9.0)</f>
        <v>9</v>
      </c>
      <c r="E272" s="28">
        <f>IFERROR(__xludf.DUMMYFUNCTION("""COMPUTED_VALUE"""),2576.0)</f>
        <v>2576</v>
      </c>
      <c r="F272" s="28">
        <f>IFERROR(__xludf.DUMMYFUNCTION("""COMPUTED_VALUE"""),172.0)</f>
        <v>172</v>
      </c>
      <c r="G272" s="28">
        <f>IFERROR(__xludf.DUMMYFUNCTION("""COMPUTED_VALUE"""),9.0)</f>
        <v>9</v>
      </c>
      <c r="H272" s="28">
        <f>IFERROR(__xludf.DUMMYFUNCTION("""COMPUTED_VALUE"""),0.0)</f>
        <v>0</v>
      </c>
      <c r="I272" s="28">
        <f>IFERROR(__xludf.DUMMYFUNCTION("""COMPUTED_VALUE"""),5.0)</f>
        <v>5</v>
      </c>
      <c r="J272" s="28">
        <f>IFERROR(__xludf.DUMMYFUNCTION("""COMPUTED_VALUE"""),7.0)</f>
        <v>7</v>
      </c>
      <c r="K272" s="28">
        <f>IFERROR(__xludf.DUMMYFUNCTION("""COMPUTED_VALUE"""),11.0)</f>
        <v>11</v>
      </c>
      <c r="L272" s="28">
        <f>IFERROR(__xludf.DUMMYFUNCTION("""COMPUTED_VALUE"""),9.0)</f>
        <v>9</v>
      </c>
      <c r="M272" s="28">
        <f>IFERROR(__xludf.DUMMYFUNCTION("""COMPUTED_VALUE"""),1.0)</f>
        <v>1</v>
      </c>
      <c r="N272" s="28">
        <f>IFERROR(__xludf.DUMMYFUNCTION("""COMPUTED_VALUE"""),10.0)</f>
        <v>10</v>
      </c>
    </row>
    <row r="273">
      <c r="A273" s="26">
        <f>IFERROR(__xludf.DUMMYFUNCTION("""COMPUTED_VALUE"""),45388.0)</f>
        <v>45388</v>
      </c>
      <c r="B273" s="27">
        <f>IFERROR(__xludf.DUMMYFUNCTION("""COMPUTED_VALUE"""),0.0)</f>
        <v>0</v>
      </c>
      <c r="C273" s="28">
        <f>IFERROR(__xludf.DUMMYFUNCTION("""COMPUTED_VALUE"""),0.0)</f>
        <v>0</v>
      </c>
      <c r="D273" s="28">
        <f>IFERROR(__xludf.DUMMYFUNCTION("""COMPUTED_VALUE"""),0.0)</f>
        <v>0</v>
      </c>
      <c r="E273" s="28">
        <f>IFERROR(__xludf.DUMMYFUNCTION("""COMPUTED_VALUE"""),0.0)</f>
        <v>0</v>
      </c>
      <c r="F273" s="28">
        <f>IFERROR(__xludf.DUMMYFUNCTION("""COMPUTED_VALUE"""),0.0)</f>
        <v>0</v>
      </c>
      <c r="G273" s="28">
        <f>IFERROR(__xludf.DUMMYFUNCTION("""COMPUTED_VALUE"""),0.0)</f>
        <v>0</v>
      </c>
      <c r="H273" s="28">
        <f>IFERROR(__xludf.DUMMYFUNCTION("""COMPUTED_VALUE"""),0.0)</f>
        <v>0</v>
      </c>
      <c r="I273" s="28">
        <f>IFERROR(__xludf.DUMMYFUNCTION("""COMPUTED_VALUE"""),0.0)</f>
        <v>0</v>
      </c>
      <c r="J273" s="28">
        <f>IFERROR(__xludf.DUMMYFUNCTION("""COMPUTED_VALUE"""),0.0)</f>
        <v>0</v>
      </c>
      <c r="K273" s="28">
        <f>IFERROR(__xludf.DUMMYFUNCTION("""COMPUTED_VALUE"""),0.0)</f>
        <v>0</v>
      </c>
      <c r="L273" s="28">
        <f>IFERROR(__xludf.DUMMYFUNCTION("""COMPUTED_VALUE"""),0.0)</f>
        <v>0</v>
      </c>
      <c r="M273" s="28">
        <f>IFERROR(__xludf.DUMMYFUNCTION("""COMPUTED_VALUE"""),0.0)</f>
        <v>0</v>
      </c>
      <c r="N273" s="28">
        <f>IFERROR(__xludf.DUMMYFUNCTION("""COMPUTED_VALUE"""),0.0)</f>
        <v>0</v>
      </c>
    </row>
    <row r="274">
      <c r="A274" s="26">
        <f>IFERROR(__xludf.DUMMYFUNCTION("""COMPUTED_VALUE"""),45389.0)</f>
        <v>45389</v>
      </c>
      <c r="B274" s="27">
        <f>IFERROR(__xludf.DUMMYFUNCTION("""COMPUTED_VALUE"""),0.0)</f>
        <v>0</v>
      </c>
      <c r="C274" s="28">
        <f>IFERROR(__xludf.DUMMYFUNCTION("""COMPUTED_VALUE"""),0.0)</f>
        <v>0</v>
      </c>
      <c r="D274" s="28">
        <f>IFERROR(__xludf.DUMMYFUNCTION("""COMPUTED_VALUE"""),0.0)</f>
        <v>0</v>
      </c>
      <c r="E274" s="28">
        <f>IFERROR(__xludf.DUMMYFUNCTION("""COMPUTED_VALUE"""),0.0)</f>
        <v>0</v>
      </c>
      <c r="F274" s="28">
        <f>IFERROR(__xludf.DUMMYFUNCTION("""COMPUTED_VALUE"""),0.0)</f>
        <v>0</v>
      </c>
      <c r="G274" s="28">
        <f>IFERROR(__xludf.DUMMYFUNCTION("""COMPUTED_VALUE"""),0.0)</f>
        <v>0</v>
      </c>
      <c r="H274" s="28">
        <f>IFERROR(__xludf.DUMMYFUNCTION("""COMPUTED_VALUE"""),0.0)</f>
        <v>0</v>
      </c>
      <c r="I274" s="28">
        <f>IFERROR(__xludf.DUMMYFUNCTION("""COMPUTED_VALUE"""),0.0)</f>
        <v>0</v>
      </c>
      <c r="J274" s="28">
        <f>IFERROR(__xludf.DUMMYFUNCTION("""COMPUTED_VALUE"""),0.0)</f>
        <v>0</v>
      </c>
      <c r="K274" s="28">
        <f>IFERROR(__xludf.DUMMYFUNCTION("""COMPUTED_VALUE"""),0.0)</f>
        <v>0</v>
      </c>
      <c r="L274" s="28">
        <f>IFERROR(__xludf.DUMMYFUNCTION("""COMPUTED_VALUE"""),0.0)</f>
        <v>0</v>
      </c>
      <c r="M274" s="28">
        <f>IFERROR(__xludf.DUMMYFUNCTION("""COMPUTED_VALUE"""),0.0)</f>
        <v>0</v>
      </c>
      <c r="N274" s="28">
        <f>IFERROR(__xludf.DUMMYFUNCTION("""COMPUTED_VALUE"""),0.0)</f>
        <v>0</v>
      </c>
    </row>
    <row r="275">
      <c r="A275" s="26">
        <f>IFERROR(__xludf.DUMMYFUNCTION("""COMPUTED_VALUE"""),45390.0)</f>
        <v>45390</v>
      </c>
      <c r="B275" s="27">
        <f>IFERROR(__xludf.DUMMYFUNCTION("""COMPUTED_VALUE"""),7.0)</f>
        <v>7</v>
      </c>
      <c r="C275" s="28">
        <f>IFERROR(__xludf.DUMMYFUNCTION("""COMPUTED_VALUE"""),64.0)</f>
        <v>64</v>
      </c>
      <c r="D275" s="28">
        <f>IFERROR(__xludf.DUMMYFUNCTION("""COMPUTED_VALUE"""),9.0)</f>
        <v>9</v>
      </c>
      <c r="E275" s="28">
        <f>IFERROR(__xludf.DUMMYFUNCTION("""COMPUTED_VALUE"""),1208.0)</f>
        <v>1208</v>
      </c>
      <c r="F275" s="28">
        <f>IFERROR(__xludf.DUMMYFUNCTION("""COMPUTED_VALUE"""),173.0)</f>
        <v>173</v>
      </c>
      <c r="G275" s="28">
        <f>IFERROR(__xludf.DUMMYFUNCTION("""COMPUTED_VALUE"""),6.0)</f>
        <v>6</v>
      </c>
      <c r="H275" s="28">
        <f>IFERROR(__xludf.DUMMYFUNCTION("""COMPUTED_VALUE"""),0.0)</f>
        <v>0</v>
      </c>
      <c r="I275" s="28">
        <f>IFERROR(__xludf.DUMMYFUNCTION("""COMPUTED_VALUE"""),1.0)</f>
        <v>1</v>
      </c>
      <c r="J275" s="28">
        <f>IFERROR(__xludf.DUMMYFUNCTION("""COMPUTED_VALUE"""),5.0)</f>
        <v>5</v>
      </c>
      <c r="K275" s="28">
        <f>IFERROR(__xludf.DUMMYFUNCTION("""COMPUTED_VALUE"""),4.0)</f>
        <v>4</v>
      </c>
      <c r="L275" s="28">
        <f>IFERROR(__xludf.DUMMYFUNCTION("""COMPUTED_VALUE"""),7.0)</f>
        <v>7</v>
      </c>
      <c r="M275" s="28">
        <f>IFERROR(__xludf.DUMMYFUNCTION("""COMPUTED_VALUE"""),2.0)</f>
        <v>2</v>
      </c>
      <c r="N275" s="28">
        <f>IFERROR(__xludf.DUMMYFUNCTION("""COMPUTED_VALUE"""),3.0)</f>
        <v>3</v>
      </c>
    </row>
    <row r="276">
      <c r="A276" s="26">
        <f>IFERROR(__xludf.DUMMYFUNCTION("""COMPUTED_VALUE"""),45391.0)</f>
        <v>45391</v>
      </c>
      <c r="B276" s="27">
        <f>IFERROR(__xludf.DUMMYFUNCTION("""COMPUTED_VALUE"""),11.0)</f>
        <v>11</v>
      </c>
      <c r="C276" s="28">
        <f>IFERROR(__xludf.DUMMYFUNCTION("""COMPUTED_VALUE"""),102.0)</f>
        <v>102</v>
      </c>
      <c r="D276" s="28">
        <f>IFERROR(__xludf.DUMMYFUNCTION("""COMPUTED_VALUE"""),9.0)</f>
        <v>9</v>
      </c>
      <c r="E276" s="28">
        <f>IFERROR(__xludf.DUMMYFUNCTION("""COMPUTED_VALUE"""),1409.0)</f>
        <v>1409</v>
      </c>
      <c r="F276" s="28">
        <f>IFERROR(__xludf.DUMMYFUNCTION("""COMPUTED_VALUE"""),128.0)</f>
        <v>128</v>
      </c>
      <c r="G276" s="28">
        <f>IFERROR(__xludf.DUMMYFUNCTION("""COMPUTED_VALUE"""),8.0)</f>
        <v>8</v>
      </c>
      <c r="H276" s="28">
        <f>IFERROR(__xludf.DUMMYFUNCTION("""COMPUTED_VALUE"""),0.0)</f>
        <v>0</v>
      </c>
      <c r="I276" s="28">
        <f>IFERROR(__xludf.DUMMYFUNCTION("""COMPUTED_VALUE"""),3.0)</f>
        <v>3</v>
      </c>
      <c r="J276" s="28">
        <f>IFERROR(__xludf.DUMMYFUNCTION("""COMPUTED_VALUE"""),4.0)</f>
        <v>4</v>
      </c>
      <c r="K276" s="28">
        <f>IFERROR(__xludf.DUMMYFUNCTION("""COMPUTED_VALUE"""),9.0)</f>
        <v>9</v>
      </c>
      <c r="L276" s="28">
        <f>IFERROR(__xludf.DUMMYFUNCTION("""COMPUTED_VALUE"""),3.0)</f>
        <v>3</v>
      </c>
      <c r="M276" s="28">
        <f>IFERROR(__xludf.DUMMYFUNCTION("""COMPUTED_VALUE"""),1.0)</f>
        <v>1</v>
      </c>
      <c r="N276" s="28">
        <f>IFERROR(__xludf.DUMMYFUNCTION("""COMPUTED_VALUE"""),7.0)</f>
        <v>7</v>
      </c>
    </row>
    <row r="277">
      <c r="A277" s="26">
        <f>IFERROR(__xludf.DUMMYFUNCTION("""COMPUTED_VALUE"""),45392.0)</f>
        <v>45392</v>
      </c>
      <c r="B277" s="27">
        <f>IFERROR(__xludf.DUMMYFUNCTION("""COMPUTED_VALUE"""),15.0)</f>
        <v>15</v>
      </c>
      <c r="C277" s="28">
        <f>IFERROR(__xludf.DUMMYFUNCTION("""COMPUTED_VALUE"""),126.0)</f>
        <v>126</v>
      </c>
      <c r="D277" s="28">
        <f>IFERROR(__xludf.DUMMYFUNCTION("""COMPUTED_VALUE"""),8.0)</f>
        <v>8</v>
      </c>
      <c r="E277" s="28">
        <f>IFERROR(__xludf.DUMMYFUNCTION("""COMPUTED_VALUE"""),1912.0)</f>
        <v>1912</v>
      </c>
      <c r="F277" s="28">
        <f>IFERROR(__xludf.DUMMYFUNCTION("""COMPUTED_VALUE"""),127.0)</f>
        <v>127</v>
      </c>
      <c r="G277" s="28">
        <f>IFERROR(__xludf.DUMMYFUNCTION("""COMPUTED_VALUE"""),11.0)</f>
        <v>11</v>
      </c>
      <c r="H277" s="28">
        <f>IFERROR(__xludf.DUMMYFUNCTION("""COMPUTED_VALUE"""),0.0)</f>
        <v>0</v>
      </c>
      <c r="I277" s="28">
        <f>IFERROR(__xludf.DUMMYFUNCTION("""COMPUTED_VALUE"""),4.0)</f>
        <v>4</v>
      </c>
      <c r="J277" s="28">
        <f>IFERROR(__xludf.DUMMYFUNCTION("""COMPUTED_VALUE"""),7.0)</f>
        <v>7</v>
      </c>
      <c r="K277" s="28">
        <f>IFERROR(__xludf.DUMMYFUNCTION("""COMPUTED_VALUE"""),12.0)</f>
        <v>12</v>
      </c>
      <c r="L277" s="28">
        <f>IFERROR(__xludf.DUMMYFUNCTION("""COMPUTED_VALUE"""),4.0)</f>
        <v>4</v>
      </c>
      <c r="M277" s="28">
        <f>IFERROR(__xludf.DUMMYFUNCTION("""COMPUTED_VALUE"""),3.0)</f>
        <v>3</v>
      </c>
      <c r="N277" s="28">
        <f>IFERROR(__xludf.DUMMYFUNCTION("""COMPUTED_VALUE"""),9.0)</f>
        <v>9</v>
      </c>
    </row>
    <row r="278">
      <c r="A278" s="26">
        <f>IFERROR(__xludf.DUMMYFUNCTION("""COMPUTED_VALUE"""),45393.0)</f>
        <v>45393</v>
      </c>
      <c r="B278" s="27">
        <f>IFERROR(__xludf.DUMMYFUNCTION("""COMPUTED_VALUE"""),10.0)</f>
        <v>10</v>
      </c>
      <c r="C278" s="28">
        <f>IFERROR(__xludf.DUMMYFUNCTION("""COMPUTED_VALUE"""),90.0)</f>
        <v>90</v>
      </c>
      <c r="D278" s="28">
        <f>IFERROR(__xludf.DUMMYFUNCTION("""COMPUTED_VALUE"""),9.0)</f>
        <v>9</v>
      </c>
      <c r="E278" s="28">
        <f>IFERROR(__xludf.DUMMYFUNCTION("""COMPUTED_VALUE"""),1037.0)</f>
        <v>1037</v>
      </c>
      <c r="F278" s="28">
        <f>IFERROR(__xludf.DUMMYFUNCTION("""COMPUTED_VALUE"""),104.0)</f>
        <v>104</v>
      </c>
      <c r="G278" s="28">
        <f>IFERROR(__xludf.DUMMYFUNCTION("""COMPUTED_VALUE"""),5.0)</f>
        <v>5</v>
      </c>
      <c r="H278" s="28">
        <f>IFERROR(__xludf.DUMMYFUNCTION("""COMPUTED_VALUE"""),0.0)</f>
        <v>0</v>
      </c>
      <c r="I278" s="28">
        <f>IFERROR(__xludf.DUMMYFUNCTION("""COMPUTED_VALUE"""),4.0)</f>
        <v>4</v>
      </c>
      <c r="J278" s="28">
        <f>IFERROR(__xludf.DUMMYFUNCTION("""COMPUTED_VALUE"""),4.0)</f>
        <v>4</v>
      </c>
      <c r="K278" s="28">
        <f>IFERROR(__xludf.DUMMYFUNCTION("""COMPUTED_VALUE"""),7.0)</f>
        <v>7</v>
      </c>
      <c r="L278" s="28">
        <f>IFERROR(__xludf.DUMMYFUNCTION("""COMPUTED_VALUE"""),0.0)</f>
        <v>0</v>
      </c>
      <c r="M278" s="28">
        <f>IFERROR(__xludf.DUMMYFUNCTION("""COMPUTED_VALUE"""),1.0)</f>
        <v>1</v>
      </c>
      <c r="N278" s="28">
        <f>IFERROR(__xludf.DUMMYFUNCTION("""COMPUTED_VALUE"""),7.0)</f>
        <v>7</v>
      </c>
    </row>
    <row r="279">
      <c r="A279" s="26">
        <f>IFERROR(__xludf.DUMMYFUNCTION("""COMPUTED_VALUE"""),45394.0)</f>
        <v>45394</v>
      </c>
      <c r="B279" s="27">
        <f>IFERROR(__xludf.DUMMYFUNCTION("""COMPUTED_VALUE"""),17.0)</f>
        <v>17</v>
      </c>
      <c r="C279" s="28">
        <f>IFERROR(__xludf.DUMMYFUNCTION("""COMPUTED_VALUE"""),164.0)</f>
        <v>164</v>
      </c>
      <c r="D279" s="28">
        <f>IFERROR(__xludf.DUMMYFUNCTION("""COMPUTED_VALUE"""),10.0)</f>
        <v>10</v>
      </c>
      <c r="E279" s="28">
        <f>IFERROR(__xludf.DUMMYFUNCTION("""COMPUTED_VALUE"""),2415.0)</f>
        <v>2415</v>
      </c>
      <c r="F279" s="28">
        <f>IFERROR(__xludf.DUMMYFUNCTION("""COMPUTED_VALUE"""),142.0)</f>
        <v>142</v>
      </c>
      <c r="G279" s="28">
        <f>IFERROR(__xludf.DUMMYFUNCTION("""COMPUTED_VALUE"""),11.0)</f>
        <v>11</v>
      </c>
      <c r="H279" s="28">
        <f>IFERROR(__xludf.DUMMYFUNCTION("""COMPUTED_VALUE"""),0.0)</f>
        <v>0</v>
      </c>
      <c r="I279" s="28">
        <f>IFERROR(__xludf.DUMMYFUNCTION("""COMPUTED_VALUE"""),6.0)</f>
        <v>6</v>
      </c>
      <c r="J279" s="28">
        <f>IFERROR(__xludf.DUMMYFUNCTION("""COMPUTED_VALUE"""),7.0)</f>
        <v>7</v>
      </c>
      <c r="K279" s="28">
        <f>IFERROR(__xludf.DUMMYFUNCTION("""COMPUTED_VALUE"""),15.0)</f>
        <v>15</v>
      </c>
      <c r="L279" s="28">
        <f>IFERROR(__xludf.DUMMYFUNCTION("""COMPUTED_VALUE"""),8.0)</f>
        <v>8</v>
      </c>
      <c r="M279" s="28">
        <f>IFERROR(__xludf.DUMMYFUNCTION("""COMPUTED_VALUE"""),2.0)</f>
        <v>2</v>
      </c>
      <c r="N279" s="28">
        <f>IFERROR(__xludf.DUMMYFUNCTION("""COMPUTED_VALUE"""),12.0)</f>
        <v>12</v>
      </c>
    </row>
    <row r="280">
      <c r="A280" s="26">
        <f>IFERROR(__xludf.DUMMYFUNCTION("""COMPUTED_VALUE"""),45395.0)</f>
        <v>45395</v>
      </c>
      <c r="B280" s="27">
        <f>IFERROR(__xludf.DUMMYFUNCTION("""COMPUTED_VALUE"""),3.0)</f>
        <v>3</v>
      </c>
      <c r="C280" s="28">
        <f>IFERROR(__xludf.DUMMYFUNCTION("""COMPUTED_VALUE"""),44.0)</f>
        <v>44</v>
      </c>
      <c r="D280" s="28">
        <f>IFERROR(__xludf.DUMMYFUNCTION("""COMPUTED_VALUE"""),15.0)</f>
        <v>15</v>
      </c>
      <c r="E280" s="28">
        <f>IFERROR(__xludf.DUMMYFUNCTION("""COMPUTED_VALUE"""),537.0)</f>
        <v>537</v>
      </c>
      <c r="F280" s="28">
        <f>IFERROR(__xludf.DUMMYFUNCTION("""COMPUTED_VALUE"""),179.0)</f>
        <v>179</v>
      </c>
      <c r="G280" s="28">
        <f>IFERROR(__xludf.DUMMYFUNCTION("""COMPUTED_VALUE"""),2.0)</f>
        <v>2</v>
      </c>
      <c r="H280" s="28">
        <f>IFERROR(__xludf.DUMMYFUNCTION("""COMPUTED_VALUE"""),0.0)</f>
        <v>0</v>
      </c>
      <c r="I280" s="28">
        <f>IFERROR(__xludf.DUMMYFUNCTION("""COMPUTED_VALUE"""),1.0)</f>
        <v>1</v>
      </c>
      <c r="J280" s="28">
        <f>IFERROR(__xludf.DUMMYFUNCTION("""COMPUTED_VALUE"""),1.0)</f>
        <v>1</v>
      </c>
      <c r="K280" s="28">
        <f>IFERROR(__xludf.DUMMYFUNCTION("""COMPUTED_VALUE"""),2.0)</f>
        <v>2</v>
      </c>
      <c r="L280" s="28">
        <f>IFERROR(__xludf.DUMMYFUNCTION("""COMPUTED_VALUE"""),2.0)</f>
        <v>2</v>
      </c>
      <c r="M280" s="28">
        <f>IFERROR(__xludf.DUMMYFUNCTION("""COMPUTED_VALUE"""),0.0)</f>
        <v>0</v>
      </c>
      <c r="N280" s="28">
        <f>IFERROR(__xludf.DUMMYFUNCTION("""COMPUTED_VALUE"""),2.0)</f>
        <v>2</v>
      </c>
    </row>
    <row r="281">
      <c r="A281" s="26">
        <f>IFERROR(__xludf.DUMMYFUNCTION("""COMPUTED_VALUE"""),45396.0)</f>
        <v>45396</v>
      </c>
      <c r="B281" s="27">
        <f>IFERROR(__xludf.DUMMYFUNCTION("""COMPUTED_VALUE"""),0.0)</f>
        <v>0</v>
      </c>
      <c r="C281" s="28">
        <f>IFERROR(__xludf.DUMMYFUNCTION("""COMPUTED_VALUE"""),0.0)</f>
        <v>0</v>
      </c>
      <c r="D281" s="28">
        <f>IFERROR(__xludf.DUMMYFUNCTION("""COMPUTED_VALUE"""),0.0)</f>
        <v>0</v>
      </c>
      <c r="E281" s="28">
        <f>IFERROR(__xludf.DUMMYFUNCTION("""COMPUTED_VALUE"""),0.0)</f>
        <v>0</v>
      </c>
      <c r="F281" s="28">
        <f>IFERROR(__xludf.DUMMYFUNCTION("""COMPUTED_VALUE"""),0.0)</f>
        <v>0</v>
      </c>
      <c r="G281" s="28">
        <f>IFERROR(__xludf.DUMMYFUNCTION("""COMPUTED_VALUE"""),0.0)</f>
        <v>0</v>
      </c>
      <c r="H281" s="28">
        <f>IFERROR(__xludf.DUMMYFUNCTION("""COMPUTED_VALUE"""),0.0)</f>
        <v>0</v>
      </c>
      <c r="I281" s="28">
        <f>IFERROR(__xludf.DUMMYFUNCTION("""COMPUTED_VALUE"""),0.0)</f>
        <v>0</v>
      </c>
      <c r="J281" s="28">
        <f>IFERROR(__xludf.DUMMYFUNCTION("""COMPUTED_VALUE"""),0.0)</f>
        <v>0</v>
      </c>
      <c r="K281" s="28">
        <f>IFERROR(__xludf.DUMMYFUNCTION("""COMPUTED_VALUE"""),0.0)</f>
        <v>0</v>
      </c>
      <c r="L281" s="28">
        <f>IFERROR(__xludf.DUMMYFUNCTION("""COMPUTED_VALUE"""),0.0)</f>
        <v>0</v>
      </c>
      <c r="M281" s="28">
        <f>IFERROR(__xludf.DUMMYFUNCTION("""COMPUTED_VALUE"""),0.0)</f>
        <v>0</v>
      </c>
      <c r="N281" s="28">
        <f>IFERROR(__xludf.DUMMYFUNCTION("""COMPUTED_VALUE"""),0.0)</f>
        <v>0</v>
      </c>
    </row>
    <row r="282">
      <c r="A282" s="26">
        <f>IFERROR(__xludf.DUMMYFUNCTION("""COMPUTED_VALUE"""),45397.0)</f>
        <v>45397</v>
      </c>
      <c r="B282" s="27">
        <f>IFERROR(__xludf.DUMMYFUNCTION("""COMPUTED_VALUE"""),10.0)</f>
        <v>10</v>
      </c>
      <c r="C282" s="28">
        <f>IFERROR(__xludf.DUMMYFUNCTION("""COMPUTED_VALUE"""),92.0)</f>
        <v>92</v>
      </c>
      <c r="D282" s="28">
        <f>IFERROR(__xludf.DUMMYFUNCTION("""COMPUTED_VALUE"""),9.0)</f>
        <v>9</v>
      </c>
      <c r="E282" s="28">
        <f>IFERROR(__xludf.DUMMYFUNCTION("""COMPUTED_VALUE"""),1252.0)</f>
        <v>1252</v>
      </c>
      <c r="F282" s="28">
        <f>IFERROR(__xludf.DUMMYFUNCTION("""COMPUTED_VALUE"""),125.0)</f>
        <v>125</v>
      </c>
      <c r="G282" s="28">
        <f>IFERROR(__xludf.DUMMYFUNCTION("""COMPUTED_VALUE"""),8.0)</f>
        <v>8</v>
      </c>
      <c r="H282" s="28">
        <f>IFERROR(__xludf.DUMMYFUNCTION("""COMPUTED_VALUE"""),0.0)</f>
        <v>0</v>
      </c>
      <c r="I282" s="28">
        <f>IFERROR(__xludf.DUMMYFUNCTION("""COMPUTED_VALUE"""),2.0)</f>
        <v>2</v>
      </c>
      <c r="J282" s="28">
        <f>IFERROR(__xludf.DUMMYFUNCTION("""COMPUTED_VALUE"""),8.0)</f>
        <v>8</v>
      </c>
      <c r="K282" s="28">
        <f>IFERROR(__xludf.DUMMYFUNCTION("""COMPUTED_VALUE"""),8.0)</f>
        <v>8</v>
      </c>
      <c r="L282" s="28">
        <f>IFERROR(__xludf.DUMMYFUNCTION("""COMPUTED_VALUE"""),8.0)</f>
        <v>8</v>
      </c>
      <c r="M282" s="28">
        <f>IFERROR(__xludf.DUMMYFUNCTION("""COMPUTED_VALUE"""),2.0)</f>
        <v>2</v>
      </c>
      <c r="N282" s="28">
        <f>IFERROR(__xludf.DUMMYFUNCTION("""COMPUTED_VALUE"""),5.0)</f>
        <v>5</v>
      </c>
    </row>
    <row r="283">
      <c r="A283" s="26">
        <f>IFERROR(__xludf.DUMMYFUNCTION("""COMPUTED_VALUE"""),45398.0)</f>
        <v>45398</v>
      </c>
      <c r="B283" s="27">
        <f>IFERROR(__xludf.DUMMYFUNCTION("""COMPUTED_VALUE"""),7.0)</f>
        <v>7</v>
      </c>
      <c r="C283" s="28">
        <f>IFERROR(__xludf.DUMMYFUNCTION("""COMPUTED_VALUE"""),42.0)</f>
        <v>42</v>
      </c>
      <c r="D283" s="28">
        <f>IFERROR(__xludf.DUMMYFUNCTION("""COMPUTED_VALUE"""),6.0)</f>
        <v>6</v>
      </c>
      <c r="E283" s="28">
        <f>IFERROR(__xludf.DUMMYFUNCTION("""COMPUTED_VALUE"""),690.0)</f>
        <v>690</v>
      </c>
      <c r="F283" s="28">
        <f>IFERROR(__xludf.DUMMYFUNCTION("""COMPUTED_VALUE"""),99.0)</f>
        <v>99</v>
      </c>
      <c r="G283" s="28">
        <f>IFERROR(__xludf.DUMMYFUNCTION("""COMPUTED_VALUE"""),5.0)</f>
        <v>5</v>
      </c>
      <c r="H283" s="28">
        <f>IFERROR(__xludf.DUMMYFUNCTION("""COMPUTED_VALUE"""),0.0)</f>
        <v>0</v>
      </c>
      <c r="I283" s="28">
        <f>IFERROR(__xludf.DUMMYFUNCTION("""COMPUTED_VALUE"""),2.0)</f>
        <v>2</v>
      </c>
      <c r="J283" s="28">
        <f>IFERROR(__xludf.DUMMYFUNCTION("""COMPUTED_VALUE"""),1.0)</f>
        <v>1</v>
      </c>
      <c r="K283" s="28">
        <f>IFERROR(__xludf.DUMMYFUNCTION("""COMPUTED_VALUE"""),6.0)</f>
        <v>6</v>
      </c>
      <c r="L283" s="28">
        <f>IFERROR(__xludf.DUMMYFUNCTION("""COMPUTED_VALUE"""),0.0)</f>
        <v>0</v>
      </c>
      <c r="M283" s="28">
        <f>IFERROR(__xludf.DUMMYFUNCTION("""COMPUTED_VALUE"""),2.0)</f>
        <v>2</v>
      </c>
      <c r="N283" s="28">
        <f>IFERROR(__xludf.DUMMYFUNCTION("""COMPUTED_VALUE"""),3.0)</f>
        <v>3</v>
      </c>
    </row>
    <row r="284">
      <c r="A284" s="26">
        <f>IFERROR(__xludf.DUMMYFUNCTION("""COMPUTED_VALUE"""),45399.0)</f>
        <v>45399</v>
      </c>
      <c r="B284" s="27">
        <f>IFERROR(__xludf.DUMMYFUNCTION("""COMPUTED_VALUE"""),9.0)</f>
        <v>9</v>
      </c>
      <c r="C284" s="28">
        <f>IFERROR(__xludf.DUMMYFUNCTION("""COMPUTED_VALUE"""),90.0)</f>
        <v>90</v>
      </c>
      <c r="D284" s="28">
        <f>IFERROR(__xludf.DUMMYFUNCTION("""COMPUTED_VALUE"""),10.0)</f>
        <v>10</v>
      </c>
      <c r="E284" s="28">
        <f>IFERROR(__xludf.DUMMYFUNCTION("""COMPUTED_VALUE"""),1625.0)</f>
        <v>1625</v>
      </c>
      <c r="F284" s="28">
        <f>IFERROR(__xludf.DUMMYFUNCTION("""COMPUTED_VALUE"""),181.0)</f>
        <v>181</v>
      </c>
      <c r="G284" s="28">
        <f>IFERROR(__xludf.DUMMYFUNCTION("""COMPUTED_VALUE"""),4.0)</f>
        <v>4</v>
      </c>
      <c r="H284" s="28">
        <f>IFERROR(__xludf.DUMMYFUNCTION("""COMPUTED_VALUE"""),0.0)</f>
        <v>0</v>
      </c>
      <c r="I284" s="28">
        <f>IFERROR(__xludf.DUMMYFUNCTION("""COMPUTED_VALUE"""),5.0)</f>
        <v>5</v>
      </c>
      <c r="J284" s="28">
        <f>IFERROR(__xludf.DUMMYFUNCTION("""COMPUTED_VALUE"""),8.0)</f>
        <v>8</v>
      </c>
      <c r="K284" s="28">
        <f>IFERROR(__xludf.DUMMYFUNCTION("""COMPUTED_VALUE"""),8.0)</f>
        <v>8</v>
      </c>
      <c r="L284" s="28">
        <f>IFERROR(__xludf.DUMMYFUNCTION("""COMPUTED_VALUE"""),6.0)</f>
        <v>6</v>
      </c>
      <c r="M284" s="28">
        <f>IFERROR(__xludf.DUMMYFUNCTION("""COMPUTED_VALUE"""),1.0)</f>
        <v>1</v>
      </c>
      <c r="N284" s="28">
        <f>IFERROR(__xludf.DUMMYFUNCTION("""COMPUTED_VALUE"""),6.0)</f>
        <v>6</v>
      </c>
    </row>
    <row r="285">
      <c r="A285" s="26">
        <f>IFERROR(__xludf.DUMMYFUNCTION("""COMPUTED_VALUE"""),45400.0)</f>
        <v>45400</v>
      </c>
      <c r="B285" s="27">
        <f>IFERROR(__xludf.DUMMYFUNCTION("""COMPUTED_VALUE"""),8.0)</f>
        <v>8</v>
      </c>
      <c r="C285" s="28">
        <f>IFERROR(__xludf.DUMMYFUNCTION("""COMPUTED_VALUE"""),48.0)</f>
        <v>48</v>
      </c>
      <c r="D285" s="28">
        <f>IFERROR(__xludf.DUMMYFUNCTION("""COMPUTED_VALUE"""),6.0)</f>
        <v>6</v>
      </c>
      <c r="E285" s="28">
        <f>IFERROR(__xludf.DUMMYFUNCTION("""COMPUTED_VALUE"""),689.0)</f>
        <v>689</v>
      </c>
      <c r="F285" s="28">
        <f>IFERROR(__xludf.DUMMYFUNCTION("""COMPUTED_VALUE"""),86.0)</f>
        <v>86</v>
      </c>
      <c r="G285" s="28">
        <f>IFERROR(__xludf.DUMMYFUNCTION("""COMPUTED_VALUE"""),5.0)</f>
        <v>5</v>
      </c>
      <c r="H285" s="28">
        <f>IFERROR(__xludf.DUMMYFUNCTION("""COMPUTED_VALUE"""),0.0)</f>
        <v>0</v>
      </c>
      <c r="I285" s="28">
        <f>IFERROR(__xludf.DUMMYFUNCTION("""COMPUTED_VALUE"""),3.0)</f>
        <v>3</v>
      </c>
      <c r="J285" s="28">
        <f>IFERROR(__xludf.DUMMYFUNCTION("""COMPUTED_VALUE"""),2.0)</f>
        <v>2</v>
      </c>
      <c r="K285" s="28">
        <f>IFERROR(__xludf.DUMMYFUNCTION("""COMPUTED_VALUE"""),6.0)</f>
        <v>6</v>
      </c>
      <c r="L285" s="28">
        <f>IFERROR(__xludf.DUMMYFUNCTION("""COMPUTED_VALUE"""),1.0)</f>
        <v>1</v>
      </c>
      <c r="M285" s="28">
        <f>IFERROR(__xludf.DUMMYFUNCTION("""COMPUTED_VALUE"""),2.0)</f>
        <v>2</v>
      </c>
      <c r="N285" s="28">
        <f>IFERROR(__xludf.DUMMYFUNCTION("""COMPUTED_VALUE"""),5.0)</f>
        <v>5</v>
      </c>
    </row>
    <row r="286">
      <c r="A286" s="26">
        <f>IFERROR(__xludf.DUMMYFUNCTION("""COMPUTED_VALUE"""),45401.0)</f>
        <v>45401</v>
      </c>
      <c r="B286" s="27">
        <f>IFERROR(__xludf.DUMMYFUNCTION("""COMPUTED_VALUE"""),8.0)</f>
        <v>8</v>
      </c>
      <c r="C286" s="28">
        <f>IFERROR(__xludf.DUMMYFUNCTION("""COMPUTED_VALUE"""),94.0)</f>
        <v>94</v>
      </c>
      <c r="D286" s="28">
        <f>IFERROR(__xludf.DUMMYFUNCTION("""COMPUTED_VALUE"""),12.0)</f>
        <v>12</v>
      </c>
      <c r="E286" s="28">
        <f>IFERROR(__xludf.DUMMYFUNCTION("""COMPUTED_VALUE"""),1581.0)</f>
        <v>1581</v>
      </c>
      <c r="F286" s="28">
        <f>IFERROR(__xludf.DUMMYFUNCTION("""COMPUTED_VALUE"""),198.0)</f>
        <v>198</v>
      </c>
      <c r="G286" s="28">
        <f>IFERROR(__xludf.DUMMYFUNCTION("""COMPUTED_VALUE"""),4.0)</f>
        <v>4</v>
      </c>
      <c r="H286" s="28">
        <f>IFERROR(__xludf.DUMMYFUNCTION("""COMPUTED_VALUE"""),0.0)</f>
        <v>0</v>
      </c>
      <c r="I286" s="28">
        <f>IFERROR(__xludf.DUMMYFUNCTION("""COMPUTED_VALUE"""),4.0)</f>
        <v>4</v>
      </c>
      <c r="J286" s="28">
        <f>IFERROR(__xludf.DUMMYFUNCTION("""COMPUTED_VALUE"""),1.0)</f>
        <v>1</v>
      </c>
      <c r="K286" s="28">
        <f>IFERROR(__xludf.DUMMYFUNCTION("""COMPUTED_VALUE"""),8.0)</f>
        <v>8</v>
      </c>
      <c r="L286" s="28">
        <f>IFERROR(__xludf.DUMMYFUNCTION("""COMPUTED_VALUE"""),0.0)</f>
        <v>0</v>
      </c>
      <c r="M286" s="28">
        <f>IFERROR(__xludf.DUMMYFUNCTION("""COMPUTED_VALUE"""),0.0)</f>
        <v>0</v>
      </c>
      <c r="N286" s="28">
        <f>IFERROR(__xludf.DUMMYFUNCTION("""COMPUTED_VALUE"""),7.0)</f>
        <v>7</v>
      </c>
    </row>
    <row r="287">
      <c r="A287" s="26">
        <f>IFERROR(__xludf.DUMMYFUNCTION("""COMPUTED_VALUE"""),45402.0)</f>
        <v>45402</v>
      </c>
      <c r="B287" s="27">
        <f>IFERROR(__xludf.DUMMYFUNCTION("""COMPUTED_VALUE"""),2.0)</f>
        <v>2</v>
      </c>
      <c r="C287" s="28">
        <f>IFERROR(__xludf.DUMMYFUNCTION("""COMPUTED_VALUE"""),19.0)</f>
        <v>19</v>
      </c>
      <c r="D287" s="28">
        <f>IFERROR(__xludf.DUMMYFUNCTION("""COMPUTED_VALUE"""),10.0)</f>
        <v>10</v>
      </c>
      <c r="E287" s="28">
        <f>IFERROR(__xludf.DUMMYFUNCTION("""COMPUTED_VALUE"""),264.0)</f>
        <v>264</v>
      </c>
      <c r="F287" s="28">
        <f>IFERROR(__xludf.DUMMYFUNCTION("""COMPUTED_VALUE"""),132.0)</f>
        <v>132</v>
      </c>
      <c r="G287" s="28">
        <f>IFERROR(__xludf.DUMMYFUNCTION("""COMPUTED_VALUE"""),1.0)</f>
        <v>1</v>
      </c>
      <c r="H287" s="28">
        <f>IFERROR(__xludf.DUMMYFUNCTION("""COMPUTED_VALUE"""),0.0)</f>
        <v>0</v>
      </c>
      <c r="I287" s="28">
        <f>IFERROR(__xludf.DUMMYFUNCTION("""COMPUTED_VALUE"""),1.0)</f>
        <v>1</v>
      </c>
      <c r="J287" s="28">
        <f>IFERROR(__xludf.DUMMYFUNCTION("""COMPUTED_VALUE"""),3.0)</f>
        <v>3</v>
      </c>
      <c r="K287" s="28">
        <f>IFERROR(__xludf.DUMMYFUNCTION("""COMPUTED_VALUE"""),1.0)</f>
        <v>1</v>
      </c>
      <c r="L287" s="28">
        <f>IFERROR(__xludf.DUMMYFUNCTION("""COMPUTED_VALUE"""),0.0)</f>
        <v>0</v>
      </c>
      <c r="M287" s="28">
        <f>IFERROR(__xludf.DUMMYFUNCTION("""COMPUTED_VALUE"""),0.0)</f>
        <v>0</v>
      </c>
      <c r="N287" s="28">
        <f>IFERROR(__xludf.DUMMYFUNCTION("""COMPUTED_VALUE"""),1.0)</f>
        <v>1</v>
      </c>
    </row>
    <row r="288">
      <c r="A288" s="26">
        <f>IFERROR(__xludf.DUMMYFUNCTION("""COMPUTED_VALUE"""),45403.0)</f>
        <v>45403</v>
      </c>
      <c r="B288" s="27">
        <f>IFERROR(__xludf.DUMMYFUNCTION("""COMPUTED_VALUE"""),0.0)</f>
        <v>0</v>
      </c>
      <c r="C288" s="28">
        <f>IFERROR(__xludf.DUMMYFUNCTION("""COMPUTED_VALUE"""),0.0)</f>
        <v>0</v>
      </c>
      <c r="D288" s="28">
        <f>IFERROR(__xludf.DUMMYFUNCTION("""COMPUTED_VALUE"""),0.0)</f>
        <v>0</v>
      </c>
      <c r="E288" s="28">
        <f>IFERROR(__xludf.DUMMYFUNCTION("""COMPUTED_VALUE"""),0.0)</f>
        <v>0</v>
      </c>
      <c r="F288" s="28">
        <f>IFERROR(__xludf.DUMMYFUNCTION("""COMPUTED_VALUE"""),0.0)</f>
        <v>0</v>
      </c>
      <c r="G288" s="28">
        <f>IFERROR(__xludf.DUMMYFUNCTION("""COMPUTED_VALUE"""),0.0)</f>
        <v>0</v>
      </c>
      <c r="H288" s="28">
        <f>IFERROR(__xludf.DUMMYFUNCTION("""COMPUTED_VALUE"""),0.0)</f>
        <v>0</v>
      </c>
      <c r="I288" s="28">
        <f>IFERROR(__xludf.DUMMYFUNCTION("""COMPUTED_VALUE"""),0.0)</f>
        <v>0</v>
      </c>
      <c r="J288" s="28">
        <f>IFERROR(__xludf.DUMMYFUNCTION("""COMPUTED_VALUE"""),0.0)</f>
        <v>0</v>
      </c>
      <c r="K288" s="28">
        <f>IFERROR(__xludf.DUMMYFUNCTION("""COMPUTED_VALUE"""),0.0)</f>
        <v>0</v>
      </c>
      <c r="L288" s="28">
        <f>IFERROR(__xludf.DUMMYFUNCTION("""COMPUTED_VALUE"""),0.0)</f>
        <v>0</v>
      </c>
      <c r="M288" s="28">
        <f>IFERROR(__xludf.DUMMYFUNCTION("""COMPUTED_VALUE"""),0.0)</f>
        <v>0</v>
      </c>
      <c r="N288" s="28">
        <f>IFERROR(__xludf.DUMMYFUNCTION("""COMPUTED_VALUE"""),0.0)</f>
        <v>0</v>
      </c>
    </row>
    <row r="289">
      <c r="A289" s="26">
        <f>IFERROR(__xludf.DUMMYFUNCTION("""COMPUTED_VALUE"""),45404.0)</f>
        <v>45404</v>
      </c>
      <c r="B289" s="27">
        <f>IFERROR(__xludf.DUMMYFUNCTION("""COMPUTED_VALUE"""),2.0)</f>
        <v>2</v>
      </c>
      <c r="C289" s="28">
        <f>IFERROR(__xludf.DUMMYFUNCTION("""COMPUTED_VALUE"""),10.0)</f>
        <v>10</v>
      </c>
      <c r="D289" s="28">
        <f>IFERROR(__xludf.DUMMYFUNCTION("""COMPUTED_VALUE"""),5.0)</f>
        <v>5</v>
      </c>
      <c r="E289" s="28">
        <f>IFERROR(__xludf.DUMMYFUNCTION("""COMPUTED_VALUE"""),229.0)</f>
        <v>229</v>
      </c>
      <c r="F289" s="28">
        <f>IFERROR(__xludf.DUMMYFUNCTION("""COMPUTED_VALUE"""),114.0)</f>
        <v>114</v>
      </c>
      <c r="G289" s="28">
        <f>IFERROR(__xludf.DUMMYFUNCTION("""COMPUTED_VALUE"""),1.0)</f>
        <v>1</v>
      </c>
      <c r="H289" s="28">
        <f>IFERROR(__xludf.DUMMYFUNCTION("""COMPUTED_VALUE"""),0.0)</f>
        <v>0</v>
      </c>
      <c r="I289" s="28">
        <f>IFERROR(__xludf.DUMMYFUNCTION("""COMPUTED_VALUE"""),1.0)</f>
        <v>1</v>
      </c>
      <c r="J289" s="28">
        <f>IFERROR(__xludf.DUMMYFUNCTION("""COMPUTED_VALUE"""),4.0)</f>
        <v>4</v>
      </c>
      <c r="K289" s="28">
        <f>IFERROR(__xludf.DUMMYFUNCTION("""COMPUTED_VALUE"""),2.0)</f>
        <v>2</v>
      </c>
      <c r="L289" s="28">
        <f>IFERROR(__xludf.DUMMYFUNCTION("""COMPUTED_VALUE"""),0.0)</f>
        <v>0</v>
      </c>
      <c r="M289" s="28">
        <f>IFERROR(__xludf.DUMMYFUNCTION("""COMPUTED_VALUE"""),1.0)</f>
        <v>1</v>
      </c>
      <c r="N289" s="28">
        <f>IFERROR(__xludf.DUMMYFUNCTION("""COMPUTED_VALUE"""),0.0)</f>
        <v>0</v>
      </c>
    </row>
    <row r="290">
      <c r="A290" s="26">
        <f>IFERROR(__xludf.DUMMYFUNCTION("""COMPUTED_VALUE"""),45405.0)</f>
        <v>45405</v>
      </c>
      <c r="B290" s="27">
        <f>IFERROR(__xludf.DUMMYFUNCTION("""COMPUTED_VALUE"""),5.0)</f>
        <v>5</v>
      </c>
      <c r="C290" s="28">
        <f>IFERROR(__xludf.DUMMYFUNCTION("""COMPUTED_VALUE"""),75.0)</f>
        <v>75</v>
      </c>
      <c r="D290" s="28">
        <f>IFERROR(__xludf.DUMMYFUNCTION("""COMPUTED_VALUE"""),15.0)</f>
        <v>15</v>
      </c>
      <c r="E290" s="28">
        <f>IFERROR(__xludf.DUMMYFUNCTION("""COMPUTED_VALUE"""),1139.0)</f>
        <v>1139</v>
      </c>
      <c r="F290" s="28">
        <f>IFERROR(__xludf.DUMMYFUNCTION("""COMPUTED_VALUE"""),228.0)</f>
        <v>228</v>
      </c>
      <c r="G290" s="28">
        <f>IFERROR(__xludf.DUMMYFUNCTION("""COMPUTED_VALUE"""),2.0)</f>
        <v>2</v>
      </c>
      <c r="H290" s="28">
        <f>IFERROR(__xludf.DUMMYFUNCTION("""COMPUTED_VALUE"""),0.0)</f>
        <v>0</v>
      </c>
      <c r="I290" s="28">
        <f>IFERROR(__xludf.DUMMYFUNCTION("""COMPUTED_VALUE"""),3.0)</f>
        <v>3</v>
      </c>
      <c r="J290" s="28">
        <f>IFERROR(__xludf.DUMMYFUNCTION("""COMPUTED_VALUE"""),9.0)</f>
        <v>9</v>
      </c>
      <c r="K290" s="28">
        <f>IFERROR(__xludf.DUMMYFUNCTION("""COMPUTED_VALUE"""),4.0)</f>
        <v>4</v>
      </c>
      <c r="L290" s="28">
        <f>IFERROR(__xludf.DUMMYFUNCTION("""COMPUTED_VALUE"""),3.0)</f>
        <v>3</v>
      </c>
      <c r="M290" s="28">
        <f>IFERROR(__xludf.DUMMYFUNCTION("""COMPUTED_VALUE"""),1.0)</f>
        <v>1</v>
      </c>
      <c r="N290" s="28">
        <f>IFERROR(__xludf.DUMMYFUNCTION("""COMPUTED_VALUE"""),4.0)</f>
        <v>4</v>
      </c>
    </row>
    <row r="291">
      <c r="A291" s="26">
        <f>IFERROR(__xludf.DUMMYFUNCTION("""COMPUTED_VALUE"""),45406.0)</f>
        <v>45406</v>
      </c>
      <c r="B291" s="27">
        <f>IFERROR(__xludf.DUMMYFUNCTION("""COMPUTED_VALUE"""),11.0)</f>
        <v>11</v>
      </c>
      <c r="C291" s="28">
        <f>IFERROR(__xludf.DUMMYFUNCTION("""COMPUTED_VALUE"""),87.0)</f>
        <v>87</v>
      </c>
      <c r="D291" s="28">
        <f>IFERROR(__xludf.DUMMYFUNCTION("""COMPUTED_VALUE"""),8.0)</f>
        <v>8</v>
      </c>
      <c r="E291" s="28">
        <f>IFERROR(__xludf.DUMMYFUNCTION("""COMPUTED_VALUE"""),1275.0)</f>
        <v>1275</v>
      </c>
      <c r="F291" s="28">
        <f>IFERROR(__xludf.DUMMYFUNCTION("""COMPUTED_VALUE"""),116.0)</f>
        <v>116</v>
      </c>
      <c r="G291" s="28">
        <f>IFERROR(__xludf.DUMMYFUNCTION("""COMPUTED_VALUE"""),9.0)</f>
        <v>9</v>
      </c>
      <c r="H291" s="28">
        <f>IFERROR(__xludf.DUMMYFUNCTION("""COMPUTED_VALUE"""),0.0)</f>
        <v>0</v>
      </c>
      <c r="I291" s="28">
        <f>IFERROR(__xludf.DUMMYFUNCTION("""COMPUTED_VALUE"""),2.0)</f>
        <v>2</v>
      </c>
      <c r="J291" s="28">
        <f>IFERROR(__xludf.DUMMYFUNCTION("""COMPUTED_VALUE"""),3.0)</f>
        <v>3</v>
      </c>
      <c r="K291" s="28">
        <f>IFERROR(__xludf.DUMMYFUNCTION("""COMPUTED_VALUE"""),10.0)</f>
        <v>10</v>
      </c>
      <c r="L291" s="28">
        <f>IFERROR(__xludf.DUMMYFUNCTION("""COMPUTED_VALUE"""),3.0)</f>
        <v>3</v>
      </c>
      <c r="M291" s="28">
        <f>IFERROR(__xludf.DUMMYFUNCTION("""COMPUTED_VALUE"""),2.0)</f>
        <v>2</v>
      </c>
      <c r="N291" s="28">
        <f>IFERROR(__xludf.DUMMYFUNCTION("""COMPUTED_VALUE"""),7.0)</f>
        <v>7</v>
      </c>
    </row>
    <row r="292">
      <c r="A292" s="26">
        <f>IFERROR(__xludf.DUMMYFUNCTION("""COMPUTED_VALUE"""),45407.0)</f>
        <v>45407</v>
      </c>
      <c r="B292" s="27">
        <f>IFERROR(__xludf.DUMMYFUNCTION("""COMPUTED_VALUE"""),5.0)</f>
        <v>5</v>
      </c>
      <c r="C292" s="28">
        <f>IFERROR(__xludf.DUMMYFUNCTION("""COMPUTED_VALUE"""),29.0)</f>
        <v>29</v>
      </c>
      <c r="D292" s="28">
        <f>IFERROR(__xludf.DUMMYFUNCTION("""COMPUTED_VALUE"""),6.0)</f>
        <v>6</v>
      </c>
      <c r="E292" s="28">
        <f>IFERROR(__xludf.DUMMYFUNCTION("""COMPUTED_VALUE"""),365.0)</f>
        <v>365</v>
      </c>
      <c r="F292" s="28">
        <f>IFERROR(__xludf.DUMMYFUNCTION("""COMPUTED_VALUE"""),73.0)</f>
        <v>73</v>
      </c>
      <c r="G292" s="28">
        <f>IFERROR(__xludf.DUMMYFUNCTION("""COMPUTED_VALUE"""),2.0)</f>
        <v>2</v>
      </c>
      <c r="H292" s="28">
        <f>IFERROR(__xludf.DUMMYFUNCTION("""COMPUTED_VALUE"""),0.0)</f>
        <v>0</v>
      </c>
      <c r="I292" s="28">
        <f>IFERROR(__xludf.DUMMYFUNCTION("""COMPUTED_VALUE"""),3.0)</f>
        <v>3</v>
      </c>
      <c r="J292" s="28">
        <f>IFERROR(__xludf.DUMMYFUNCTION("""COMPUTED_VALUE"""),0.0)</f>
        <v>0</v>
      </c>
      <c r="K292" s="28">
        <f>IFERROR(__xludf.DUMMYFUNCTION("""COMPUTED_VALUE"""),4.0)</f>
        <v>4</v>
      </c>
      <c r="L292" s="28">
        <f>IFERROR(__xludf.DUMMYFUNCTION("""COMPUTED_VALUE"""),0.0)</f>
        <v>0</v>
      </c>
      <c r="M292" s="28">
        <f>IFERROR(__xludf.DUMMYFUNCTION("""COMPUTED_VALUE"""),1.0)</f>
        <v>1</v>
      </c>
      <c r="N292" s="28">
        <f>IFERROR(__xludf.DUMMYFUNCTION("""COMPUTED_VALUE"""),3.0)</f>
        <v>3</v>
      </c>
    </row>
    <row r="293">
      <c r="A293" s="26">
        <f>IFERROR(__xludf.DUMMYFUNCTION("""COMPUTED_VALUE"""),45408.0)</f>
        <v>45408</v>
      </c>
      <c r="B293" s="27">
        <f>IFERROR(__xludf.DUMMYFUNCTION("""COMPUTED_VALUE"""),16.0)</f>
        <v>16</v>
      </c>
      <c r="C293" s="28">
        <f>IFERROR(__xludf.DUMMYFUNCTION("""COMPUTED_VALUE"""),166.0)</f>
        <v>166</v>
      </c>
      <c r="D293" s="28">
        <f>IFERROR(__xludf.DUMMYFUNCTION("""COMPUTED_VALUE"""),10.0)</f>
        <v>10</v>
      </c>
      <c r="E293" s="28">
        <f>IFERROR(__xludf.DUMMYFUNCTION("""COMPUTED_VALUE"""),2313.0)</f>
        <v>2313</v>
      </c>
      <c r="F293" s="28">
        <f>IFERROR(__xludf.DUMMYFUNCTION("""COMPUTED_VALUE"""),145.0)</f>
        <v>145</v>
      </c>
      <c r="G293" s="28">
        <f>IFERROR(__xludf.DUMMYFUNCTION("""COMPUTED_VALUE"""),10.0)</f>
        <v>10</v>
      </c>
      <c r="H293" s="28">
        <f>IFERROR(__xludf.DUMMYFUNCTION("""COMPUTED_VALUE"""),0.0)</f>
        <v>0</v>
      </c>
      <c r="I293" s="28">
        <f>IFERROR(__xludf.DUMMYFUNCTION("""COMPUTED_VALUE"""),6.0)</f>
        <v>6</v>
      </c>
      <c r="J293" s="28">
        <f>IFERROR(__xludf.DUMMYFUNCTION("""COMPUTED_VALUE"""),13.0)</f>
        <v>13</v>
      </c>
      <c r="K293" s="28">
        <f>IFERROR(__xludf.DUMMYFUNCTION("""COMPUTED_VALUE"""),11.0)</f>
        <v>11</v>
      </c>
      <c r="L293" s="28">
        <f>IFERROR(__xludf.DUMMYFUNCTION("""COMPUTED_VALUE"""),5.0)</f>
        <v>5</v>
      </c>
      <c r="M293" s="28">
        <f>IFERROR(__xludf.DUMMYFUNCTION("""COMPUTED_VALUE"""),1.0)</f>
        <v>1</v>
      </c>
      <c r="N293" s="28">
        <f>IFERROR(__xludf.DUMMYFUNCTION("""COMPUTED_VALUE"""),10.0)</f>
        <v>10</v>
      </c>
    </row>
    <row r="294">
      <c r="A294" s="26">
        <f>IFERROR(__xludf.DUMMYFUNCTION("""COMPUTED_VALUE"""),45409.0)</f>
        <v>45409</v>
      </c>
      <c r="B294" s="27">
        <f>IFERROR(__xludf.DUMMYFUNCTION("""COMPUTED_VALUE"""),4.0)</f>
        <v>4</v>
      </c>
      <c r="C294" s="28">
        <f>IFERROR(__xludf.DUMMYFUNCTION("""COMPUTED_VALUE"""),38.0)</f>
        <v>38</v>
      </c>
      <c r="D294" s="28">
        <f>IFERROR(__xludf.DUMMYFUNCTION("""COMPUTED_VALUE"""),10.0)</f>
        <v>10</v>
      </c>
      <c r="E294" s="28">
        <f>IFERROR(__xludf.DUMMYFUNCTION("""COMPUTED_VALUE"""),808.0)</f>
        <v>808</v>
      </c>
      <c r="F294" s="28">
        <f>IFERROR(__xludf.DUMMYFUNCTION("""COMPUTED_VALUE"""),202.0)</f>
        <v>202</v>
      </c>
      <c r="G294" s="28">
        <f>IFERROR(__xludf.DUMMYFUNCTION("""COMPUTED_VALUE"""),3.0)</f>
        <v>3</v>
      </c>
      <c r="H294" s="28">
        <f>IFERROR(__xludf.DUMMYFUNCTION("""COMPUTED_VALUE"""),0.0)</f>
        <v>0</v>
      </c>
      <c r="I294" s="28">
        <f>IFERROR(__xludf.DUMMYFUNCTION("""COMPUTED_VALUE"""),1.0)</f>
        <v>1</v>
      </c>
      <c r="J294" s="28">
        <f>IFERROR(__xludf.DUMMYFUNCTION("""COMPUTED_VALUE"""),15.0)</f>
        <v>15</v>
      </c>
      <c r="K294" s="28">
        <f>IFERROR(__xludf.DUMMYFUNCTION("""COMPUTED_VALUE"""),2.0)</f>
        <v>2</v>
      </c>
      <c r="L294" s="28">
        <f>IFERROR(__xludf.DUMMYFUNCTION("""COMPUTED_VALUE"""),3.0)</f>
        <v>3</v>
      </c>
      <c r="M294" s="28">
        <f>IFERROR(__xludf.DUMMYFUNCTION("""COMPUTED_VALUE"""),0.0)</f>
        <v>0</v>
      </c>
      <c r="N294" s="28">
        <f>IFERROR(__xludf.DUMMYFUNCTION("""COMPUTED_VALUE"""),2.0)</f>
        <v>2</v>
      </c>
    </row>
    <row r="295">
      <c r="A295" s="26">
        <f>IFERROR(__xludf.DUMMYFUNCTION("""COMPUTED_VALUE"""),45410.0)</f>
        <v>45410</v>
      </c>
      <c r="B295" s="27">
        <f>IFERROR(__xludf.DUMMYFUNCTION("""COMPUTED_VALUE"""),0.0)</f>
        <v>0</v>
      </c>
      <c r="C295" s="28">
        <f>IFERROR(__xludf.DUMMYFUNCTION("""COMPUTED_VALUE"""),0.0)</f>
        <v>0</v>
      </c>
      <c r="D295" s="28">
        <f>IFERROR(__xludf.DUMMYFUNCTION("""COMPUTED_VALUE"""),0.0)</f>
        <v>0</v>
      </c>
      <c r="E295" s="28">
        <f>IFERROR(__xludf.DUMMYFUNCTION("""COMPUTED_VALUE"""),0.0)</f>
        <v>0</v>
      </c>
      <c r="F295" s="28">
        <f>IFERROR(__xludf.DUMMYFUNCTION("""COMPUTED_VALUE"""),0.0)</f>
        <v>0</v>
      </c>
      <c r="G295" s="28">
        <f>IFERROR(__xludf.DUMMYFUNCTION("""COMPUTED_VALUE"""),0.0)</f>
        <v>0</v>
      </c>
      <c r="H295" s="28">
        <f>IFERROR(__xludf.DUMMYFUNCTION("""COMPUTED_VALUE"""),0.0)</f>
        <v>0</v>
      </c>
      <c r="I295" s="28">
        <f>IFERROR(__xludf.DUMMYFUNCTION("""COMPUTED_VALUE"""),0.0)</f>
        <v>0</v>
      </c>
      <c r="J295" s="28">
        <f>IFERROR(__xludf.DUMMYFUNCTION("""COMPUTED_VALUE"""),0.0)</f>
        <v>0</v>
      </c>
      <c r="K295" s="28">
        <f>IFERROR(__xludf.DUMMYFUNCTION("""COMPUTED_VALUE"""),0.0)</f>
        <v>0</v>
      </c>
      <c r="L295" s="28">
        <f>IFERROR(__xludf.DUMMYFUNCTION("""COMPUTED_VALUE"""),0.0)</f>
        <v>0</v>
      </c>
      <c r="M295" s="28">
        <f>IFERROR(__xludf.DUMMYFUNCTION("""COMPUTED_VALUE"""),0.0)</f>
        <v>0</v>
      </c>
      <c r="N295" s="28">
        <f>IFERROR(__xludf.DUMMYFUNCTION("""COMPUTED_VALUE"""),0.0)</f>
        <v>0</v>
      </c>
    </row>
    <row r="296">
      <c r="A296" s="26">
        <f>IFERROR(__xludf.DUMMYFUNCTION("""COMPUTED_VALUE"""),45411.0)</f>
        <v>45411</v>
      </c>
      <c r="B296" s="27">
        <f>IFERROR(__xludf.DUMMYFUNCTION("""COMPUTED_VALUE"""),10.0)</f>
        <v>10</v>
      </c>
      <c r="C296" s="28">
        <f>IFERROR(__xludf.DUMMYFUNCTION("""COMPUTED_VALUE"""),102.0)</f>
        <v>102</v>
      </c>
      <c r="D296" s="28">
        <f>IFERROR(__xludf.DUMMYFUNCTION("""COMPUTED_VALUE"""),10.0)</f>
        <v>10</v>
      </c>
      <c r="E296" s="28">
        <f>IFERROR(__xludf.DUMMYFUNCTION("""COMPUTED_VALUE"""),1798.0)</f>
        <v>1798</v>
      </c>
      <c r="F296" s="28">
        <f>IFERROR(__xludf.DUMMYFUNCTION("""COMPUTED_VALUE"""),180.0)</f>
        <v>180</v>
      </c>
      <c r="G296" s="28">
        <f>IFERROR(__xludf.DUMMYFUNCTION("""COMPUTED_VALUE"""),8.0)</f>
        <v>8</v>
      </c>
      <c r="H296" s="28">
        <f>IFERROR(__xludf.DUMMYFUNCTION("""COMPUTED_VALUE"""),0.0)</f>
        <v>0</v>
      </c>
      <c r="I296" s="28">
        <f>IFERROR(__xludf.DUMMYFUNCTION("""COMPUTED_VALUE"""),2.0)</f>
        <v>2</v>
      </c>
      <c r="J296" s="28">
        <f>IFERROR(__xludf.DUMMYFUNCTION("""COMPUTED_VALUE"""),9.0)</f>
        <v>9</v>
      </c>
      <c r="K296" s="28">
        <f>IFERROR(__xludf.DUMMYFUNCTION("""COMPUTED_VALUE"""),7.0)</f>
        <v>7</v>
      </c>
      <c r="L296" s="28">
        <f>IFERROR(__xludf.DUMMYFUNCTION("""COMPUTED_VALUE"""),4.0)</f>
        <v>4</v>
      </c>
      <c r="M296" s="28">
        <f>IFERROR(__xludf.DUMMYFUNCTION("""COMPUTED_VALUE"""),1.0)</f>
        <v>1</v>
      </c>
      <c r="N296" s="28">
        <f>IFERROR(__xludf.DUMMYFUNCTION("""COMPUTED_VALUE"""),5.0)</f>
        <v>5</v>
      </c>
    </row>
    <row r="297">
      <c r="A297" s="26">
        <f>IFERROR(__xludf.DUMMYFUNCTION("""COMPUTED_VALUE"""),45412.0)</f>
        <v>45412</v>
      </c>
      <c r="B297" s="27">
        <f>IFERROR(__xludf.DUMMYFUNCTION("""COMPUTED_VALUE"""),16.0)</f>
        <v>16</v>
      </c>
      <c r="C297" s="28">
        <f>IFERROR(__xludf.DUMMYFUNCTION("""COMPUTED_VALUE"""),156.0)</f>
        <v>156</v>
      </c>
      <c r="D297" s="28">
        <f>IFERROR(__xludf.DUMMYFUNCTION("""COMPUTED_VALUE"""),10.0)</f>
        <v>10</v>
      </c>
      <c r="E297" s="28">
        <f>IFERROR(__xludf.DUMMYFUNCTION("""COMPUTED_VALUE"""),2435.0)</f>
        <v>2435</v>
      </c>
      <c r="F297" s="28">
        <f>IFERROR(__xludf.DUMMYFUNCTION("""COMPUTED_VALUE"""),152.0)</f>
        <v>152</v>
      </c>
      <c r="G297" s="28">
        <f>IFERROR(__xludf.DUMMYFUNCTION("""COMPUTED_VALUE"""),10.0)</f>
        <v>10</v>
      </c>
      <c r="H297" s="28">
        <f>IFERROR(__xludf.DUMMYFUNCTION("""COMPUTED_VALUE"""),0.0)</f>
        <v>0</v>
      </c>
      <c r="I297" s="28">
        <f>IFERROR(__xludf.DUMMYFUNCTION("""COMPUTED_VALUE"""),5.0)</f>
        <v>5</v>
      </c>
      <c r="J297" s="28">
        <f>IFERROR(__xludf.DUMMYFUNCTION("""COMPUTED_VALUE"""),5.0)</f>
        <v>5</v>
      </c>
      <c r="K297" s="28">
        <f>IFERROR(__xludf.DUMMYFUNCTION("""COMPUTED_VALUE"""),12.0)</f>
        <v>12</v>
      </c>
      <c r="L297" s="28">
        <f>IFERROR(__xludf.DUMMYFUNCTION("""COMPUTED_VALUE"""),1.0)</f>
        <v>1</v>
      </c>
      <c r="M297" s="28">
        <f>IFERROR(__xludf.DUMMYFUNCTION("""COMPUTED_VALUE"""),2.0)</f>
        <v>2</v>
      </c>
      <c r="N297" s="28">
        <f>IFERROR(__xludf.DUMMYFUNCTION("""COMPUTED_VALUE"""),10.0)</f>
        <v>10</v>
      </c>
    </row>
    <row r="298">
      <c r="A298" s="26">
        <f>IFERROR(__xludf.DUMMYFUNCTION("""COMPUTED_VALUE"""),45413.0)</f>
        <v>45413</v>
      </c>
      <c r="B298" s="27">
        <f>IFERROR(__xludf.DUMMYFUNCTION("""COMPUTED_VALUE"""),0.0)</f>
        <v>0</v>
      </c>
      <c r="C298" s="28">
        <f>IFERROR(__xludf.DUMMYFUNCTION("""COMPUTED_VALUE"""),0.0)</f>
        <v>0</v>
      </c>
      <c r="D298" s="28">
        <f>IFERROR(__xludf.DUMMYFUNCTION("""COMPUTED_VALUE"""),0.0)</f>
        <v>0</v>
      </c>
      <c r="E298" s="28">
        <f>IFERROR(__xludf.DUMMYFUNCTION("""COMPUTED_VALUE"""),0.0)</f>
        <v>0</v>
      </c>
      <c r="F298" s="28">
        <f>IFERROR(__xludf.DUMMYFUNCTION("""COMPUTED_VALUE"""),0.0)</f>
        <v>0</v>
      </c>
      <c r="G298" s="28">
        <f>IFERROR(__xludf.DUMMYFUNCTION("""COMPUTED_VALUE"""),0.0)</f>
        <v>0</v>
      </c>
      <c r="H298" s="28">
        <f>IFERROR(__xludf.DUMMYFUNCTION("""COMPUTED_VALUE"""),0.0)</f>
        <v>0</v>
      </c>
      <c r="I298" s="28">
        <f>IFERROR(__xludf.DUMMYFUNCTION("""COMPUTED_VALUE"""),0.0)</f>
        <v>0</v>
      </c>
      <c r="J298" s="28">
        <f>IFERROR(__xludf.DUMMYFUNCTION("""COMPUTED_VALUE"""),0.0)</f>
        <v>0</v>
      </c>
      <c r="K298" s="28">
        <f>IFERROR(__xludf.DUMMYFUNCTION("""COMPUTED_VALUE"""),0.0)</f>
        <v>0</v>
      </c>
      <c r="L298" s="28">
        <f>IFERROR(__xludf.DUMMYFUNCTION("""COMPUTED_VALUE"""),0.0)</f>
        <v>0</v>
      </c>
      <c r="M298" s="28">
        <f>IFERROR(__xludf.DUMMYFUNCTION("""COMPUTED_VALUE"""),0.0)</f>
        <v>0</v>
      </c>
      <c r="N298" s="28">
        <f>IFERROR(__xludf.DUMMYFUNCTION("""COMPUTED_VALUE"""),0.0)</f>
        <v>0</v>
      </c>
    </row>
    <row r="299">
      <c r="A299" s="26">
        <f>IFERROR(__xludf.DUMMYFUNCTION("""COMPUTED_VALUE"""),45414.0)</f>
        <v>45414</v>
      </c>
      <c r="B299" s="27">
        <f>IFERROR(__xludf.DUMMYFUNCTION("""COMPUTED_VALUE"""),17.0)</f>
        <v>17</v>
      </c>
      <c r="C299" s="28">
        <f>IFERROR(__xludf.DUMMYFUNCTION("""COMPUTED_VALUE"""),101.0)</f>
        <v>101</v>
      </c>
      <c r="D299" s="28">
        <f>IFERROR(__xludf.DUMMYFUNCTION("""COMPUTED_VALUE"""),6.0)</f>
        <v>6</v>
      </c>
      <c r="E299" s="28">
        <f>IFERROR(__xludf.DUMMYFUNCTION("""COMPUTED_VALUE"""),1312.0)</f>
        <v>1312</v>
      </c>
      <c r="F299" s="28">
        <f>IFERROR(__xludf.DUMMYFUNCTION("""COMPUTED_VALUE"""),77.0)</f>
        <v>77</v>
      </c>
      <c r="G299" s="28">
        <f>IFERROR(__xludf.DUMMYFUNCTION("""COMPUTED_VALUE"""),15.0)</f>
        <v>15</v>
      </c>
      <c r="H299" s="28">
        <f>IFERROR(__xludf.DUMMYFUNCTION("""COMPUTED_VALUE"""),0.0)</f>
        <v>0</v>
      </c>
      <c r="I299" s="28">
        <f>IFERROR(__xludf.DUMMYFUNCTION("""COMPUTED_VALUE"""),2.0)</f>
        <v>2</v>
      </c>
      <c r="J299" s="28">
        <f>IFERROR(__xludf.DUMMYFUNCTION("""COMPUTED_VALUE"""),11.0)</f>
        <v>11</v>
      </c>
      <c r="K299" s="28">
        <f>IFERROR(__xludf.DUMMYFUNCTION("""COMPUTED_VALUE"""),10.0)</f>
        <v>10</v>
      </c>
      <c r="L299" s="28">
        <f>IFERROR(__xludf.DUMMYFUNCTION("""COMPUTED_VALUE"""),7.0)</f>
        <v>7</v>
      </c>
      <c r="M299" s="28">
        <f>IFERROR(__xludf.DUMMYFUNCTION("""COMPUTED_VALUE"""),1.0)</f>
        <v>1</v>
      </c>
      <c r="N299" s="28">
        <f>IFERROR(__xludf.DUMMYFUNCTION("""COMPUTED_VALUE"""),9.0)</f>
        <v>9</v>
      </c>
    </row>
    <row r="300">
      <c r="A300" s="26">
        <f>IFERROR(__xludf.DUMMYFUNCTION("""COMPUTED_VALUE"""),45415.0)</f>
        <v>45415</v>
      </c>
      <c r="B300" s="27">
        <f>IFERROR(__xludf.DUMMYFUNCTION("""COMPUTED_VALUE"""),8.0)</f>
        <v>8</v>
      </c>
      <c r="C300" s="28">
        <f>IFERROR(__xludf.DUMMYFUNCTION("""COMPUTED_VALUE"""),74.0)</f>
        <v>74</v>
      </c>
      <c r="D300" s="28">
        <f>IFERROR(__xludf.DUMMYFUNCTION("""COMPUTED_VALUE"""),9.0)</f>
        <v>9</v>
      </c>
      <c r="E300" s="28">
        <f>IFERROR(__xludf.DUMMYFUNCTION("""COMPUTED_VALUE"""),923.0)</f>
        <v>923</v>
      </c>
      <c r="F300" s="28">
        <f>IFERROR(__xludf.DUMMYFUNCTION("""COMPUTED_VALUE"""),115.0)</f>
        <v>115</v>
      </c>
      <c r="G300" s="28">
        <f>IFERROR(__xludf.DUMMYFUNCTION("""COMPUTED_VALUE"""),6.0)</f>
        <v>6</v>
      </c>
      <c r="H300" s="28">
        <f>IFERROR(__xludf.DUMMYFUNCTION("""COMPUTED_VALUE"""),0.0)</f>
        <v>0</v>
      </c>
      <c r="I300" s="28">
        <f>IFERROR(__xludf.DUMMYFUNCTION("""COMPUTED_VALUE"""),2.0)</f>
        <v>2</v>
      </c>
      <c r="J300" s="28">
        <f>IFERROR(__xludf.DUMMYFUNCTION("""COMPUTED_VALUE"""),3.0)</f>
        <v>3</v>
      </c>
      <c r="K300" s="28">
        <f>IFERROR(__xludf.DUMMYFUNCTION("""COMPUTED_VALUE"""),7.0)</f>
        <v>7</v>
      </c>
      <c r="L300" s="28">
        <f>IFERROR(__xludf.DUMMYFUNCTION("""COMPUTED_VALUE"""),1.0)</f>
        <v>1</v>
      </c>
      <c r="M300" s="28">
        <f>IFERROR(__xludf.DUMMYFUNCTION("""COMPUTED_VALUE"""),1.0)</f>
        <v>1</v>
      </c>
      <c r="N300" s="28">
        <f>IFERROR(__xludf.DUMMYFUNCTION("""COMPUTED_VALUE"""),7.0)</f>
        <v>7</v>
      </c>
    </row>
    <row r="301">
      <c r="A301" s="26">
        <f>IFERROR(__xludf.DUMMYFUNCTION("""COMPUTED_VALUE"""),45416.0)</f>
        <v>45416</v>
      </c>
      <c r="B301" s="27">
        <f>IFERROR(__xludf.DUMMYFUNCTION("""COMPUTED_VALUE"""),1.0)</f>
        <v>1</v>
      </c>
      <c r="C301" s="28">
        <f>IFERROR(__xludf.DUMMYFUNCTION("""COMPUTED_VALUE"""),4.0)</f>
        <v>4</v>
      </c>
      <c r="D301" s="28">
        <f>IFERROR(__xludf.DUMMYFUNCTION("""COMPUTED_VALUE"""),4.0)</f>
        <v>4</v>
      </c>
      <c r="E301" s="28">
        <f>IFERROR(__xludf.DUMMYFUNCTION("""COMPUTED_VALUE"""),67.0)</f>
        <v>67</v>
      </c>
      <c r="F301" s="28">
        <f>IFERROR(__xludf.DUMMYFUNCTION("""COMPUTED_VALUE"""),67.0)</f>
        <v>67</v>
      </c>
      <c r="G301" s="28">
        <f>IFERROR(__xludf.DUMMYFUNCTION("""COMPUTED_VALUE"""),0.0)</f>
        <v>0</v>
      </c>
      <c r="H301" s="28">
        <f>IFERROR(__xludf.DUMMYFUNCTION("""COMPUTED_VALUE"""),0.0)</f>
        <v>0</v>
      </c>
      <c r="I301" s="28">
        <f>IFERROR(__xludf.DUMMYFUNCTION("""COMPUTED_VALUE"""),1.0)</f>
        <v>1</v>
      </c>
      <c r="J301" s="28">
        <f>IFERROR(__xludf.DUMMYFUNCTION("""COMPUTED_VALUE"""),2.0)</f>
        <v>2</v>
      </c>
      <c r="K301" s="28">
        <f>IFERROR(__xludf.DUMMYFUNCTION("""COMPUTED_VALUE"""),0.0)</f>
        <v>0</v>
      </c>
      <c r="L301" s="28">
        <f>IFERROR(__xludf.DUMMYFUNCTION("""COMPUTED_VALUE"""),0.0)</f>
        <v>0</v>
      </c>
      <c r="M301" s="28">
        <f>IFERROR(__xludf.DUMMYFUNCTION("""COMPUTED_VALUE"""),0.0)</f>
        <v>0</v>
      </c>
      <c r="N301" s="28">
        <f>IFERROR(__xludf.DUMMYFUNCTION("""COMPUTED_VALUE"""),0.0)</f>
        <v>0</v>
      </c>
    </row>
    <row r="302">
      <c r="A302" s="26">
        <f>IFERROR(__xludf.DUMMYFUNCTION("""COMPUTED_VALUE"""),45417.0)</f>
        <v>45417</v>
      </c>
      <c r="B302" s="27">
        <f>IFERROR(__xludf.DUMMYFUNCTION("""COMPUTED_VALUE"""),0.0)</f>
        <v>0</v>
      </c>
      <c r="C302" s="28">
        <f>IFERROR(__xludf.DUMMYFUNCTION("""COMPUTED_VALUE"""),0.0)</f>
        <v>0</v>
      </c>
      <c r="D302" s="28">
        <f>IFERROR(__xludf.DUMMYFUNCTION("""COMPUTED_VALUE"""),0.0)</f>
        <v>0</v>
      </c>
      <c r="E302" s="28">
        <f>IFERROR(__xludf.DUMMYFUNCTION("""COMPUTED_VALUE"""),0.0)</f>
        <v>0</v>
      </c>
      <c r="F302" s="28">
        <f>IFERROR(__xludf.DUMMYFUNCTION("""COMPUTED_VALUE"""),0.0)</f>
        <v>0</v>
      </c>
      <c r="G302" s="28">
        <f>IFERROR(__xludf.DUMMYFUNCTION("""COMPUTED_VALUE"""),0.0)</f>
        <v>0</v>
      </c>
      <c r="H302" s="28">
        <f>IFERROR(__xludf.DUMMYFUNCTION("""COMPUTED_VALUE"""),0.0)</f>
        <v>0</v>
      </c>
      <c r="I302" s="28">
        <f>IFERROR(__xludf.DUMMYFUNCTION("""COMPUTED_VALUE"""),0.0)</f>
        <v>0</v>
      </c>
      <c r="J302" s="28">
        <f>IFERROR(__xludf.DUMMYFUNCTION("""COMPUTED_VALUE"""),0.0)</f>
        <v>0</v>
      </c>
      <c r="K302" s="28">
        <f>IFERROR(__xludf.DUMMYFUNCTION("""COMPUTED_VALUE"""),0.0)</f>
        <v>0</v>
      </c>
      <c r="L302" s="28">
        <f>IFERROR(__xludf.DUMMYFUNCTION("""COMPUTED_VALUE"""),0.0)</f>
        <v>0</v>
      </c>
      <c r="M302" s="28">
        <f>IFERROR(__xludf.DUMMYFUNCTION("""COMPUTED_VALUE"""),0.0)</f>
        <v>0</v>
      </c>
      <c r="N302" s="28">
        <f>IFERROR(__xludf.DUMMYFUNCTION("""COMPUTED_VALUE"""),0.0)</f>
        <v>0</v>
      </c>
    </row>
    <row r="303">
      <c r="A303" s="26">
        <f>IFERROR(__xludf.DUMMYFUNCTION("""COMPUTED_VALUE"""),45418.0)</f>
        <v>45418</v>
      </c>
      <c r="B303" s="27">
        <f>IFERROR(__xludf.DUMMYFUNCTION("""COMPUTED_VALUE"""),10.0)</f>
        <v>10</v>
      </c>
      <c r="C303" s="28">
        <f>IFERROR(__xludf.DUMMYFUNCTION("""COMPUTED_VALUE"""),79.0)</f>
        <v>79</v>
      </c>
      <c r="D303" s="28">
        <f>IFERROR(__xludf.DUMMYFUNCTION("""COMPUTED_VALUE"""),8.0)</f>
        <v>8</v>
      </c>
      <c r="E303" s="28">
        <f>IFERROR(__xludf.DUMMYFUNCTION("""COMPUTED_VALUE"""),1265.0)</f>
        <v>1265</v>
      </c>
      <c r="F303" s="28">
        <f>IFERROR(__xludf.DUMMYFUNCTION("""COMPUTED_VALUE"""),126.0)</f>
        <v>126</v>
      </c>
      <c r="G303" s="28">
        <f>IFERROR(__xludf.DUMMYFUNCTION("""COMPUTED_VALUE"""),9.0)</f>
        <v>9</v>
      </c>
      <c r="H303" s="28">
        <f>IFERROR(__xludf.DUMMYFUNCTION("""COMPUTED_VALUE"""),0.0)</f>
        <v>0</v>
      </c>
      <c r="I303" s="28">
        <f>IFERROR(__xludf.DUMMYFUNCTION("""COMPUTED_VALUE"""),1.0)</f>
        <v>1</v>
      </c>
      <c r="J303" s="28">
        <f>IFERROR(__xludf.DUMMYFUNCTION("""COMPUTED_VALUE"""),14.0)</f>
        <v>14</v>
      </c>
      <c r="K303" s="28">
        <f>IFERROR(__xludf.DUMMYFUNCTION("""COMPUTED_VALUE"""),6.0)</f>
        <v>6</v>
      </c>
      <c r="L303" s="28">
        <f>IFERROR(__xludf.DUMMYFUNCTION("""COMPUTED_VALUE"""),3.0)</f>
        <v>3</v>
      </c>
      <c r="M303" s="28">
        <f>IFERROR(__xludf.DUMMYFUNCTION("""COMPUTED_VALUE"""),2.0)</f>
        <v>2</v>
      </c>
      <c r="N303" s="28">
        <f>IFERROR(__xludf.DUMMYFUNCTION("""COMPUTED_VALUE"""),5.0)</f>
        <v>5</v>
      </c>
    </row>
    <row r="304">
      <c r="A304" s="26">
        <f>IFERROR(__xludf.DUMMYFUNCTION("""COMPUTED_VALUE"""),45419.0)</f>
        <v>45419</v>
      </c>
      <c r="B304" s="27">
        <f>IFERROR(__xludf.DUMMYFUNCTION("""COMPUTED_VALUE"""),21.0)</f>
        <v>21</v>
      </c>
      <c r="C304" s="28">
        <f>IFERROR(__xludf.DUMMYFUNCTION("""COMPUTED_VALUE"""),192.0)</f>
        <v>192</v>
      </c>
      <c r="D304" s="28">
        <f>IFERROR(__xludf.DUMMYFUNCTION("""COMPUTED_VALUE"""),9.0)</f>
        <v>9</v>
      </c>
      <c r="E304" s="28">
        <f>IFERROR(__xludf.DUMMYFUNCTION("""COMPUTED_VALUE"""),2777.0)</f>
        <v>2777</v>
      </c>
      <c r="F304" s="28">
        <f>IFERROR(__xludf.DUMMYFUNCTION("""COMPUTED_VALUE"""),132.0)</f>
        <v>132</v>
      </c>
      <c r="G304" s="28">
        <f>IFERROR(__xludf.DUMMYFUNCTION("""COMPUTED_VALUE"""),19.0)</f>
        <v>19</v>
      </c>
      <c r="H304" s="28">
        <f>IFERROR(__xludf.DUMMYFUNCTION("""COMPUTED_VALUE"""),0.0)</f>
        <v>0</v>
      </c>
      <c r="I304" s="28">
        <f>IFERROR(__xludf.DUMMYFUNCTION("""COMPUTED_VALUE"""),2.0)</f>
        <v>2</v>
      </c>
      <c r="J304" s="28">
        <f>IFERROR(__xludf.DUMMYFUNCTION("""COMPUTED_VALUE"""),13.0)</f>
        <v>13</v>
      </c>
      <c r="K304" s="28">
        <f>IFERROR(__xludf.DUMMYFUNCTION("""COMPUTED_VALUE"""),16.0)</f>
        <v>16</v>
      </c>
      <c r="L304" s="28">
        <f>IFERROR(__xludf.DUMMYFUNCTION("""COMPUTED_VALUE"""),10.0)</f>
        <v>10</v>
      </c>
      <c r="M304" s="28">
        <f>IFERROR(__xludf.DUMMYFUNCTION("""COMPUTED_VALUE"""),0.0)</f>
        <v>0</v>
      </c>
      <c r="N304" s="28">
        <f>IFERROR(__xludf.DUMMYFUNCTION("""COMPUTED_VALUE"""),14.0)</f>
        <v>14</v>
      </c>
    </row>
    <row r="305">
      <c r="A305" s="26">
        <f>IFERROR(__xludf.DUMMYFUNCTION("""COMPUTED_VALUE"""),45420.0)</f>
        <v>45420</v>
      </c>
      <c r="B305" s="27">
        <f>IFERROR(__xludf.DUMMYFUNCTION("""COMPUTED_VALUE"""),0.0)</f>
        <v>0</v>
      </c>
      <c r="C305" s="28">
        <f>IFERROR(__xludf.DUMMYFUNCTION("""COMPUTED_VALUE"""),0.0)</f>
        <v>0</v>
      </c>
      <c r="D305" s="28">
        <f>IFERROR(__xludf.DUMMYFUNCTION("""COMPUTED_VALUE"""),0.0)</f>
        <v>0</v>
      </c>
      <c r="E305" s="28">
        <f>IFERROR(__xludf.DUMMYFUNCTION("""COMPUTED_VALUE"""),0.0)</f>
        <v>0</v>
      </c>
      <c r="F305" s="28">
        <f>IFERROR(__xludf.DUMMYFUNCTION("""COMPUTED_VALUE"""),0.0)</f>
        <v>0</v>
      </c>
      <c r="G305" s="28">
        <f>IFERROR(__xludf.DUMMYFUNCTION("""COMPUTED_VALUE"""),0.0)</f>
        <v>0</v>
      </c>
      <c r="H305" s="28">
        <f>IFERROR(__xludf.DUMMYFUNCTION("""COMPUTED_VALUE"""),0.0)</f>
        <v>0</v>
      </c>
      <c r="I305" s="28">
        <f>IFERROR(__xludf.DUMMYFUNCTION("""COMPUTED_VALUE"""),0.0)</f>
        <v>0</v>
      </c>
      <c r="J305" s="28">
        <f>IFERROR(__xludf.DUMMYFUNCTION("""COMPUTED_VALUE"""),0.0)</f>
        <v>0</v>
      </c>
      <c r="K305" s="28">
        <f>IFERROR(__xludf.DUMMYFUNCTION("""COMPUTED_VALUE"""),0.0)</f>
        <v>0</v>
      </c>
      <c r="L305" s="28">
        <f>IFERROR(__xludf.DUMMYFUNCTION("""COMPUTED_VALUE"""),0.0)</f>
        <v>0</v>
      </c>
      <c r="M305" s="28">
        <f>IFERROR(__xludf.DUMMYFUNCTION("""COMPUTED_VALUE"""),0.0)</f>
        <v>0</v>
      </c>
      <c r="N305" s="28">
        <f>IFERROR(__xludf.DUMMYFUNCTION("""COMPUTED_VALUE"""),0.0)</f>
        <v>0</v>
      </c>
    </row>
    <row r="306">
      <c r="A306" s="26">
        <f>IFERROR(__xludf.DUMMYFUNCTION("""COMPUTED_VALUE"""),45421.0)</f>
        <v>45421</v>
      </c>
      <c r="B306" s="27">
        <f>IFERROR(__xludf.DUMMYFUNCTION("""COMPUTED_VALUE"""),0.0)</f>
        <v>0</v>
      </c>
      <c r="C306" s="28">
        <f>IFERROR(__xludf.DUMMYFUNCTION("""COMPUTED_VALUE"""),0.0)</f>
        <v>0</v>
      </c>
      <c r="D306" s="28">
        <f>IFERROR(__xludf.DUMMYFUNCTION("""COMPUTED_VALUE"""),0.0)</f>
        <v>0</v>
      </c>
      <c r="E306" s="28">
        <f>IFERROR(__xludf.DUMMYFUNCTION("""COMPUTED_VALUE"""),0.0)</f>
        <v>0</v>
      </c>
      <c r="F306" s="28">
        <f>IFERROR(__xludf.DUMMYFUNCTION("""COMPUTED_VALUE"""),0.0)</f>
        <v>0</v>
      </c>
      <c r="G306" s="28">
        <f>IFERROR(__xludf.DUMMYFUNCTION("""COMPUTED_VALUE"""),0.0)</f>
        <v>0</v>
      </c>
      <c r="H306" s="28">
        <f>IFERROR(__xludf.DUMMYFUNCTION("""COMPUTED_VALUE"""),0.0)</f>
        <v>0</v>
      </c>
      <c r="I306" s="28">
        <f>IFERROR(__xludf.DUMMYFUNCTION("""COMPUTED_VALUE"""),0.0)</f>
        <v>0</v>
      </c>
      <c r="J306" s="28">
        <f>IFERROR(__xludf.DUMMYFUNCTION("""COMPUTED_VALUE"""),0.0)</f>
        <v>0</v>
      </c>
      <c r="K306" s="28">
        <f>IFERROR(__xludf.DUMMYFUNCTION("""COMPUTED_VALUE"""),0.0)</f>
        <v>0</v>
      </c>
      <c r="L306" s="28">
        <f>IFERROR(__xludf.DUMMYFUNCTION("""COMPUTED_VALUE"""),0.0)</f>
        <v>0</v>
      </c>
      <c r="M306" s="28">
        <f>IFERROR(__xludf.DUMMYFUNCTION("""COMPUTED_VALUE"""),0.0)</f>
        <v>0</v>
      </c>
      <c r="N306" s="28">
        <f>IFERROR(__xludf.DUMMYFUNCTION("""COMPUTED_VALUE"""),0.0)</f>
        <v>0</v>
      </c>
    </row>
    <row r="307">
      <c r="A307" s="26">
        <f>IFERROR(__xludf.DUMMYFUNCTION("""COMPUTED_VALUE"""),45422.0)</f>
        <v>45422</v>
      </c>
      <c r="B307" s="27">
        <f>IFERROR(__xludf.DUMMYFUNCTION("""COMPUTED_VALUE"""),9.0)</f>
        <v>9</v>
      </c>
      <c r="C307" s="28">
        <f>IFERROR(__xludf.DUMMYFUNCTION("""COMPUTED_VALUE"""),71.0)</f>
        <v>71</v>
      </c>
      <c r="D307" s="28">
        <f>IFERROR(__xludf.DUMMYFUNCTION("""COMPUTED_VALUE"""),8.0)</f>
        <v>8</v>
      </c>
      <c r="E307" s="28">
        <f>IFERROR(__xludf.DUMMYFUNCTION("""COMPUTED_VALUE"""),988.0)</f>
        <v>988</v>
      </c>
      <c r="F307" s="28">
        <f>IFERROR(__xludf.DUMMYFUNCTION("""COMPUTED_VALUE"""),110.0)</f>
        <v>110</v>
      </c>
      <c r="G307" s="28">
        <f>IFERROR(__xludf.DUMMYFUNCTION("""COMPUTED_VALUE"""),8.0)</f>
        <v>8</v>
      </c>
      <c r="H307" s="28">
        <f>IFERROR(__xludf.DUMMYFUNCTION("""COMPUTED_VALUE"""),0.0)</f>
        <v>0</v>
      </c>
      <c r="I307" s="28">
        <f>IFERROR(__xludf.DUMMYFUNCTION("""COMPUTED_VALUE"""),1.0)</f>
        <v>1</v>
      </c>
      <c r="J307" s="28">
        <f>IFERROR(__xludf.DUMMYFUNCTION("""COMPUTED_VALUE"""),4.0)</f>
        <v>4</v>
      </c>
      <c r="K307" s="28">
        <f>IFERROR(__xludf.DUMMYFUNCTION("""COMPUTED_VALUE"""),9.0)</f>
        <v>9</v>
      </c>
      <c r="L307" s="28">
        <f>IFERROR(__xludf.DUMMYFUNCTION("""COMPUTED_VALUE"""),1.0)</f>
        <v>1</v>
      </c>
      <c r="M307" s="28">
        <f>IFERROR(__xludf.DUMMYFUNCTION("""COMPUTED_VALUE"""),1.0)</f>
        <v>1</v>
      </c>
      <c r="N307" s="28">
        <f>IFERROR(__xludf.DUMMYFUNCTION("""COMPUTED_VALUE"""),7.0)</f>
        <v>7</v>
      </c>
    </row>
    <row r="308">
      <c r="A308" s="26">
        <f>IFERROR(__xludf.DUMMYFUNCTION("""COMPUTED_VALUE"""),45423.0)</f>
        <v>45423</v>
      </c>
      <c r="B308" s="27">
        <f>IFERROR(__xludf.DUMMYFUNCTION("""COMPUTED_VALUE"""),5.0)</f>
        <v>5</v>
      </c>
      <c r="C308" s="28">
        <f>IFERROR(__xludf.DUMMYFUNCTION("""COMPUTED_VALUE"""),50.0)</f>
        <v>50</v>
      </c>
      <c r="D308" s="28">
        <f>IFERROR(__xludf.DUMMYFUNCTION("""COMPUTED_VALUE"""),10.0)</f>
        <v>10</v>
      </c>
      <c r="E308" s="28">
        <f>IFERROR(__xludf.DUMMYFUNCTION("""COMPUTED_VALUE"""),693.0)</f>
        <v>693</v>
      </c>
      <c r="F308" s="28">
        <f>IFERROR(__xludf.DUMMYFUNCTION("""COMPUTED_VALUE"""),139.0)</f>
        <v>139</v>
      </c>
      <c r="G308" s="28">
        <f>IFERROR(__xludf.DUMMYFUNCTION("""COMPUTED_VALUE"""),3.0)</f>
        <v>3</v>
      </c>
      <c r="H308" s="28">
        <f>IFERROR(__xludf.DUMMYFUNCTION("""COMPUTED_VALUE"""),0.0)</f>
        <v>0</v>
      </c>
      <c r="I308" s="28">
        <f>IFERROR(__xludf.DUMMYFUNCTION("""COMPUTED_VALUE"""),2.0)</f>
        <v>2</v>
      </c>
      <c r="J308" s="28">
        <f>IFERROR(__xludf.DUMMYFUNCTION("""COMPUTED_VALUE"""),3.0)</f>
        <v>3</v>
      </c>
      <c r="K308" s="28">
        <f>IFERROR(__xludf.DUMMYFUNCTION("""COMPUTED_VALUE"""),4.0)</f>
        <v>4</v>
      </c>
      <c r="L308" s="28">
        <f>IFERROR(__xludf.DUMMYFUNCTION("""COMPUTED_VALUE"""),1.0)</f>
        <v>1</v>
      </c>
      <c r="M308" s="28">
        <f>IFERROR(__xludf.DUMMYFUNCTION("""COMPUTED_VALUE"""),0.0)</f>
        <v>0</v>
      </c>
      <c r="N308" s="28">
        <f>IFERROR(__xludf.DUMMYFUNCTION("""COMPUTED_VALUE"""),4.0)</f>
        <v>4</v>
      </c>
    </row>
    <row r="309">
      <c r="A309" s="26">
        <f>IFERROR(__xludf.DUMMYFUNCTION("""COMPUTED_VALUE"""),45424.0)</f>
        <v>45424</v>
      </c>
      <c r="B309" s="27">
        <f>IFERROR(__xludf.DUMMYFUNCTION("""COMPUTED_VALUE"""),0.0)</f>
        <v>0</v>
      </c>
      <c r="C309" s="28">
        <f>IFERROR(__xludf.DUMMYFUNCTION("""COMPUTED_VALUE"""),0.0)</f>
        <v>0</v>
      </c>
      <c r="D309" s="28">
        <f>IFERROR(__xludf.DUMMYFUNCTION("""COMPUTED_VALUE"""),0.0)</f>
        <v>0</v>
      </c>
      <c r="E309" s="28">
        <f>IFERROR(__xludf.DUMMYFUNCTION("""COMPUTED_VALUE"""),0.0)</f>
        <v>0</v>
      </c>
      <c r="F309" s="28">
        <f>IFERROR(__xludf.DUMMYFUNCTION("""COMPUTED_VALUE"""),0.0)</f>
        <v>0</v>
      </c>
      <c r="G309" s="28">
        <f>IFERROR(__xludf.DUMMYFUNCTION("""COMPUTED_VALUE"""),0.0)</f>
        <v>0</v>
      </c>
      <c r="H309" s="28">
        <f>IFERROR(__xludf.DUMMYFUNCTION("""COMPUTED_VALUE"""),0.0)</f>
        <v>0</v>
      </c>
      <c r="I309" s="28">
        <f>IFERROR(__xludf.DUMMYFUNCTION("""COMPUTED_VALUE"""),0.0)</f>
        <v>0</v>
      </c>
      <c r="J309" s="28">
        <f>IFERROR(__xludf.DUMMYFUNCTION("""COMPUTED_VALUE"""),0.0)</f>
        <v>0</v>
      </c>
      <c r="K309" s="28">
        <f>IFERROR(__xludf.DUMMYFUNCTION("""COMPUTED_VALUE"""),0.0)</f>
        <v>0</v>
      </c>
      <c r="L309" s="28">
        <f>IFERROR(__xludf.DUMMYFUNCTION("""COMPUTED_VALUE"""),0.0)</f>
        <v>0</v>
      </c>
      <c r="M309" s="28">
        <f>IFERROR(__xludf.DUMMYFUNCTION("""COMPUTED_VALUE"""),0.0)</f>
        <v>0</v>
      </c>
      <c r="N309" s="28">
        <f>IFERROR(__xludf.DUMMYFUNCTION("""COMPUTED_VALUE"""),0.0)</f>
        <v>0</v>
      </c>
    </row>
    <row r="310">
      <c r="A310" s="26">
        <f>IFERROR(__xludf.DUMMYFUNCTION("""COMPUTED_VALUE"""),45425.0)</f>
        <v>45425</v>
      </c>
      <c r="B310" s="27">
        <f>IFERROR(__xludf.DUMMYFUNCTION("""COMPUTED_VALUE"""),13.0)</f>
        <v>13</v>
      </c>
      <c r="C310" s="28">
        <f>IFERROR(__xludf.DUMMYFUNCTION("""COMPUTED_VALUE"""),99.0)</f>
        <v>99</v>
      </c>
      <c r="D310" s="28">
        <f>IFERROR(__xludf.DUMMYFUNCTION("""COMPUTED_VALUE"""),8.0)</f>
        <v>8</v>
      </c>
      <c r="E310" s="28">
        <f>IFERROR(__xludf.DUMMYFUNCTION("""COMPUTED_VALUE"""),2201.0)</f>
        <v>2201</v>
      </c>
      <c r="F310" s="28">
        <f>IFERROR(__xludf.DUMMYFUNCTION("""COMPUTED_VALUE"""),169.0)</f>
        <v>169</v>
      </c>
      <c r="G310" s="28">
        <f>IFERROR(__xludf.DUMMYFUNCTION("""COMPUTED_VALUE"""),7.0)</f>
        <v>7</v>
      </c>
      <c r="H310" s="28">
        <f>IFERROR(__xludf.DUMMYFUNCTION("""COMPUTED_VALUE"""),0.0)</f>
        <v>0</v>
      </c>
      <c r="I310" s="28">
        <f>IFERROR(__xludf.DUMMYFUNCTION("""COMPUTED_VALUE"""),4.0)</f>
        <v>4</v>
      </c>
      <c r="J310" s="28">
        <f>IFERROR(__xludf.DUMMYFUNCTION("""COMPUTED_VALUE"""),5.0)</f>
        <v>5</v>
      </c>
      <c r="K310" s="28">
        <f>IFERROR(__xludf.DUMMYFUNCTION("""COMPUTED_VALUE"""),10.0)</f>
        <v>10</v>
      </c>
      <c r="L310" s="28">
        <f>IFERROR(__xludf.DUMMYFUNCTION("""COMPUTED_VALUE"""),2.0)</f>
        <v>2</v>
      </c>
      <c r="M310" s="28">
        <f>IFERROR(__xludf.DUMMYFUNCTION("""COMPUTED_VALUE"""),3.0)</f>
        <v>3</v>
      </c>
      <c r="N310" s="28">
        <f>IFERROR(__xludf.DUMMYFUNCTION("""COMPUTED_VALUE"""),7.0)</f>
        <v>7</v>
      </c>
    </row>
    <row r="311">
      <c r="A311" s="26">
        <f>IFERROR(__xludf.DUMMYFUNCTION("""COMPUTED_VALUE"""),45426.0)</f>
        <v>45426</v>
      </c>
      <c r="B311" s="27">
        <f>IFERROR(__xludf.DUMMYFUNCTION("""COMPUTED_VALUE"""),6.0)</f>
        <v>6</v>
      </c>
      <c r="C311" s="28">
        <f>IFERROR(__xludf.DUMMYFUNCTION("""COMPUTED_VALUE"""),37.0)</f>
        <v>37</v>
      </c>
      <c r="D311" s="28">
        <f>IFERROR(__xludf.DUMMYFUNCTION("""COMPUTED_VALUE"""),6.0)</f>
        <v>6</v>
      </c>
      <c r="E311" s="28">
        <f>IFERROR(__xludf.DUMMYFUNCTION("""COMPUTED_VALUE"""),525.0)</f>
        <v>525</v>
      </c>
      <c r="F311" s="28">
        <f>IFERROR(__xludf.DUMMYFUNCTION("""COMPUTED_VALUE"""),88.0)</f>
        <v>88</v>
      </c>
      <c r="G311" s="28">
        <f>IFERROR(__xludf.DUMMYFUNCTION("""COMPUTED_VALUE"""),6.0)</f>
        <v>6</v>
      </c>
      <c r="H311" s="28">
        <f>IFERROR(__xludf.DUMMYFUNCTION("""COMPUTED_VALUE"""),0.0)</f>
        <v>0</v>
      </c>
      <c r="I311" s="28">
        <f>IFERROR(__xludf.DUMMYFUNCTION("""COMPUTED_VALUE"""),0.0)</f>
        <v>0</v>
      </c>
      <c r="J311" s="28">
        <f>IFERROR(__xludf.DUMMYFUNCTION("""COMPUTED_VALUE"""),3.0)</f>
        <v>3</v>
      </c>
      <c r="K311" s="28">
        <f>IFERROR(__xludf.DUMMYFUNCTION("""COMPUTED_VALUE"""),3.0)</f>
        <v>3</v>
      </c>
      <c r="L311" s="28">
        <f>IFERROR(__xludf.DUMMYFUNCTION("""COMPUTED_VALUE"""),4.0)</f>
        <v>4</v>
      </c>
      <c r="M311" s="28">
        <f>IFERROR(__xludf.DUMMYFUNCTION("""COMPUTED_VALUE"""),1.0)</f>
        <v>1</v>
      </c>
      <c r="N311" s="28">
        <f>IFERROR(__xludf.DUMMYFUNCTION("""COMPUTED_VALUE"""),2.0)</f>
        <v>2</v>
      </c>
    </row>
    <row r="312">
      <c r="A312" s="26">
        <f>IFERROR(__xludf.DUMMYFUNCTION("""COMPUTED_VALUE"""),45427.0)</f>
        <v>45427</v>
      </c>
      <c r="B312" s="27">
        <f>IFERROR(__xludf.DUMMYFUNCTION("""COMPUTED_VALUE"""),10.0)</f>
        <v>10</v>
      </c>
      <c r="C312" s="28">
        <f>IFERROR(__xludf.DUMMYFUNCTION("""COMPUTED_VALUE"""),81.0)</f>
        <v>81</v>
      </c>
      <c r="D312" s="28">
        <f>IFERROR(__xludf.DUMMYFUNCTION("""COMPUTED_VALUE"""),8.0)</f>
        <v>8</v>
      </c>
      <c r="E312" s="28">
        <f>IFERROR(__xludf.DUMMYFUNCTION("""COMPUTED_VALUE"""),1470.0)</f>
        <v>1470</v>
      </c>
      <c r="F312" s="28">
        <f>IFERROR(__xludf.DUMMYFUNCTION("""COMPUTED_VALUE"""),147.0)</f>
        <v>147</v>
      </c>
      <c r="G312" s="28">
        <f>IFERROR(__xludf.DUMMYFUNCTION("""COMPUTED_VALUE"""),9.0)</f>
        <v>9</v>
      </c>
      <c r="H312" s="28">
        <f>IFERROR(__xludf.DUMMYFUNCTION("""COMPUTED_VALUE"""),0.0)</f>
        <v>0</v>
      </c>
      <c r="I312" s="28">
        <f>IFERROR(__xludf.DUMMYFUNCTION("""COMPUTED_VALUE"""),1.0)</f>
        <v>1</v>
      </c>
      <c r="J312" s="28">
        <f>IFERROR(__xludf.DUMMYFUNCTION("""COMPUTED_VALUE"""),9.0)</f>
        <v>9</v>
      </c>
      <c r="K312" s="28">
        <f>IFERROR(__xludf.DUMMYFUNCTION("""COMPUTED_VALUE"""),4.0)</f>
        <v>4</v>
      </c>
      <c r="L312" s="28">
        <f>IFERROR(__xludf.DUMMYFUNCTION("""COMPUTED_VALUE"""),8.0)</f>
        <v>8</v>
      </c>
      <c r="M312" s="28">
        <f>IFERROR(__xludf.DUMMYFUNCTION("""COMPUTED_VALUE"""),1.0)</f>
        <v>1</v>
      </c>
      <c r="N312" s="28">
        <f>IFERROR(__xludf.DUMMYFUNCTION("""COMPUTED_VALUE"""),4.0)</f>
        <v>4</v>
      </c>
    </row>
    <row r="313">
      <c r="A313" s="26">
        <f>IFERROR(__xludf.DUMMYFUNCTION("""COMPUTED_VALUE"""),45428.0)</f>
        <v>45428</v>
      </c>
      <c r="B313" s="27">
        <f>IFERROR(__xludf.DUMMYFUNCTION("""COMPUTED_VALUE"""),15.0)</f>
        <v>15</v>
      </c>
      <c r="C313" s="28">
        <f>IFERROR(__xludf.DUMMYFUNCTION("""COMPUTED_VALUE"""),118.0)</f>
        <v>118</v>
      </c>
      <c r="D313" s="28">
        <f>IFERROR(__xludf.DUMMYFUNCTION("""COMPUTED_VALUE"""),8.0)</f>
        <v>8</v>
      </c>
      <c r="E313" s="28">
        <f>IFERROR(__xludf.DUMMYFUNCTION("""COMPUTED_VALUE"""),2061.0)</f>
        <v>2061</v>
      </c>
      <c r="F313" s="28">
        <f>IFERROR(__xludf.DUMMYFUNCTION("""COMPUTED_VALUE"""),137.0)</f>
        <v>137</v>
      </c>
      <c r="G313" s="28">
        <f>IFERROR(__xludf.DUMMYFUNCTION("""COMPUTED_VALUE"""),8.0)</f>
        <v>8</v>
      </c>
      <c r="H313" s="28">
        <f>IFERROR(__xludf.DUMMYFUNCTION("""COMPUTED_VALUE"""),0.0)</f>
        <v>0</v>
      </c>
      <c r="I313" s="28">
        <f>IFERROR(__xludf.DUMMYFUNCTION("""COMPUTED_VALUE"""),7.0)</f>
        <v>7</v>
      </c>
      <c r="J313" s="28">
        <f>IFERROR(__xludf.DUMMYFUNCTION("""COMPUTED_VALUE"""),8.0)</f>
        <v>8</v>
      </c>
      <c r="K313" s="28">
        <f>IFERROR(__xludf.DUMMYFUNCTION("""COMPUTED_VALUE"""),13.0)</f>
        <v>13</v>
      </c>
      <c r="L313" s="28">
        <f>IFERROR(__xludf.DUMMYFUNCTION("""COMPUTED_VALUE"""),5.0)</f>
        <v>5</v>
      </c>
      <c r="M313" s="28">
        <f>IFERROR(__xludf.DUMMYFUNCTION("""COMPUTED_VALUE"""),0.0)</f>
        <v>0</v>
      </c>
      <c r="N313" s="28">
        <f>IFERROR(__xludf.DUMMYFUNCTION("""COMPUTED_VALUE"""),9.0)</f>
        <v>9</v>
      </c>
    </row>
    <row r="314">
      <c r="A314" s="26">
        <f>IFERROR(__xludf.DUMMYFUNCTION("""COMPUTED_VALUE"""),45429.0)</f>
        <v>45429</v>
      </c>
      <c r="B314" s="27">
        <f>IFERROR(__xludf.DUMMYFUNCTION("""COMPUTED_VALUE"""),14.0)</f>
        <v>14</v>
      </c>
      <c r="C314" s="28">
        <f>IFERROR(__xludf.DUMMYFUNCTION("""COMPUTED_VALUE"""),102.0)</f>
        <v>102</v>
      </c>
      <c r="D314" s="28">
        <f>IFERROR(__xludf.DUMMYFUNCTION("""COMPUTED_VALUE"""),7.0)</f>
        <v>7</v>
      </c>
      <c r="E314" s="28">
        <f>IFERROR(__xludf.DUMMYFUNCTION("""COMPUTED_VALUE"""),1312.0)</f>
        <v>1312</v>
      </c>
      <c r="F314" s="28">
        <f>IFERROR(__xludf.DUMMYFUNCTION("""COMPUTED_VALUE"""),94.0)</f>
        <v>94</v>
      </c>
      <c r="G314" s="28">
        <f>IFERROR(__xludf.DUMMYFUNCTION("""COMPUTED_VALUE"""),9.0)</f>
        <v>9</v>
      </c>
      <c r="H314" s="28">
        <f>IFERROR(__xludf.DUMMYFUNCTION("""COMPUTED_VALUE"""),0.0)</f>
        <v>0</v>
      </c>
      <c r="I314" s="28">
        <f>IFERROR(__xludf.DUMMYFUNCTION("""COMPUTED_VALUE"""),5.0)</f>
        <v>5</v>
      </c>
      <c r="J314" s="28">
        <f>IFERROR(__xludf.DUMMYFUNCTION("""COMPUTED_VALUE"""),8.0)</f>
        <v>8</v>
      </c>
      <c r="K314" s="28">
        <f>IFERROR(__xludf.DUMMYFUNCTION("""COMPUTED_VALUE"""),8.0)</f>
        <v>8</v>
      </c>
      <c r="L314" s="28">
        <f>IFERROR(__xludf.DUMMYFUNCTION("""COMPUTED_VALUE"""),6.0)</f>
        <v>6</v>
      </c>
      <c r="M314" s="28">
        <f>IFERROR(__xludf.DUMMYFUNCTION("""COMPUTED_VALUE"""),2.0)</f>
        <v>2</v>
      </c>
      <c r="N314" s="28">
        <f>IFERROR(__xludf.DUMMYFUNCTION("""COMPUTED_VALUE"""),6.0)</f>
        <v>6</v>
      </c>
    </row>
    <row r="315">
      <c r="A315" s="26">
        <f>IFERROR(__xludf.DUMMYFUNCTION("""COMPUTED_VALUE"""),45430.0)</f>
        <v>45430</v>
      </c>
      <c r="B315" s="27">
        <f>IFERROR(__xludf.DUMMYFUNCTION("""COMPUTED_VALUE"""),6.0)</f>
        <v>6</v>
      </c>
      <c r="C315" s="28">
        <f>IFERROR(__xludf.DUMMYFUNCTION("""COMPUTED_VALUE"""),50.0)</f>
        <v>50</v>
      </c>
      <c r="D315" s="28">
        <f>IFERROR(__xludf.DUMMYFUNCTION("""COMPUTED_VALUE"""),8.0)</f>
        <v>8</v>
      </c>
      <c r="E315" s="28">
        <f>IFERROR(__xludf.DUMMYFUNCTION("""COMPUTED_VALUE"""),772.0)</f>
        <v>772</v>
      </c>
      <c r="F315" s="28">
        <f>IFERROR(__xludf.DUMMYFUNCTION("""COMPUTED_VALUE"""),129.0)</f>
        <v>129</v>
      </c>
      <c r="G315" s="28">
        <f>IFERROR(__xludf.DUMMYFUNCTION("""COMPUTED_VALUE"""),6.0)</f>
        <v>6</v>
      </c>
      <c r="H315" s="28">
        <f>IFERROR(__xludf.DUMMYFUNCTION("""COMPUTED_VALUE"""),0.0)</f>
        <v>0</v>
      </c>
      <c r="I315" s="28">
        <f>IFERROR(__xludf.DUMMYFUNCTION("""COMPUTED_VALUE"""),0.0)</f>
        <v>0</v>
      </c>
      <c r="J315" s="28">
        <f>IFERROR(__xludf.DUMMYFUNCTION("""COMPUTED_VALUE"""),3.0)</f>
        <v>3</v>
      </c>
      <c r="K315" s="28">
        <f>IFERROR(__xludf.DUMMYFUNCTION("""COMPUTED_VALUE"""),5.0)</f>
        <v>5</v>
      </c>
      <c r="L315" s="28">
        <f>IFERROR(__xludf.DUMMYFUNCTION("""COMPUTED_VALUE"""),1.0)</f>
        <v>1</v>
      </c>
      <c r="M315" s="28">
        <f>IFERROR(__xludf.DUMMYFUNCTION("""COMPUTED_VALUE"""),0.0)</f>
        <v>0</v>
      </c>
      <c r="N315" s="28">
        <f>IFERROR(__xludf.DUMMYFUNCTION("""COMPUTED_VALUE"""),4.0)</f>
        <v>4</v>
      </c>
    </row>
    <row r="316">
      <c r="A316" s="26">
        <f>IFERROR(__xludf.DUMMYFUNCTION("""COMPUTED_VALUE"""),45431.0)</f>
        <v>45431</v>
      </c>
      <c r="B316" s="27">
        <f>IFERROR(__xludf.DUMMYFUNCTION("""COMPUTED_VALUE"""),0.0)</f>
        <v>0</v>
      </c>
      <c r="C316" s="28">
        <f>IFERROR(__xludf.DUMMYFUNCTION("""COMPUTED_VALUE"""),0.0)</f>
        <v>0</v>
      </c>
      <c r="D316" s="28">
        <f>IFERROR(__xludf.DUMMYFUNCTION("""COMPUTED_VALUE"""),0.0)</f>
        <v>0</v>
      </c>
      <c r="E316" s="28">
        <f>IFERROR(__xludf.DUMMYFUNCTION("""COMPUTED_VALUE"""),0.0)</f>
        <v>0</v>
      </c>
      <c r="F316" s="28">
        <f>IFERROR(__xludf.DUMMYFUNCTION("""COMPUTED_VALUE"""),0.0)</f>
        <v>0</v>
      </c>
      <c r="G316" s="28">
        <f>IFERROR(__xludf.DUMMYFUNCTION("""COMPUTED_VALUE"""),0.0)</f>
        <v>0</v>
      </c>
      <c r="H316" s="28">
        <f>IFERROR(__xludf.DUMMYFUNCTION("""COMPUTED_VALUE"""),0.0)</f>
        <v>0</v>
      </c>
      <c r="I316" s="28">
        <f>IFERROR(__xludf.DUMMYFUNCTION("""COMPUTED_VALUE"""),0.0)</f>
        <v>0</v>
      </c>
      <c r="J316" s="28">
        <f>IFERROR(__xludf.DUMMYFUNCTION("""COMPUTED_VALUE"""),0.0)</f>
        <v>0</v>
      </c>
      <c r="K316" s="28">
        <f>IFERROR(__xludf.DUMMYFUNCTION("""COMPUTED_VALUE"""),0.0)</f>
        <v>0</v>
      </c>
      <c r="L316" s="28">
        <f>IFERROR(__xludf.DUMMYFUNCTION("""COMPUTED_VALUE"""),0.0)</f>
        <v>0</v>
      </c>
      <c r="M316" s="28">
        <f>IFERROR(__xludf.DUMMYFUNCTION("""COMPUTED_VALUE"""),0.0)</f>
        <v>0</v>
      </c>
      <c r="N316" s="28">
        <f>IFERROR(__xludf.DUMMYFUNCTION("""COMPUTED_VALUE"""),0.0)</f>
        <v>0</v>
      </c>
    </row>
    <row r="317">
      <c r="A317" s="26">
        <f>IFERROR(__xludf.DUMMYFUNCTION("""COMPUTED_VALUE"""),45432.0)</f>
        <v>45432</v>
      </c>
      <c r="B317" s="27">
        <f>IFERROR(__xludf.DUMMYFUNCTION("""COMPUTED_VALUE"""),3.0)</f>
        <v>3</v>
      </c>
      <c r="C317" s="28">
        <f>IFERROR(__xludf.DUMMYFUNCTION("""COMPUTED_VALUE"""),30.0)</f>
        <v>30</v>
      </c>
      <c r="D317" s="28">
        <f>IFERROR(__xludf.DUMMYFUNCTION("""COMPUTED_VALUE"""),10.0)</f>
        <v>10</v>
      </c>
      <c r="E317" s="28">
        <f>IFERROR(__xludf.DUMMYFUNCTION("""COMPUTED_VALUE"""),439.0)</f>
        <v>439</v>
      </c>
      <c r="F317" s="28">
        <f>IFERROR(__xludf.DUMMYFUNCTION("""COMPUTED_VALUE"""),146.0)</f>
        <v>146</v>
      </c>
      <c r="G317" s="28">
        <f>IFERROR(__xludf.DUMMYFUNCTION("""COMPUTED_VALUE"""),3.0)</f>
        <v>3</v>
      </c>
      <c r="H317" s="28">
        <f>IFERROR(__xludf.DUMMYFUNCTION("""COMPUTED_VALUE"""),0.0)</f>
        <v>0</v>
      </c>
      <c r="I317" s="28">
        <f>IFERROR(__xludf.DUMMYFUNCTION("""COMPUTED_VALUE"""),0.0)</f>
        <v>0</v>
      </c>
      <c r="J317" s="28">
        <f>IFERROR(__xludf.DUMMYFUNCTION("""COMPUTED_VALUE"""),2.0)</f>
        <v>2</v>
      </c>
      <c r="K317" s="28">
        <f>IFERROR(__xludf.DUMMYFUNCTION("""COMPUTED_VALUE"""),2.0)</f>
        <v>2</v>
      </c>
      <c r="L317" s="28">
        <f>IFERROR(__xludf.DUMMYFUNCTION("""COMPUTED_VALUE"""),3.0)</f>
        <v>3</v>
      </c>
      <c r="M317" s="28">
        <f>IFERROR(__xludf.DUMMYFUNCTION("""COMPUTED_VALUE"""),0.0)</f>
        <v>0</v>
      </c>
      <c r="N317" s="28">
        <f>IFERROR(__xludf.DUMMYFUNCTION("""COMPUTED_VALUE"""),2.0)</f>
        <v>2</v>
      </c>
    </row>
    <row r="318">
      <c r="A318" s="26">
        <f>IFERROR(__xludf.DUMMYFUNCTION("""COMPUTED_VALUE"""),45433.0)</f>
        <v>45433</v>
      </c>
      <c r="B318" s="27">
        <f>IFERROR(__xludf.DUMMYFUNCTION("""COMPUTED_VALUE"""),8.0)</f>
        <v>8</v>
      </c>
      <c r="C318" s="28">
        <f>IFERROR(__xludf.DUMMYFUNCTION("""COMPUTED_VALUE"""),58.0)</f>
        <v>58</v>
      </c>
      <c r="D318" s="28">
        <f>IFERROR(__xludf.DUMMYFUNCTION("""COMPUTED_VALUE"""),7.0)</f>
        <v>7</v>
      </c>
      <c r="E318" s="28">
        <f>IFERROR(__xludf.DUMMYFUNCTION("""COMPUTED_VALUE"""),1002.0)</f>
        <v>1002</v>
      </c>
      <c r="F318" s="28">
        <f>IFERROR(__xludf.DUMMYFUNCTION("""COMPUTED_VALUE"""),125.0)</f>
        <v>125</v>
      </c>
      <c r="G318" s="28">
        <f>IFERROR(__xludf.DUMMYFUNCTION("""COMPUTED_VALUE"""),7.0)</f>
        <v>7</v>
      </c>
      <c r="H318" s="28">
        <f>IFERROR(__xludf.DUMMYFUNCTION("""COMPUTED_VALUE"""),0.0)</f>
        <v>0</v>
      </c>
      <c r="I318" s="28">
        <f>IFERROR(__xludf.DUMMYFUNCTION("""COMPUTED_VALUE"""),1.0)</f>
        <v>1</v>
      </c>
      <c r="J318" s="28">
        <f>IFERROR(__xludf.DUMMYFUNCTION("""COMPUTED_VALUE"""),13.0)</f>
        <v>13</v>
      </c>
      <c r="K318" s="28">
        <f>IFERROR(__xludf.DUMMYFUNCTION("""COMPUTED_VALUE"""),5.0)</f>
        <v>5</v>
      </c>
      <c r="L318" s="28">
        <f>IFERROR(__xludf.DUMMYFUNCTION("""COMPUTED_VALUE"""),3.0)</f>
        <v>3</v>
      </c>
      <c r="M318" s="28">
        <f>IFERROR(__xludf.DUMMYFUNCTION("""COMPUTED_VALUE"""),0.0)</f>
        <v>0</v>
      </c>
      <c r="N318" s="28">
        <f>IFERROR(__xludf.DUMMYFUNCTION("""COMPUTED_VALUE"""),4.0)</f>
        <v>4</v>
      </c>
    </row>
    <row r="319">
      <c r="A319" s="26">
        <f>IFERROR(__xludf.DUMMYFUNCTION("""COMPUTED_VALUE"""),45434.0)</f>
        <v>45434</v>
      </c>
      <c r="B319" s="27">
        <f>IFERROR(__xludf.DUMMYFUNCTION("""COMPUTED_VALUE"""),21.0)</f>
        <v>21</v>
      </c>
      <c r="C319" s="28">
        <f>IFERROR(__xludf.DUMMYFUNCTION("""COMPUTED_VALUE"""),226.0)</f>
        <v>226</v>
      </c>
      <c r="D319" s="28">
        <f>IFERROR(__xludf.DUMMYFUNCTION("""COMPUTED_VALUE"""),11.0)</f>
        <v>11</v>
      </c>
      <c r="E319" s="28">
        <f>IFERROR(__xludf.DUMMYFUNCTION("""COMPUTED_VALUE"""),4879.0)</f>
        <v>4879</v>
      </c>
      <c r="F319" s="28">
        <f>IFERROR(__xludf.DUMMYFUNCTION("""COMPUTED_VALUE"""),232.0)</f>
        <v>232</v>
      </c>
      <c r="G319" s="28">
        <f>IFERROR(__xludf.DUMMYFUNCTION("""COMPUTED_VALUE"""),19.0)</f>
        <v>19</v>
      </c>
      <c r="H319" s="28">
        <f>IFERROR(__xludf.DUMMYFUNCTION("""COMPUTED_VALUE"""),0.0)</f>
        <v>0</v>
      </c>
      <c r="I319" s="28">
        <f>IFERROR(__xludf.DUMMYFUNCTION("""COMPUTED_VALUE"""),1.0)</f>
        <v>1</v>
      </c>
      <c r="J319" s="28">
        <f>IFERROR(__xludf.DUMMYFUNCTION("""COMPUTED_VALUE"""),8.0)</f>
        <v>8</v>
      </c>
      <c r="K319" s="28">
        <f>IFERROR(__xludf.DUMMYFUNCTION("""COMPUTED_VALUE"""),14.0)</f>
        <v>14</v>
      </c>
      <c r="L319" s="28">
        <f>IFERROR(__xludf.DUMMYFUNCTION("""COMPUTED_VALUE"""),14.0)</f>
        <v>14</v>
      </c>
      <c r="M319" s="28">
        <f>IFERROR(__xludf.DUMMYFUNCTION("""COMPUTED_VALUE"""),1.0)</f>
        <v>1</v>
      </c>
      <c r="N319" s="28">
        <f>IFERROR(__xludf.DUMMYFUNCTION("""COMPUTED_VALUE"""),12.0)</f>
        <v>12</v>
      </c>
    </row>
    <row r="320">
      <c r="A320" s="26">
        <f>IFERROR(__xludf.DUMMYFUNCTION("""COMPUTED_VALUE"""),45435.0)</f>
        <v>45435</v>
      </c>
      <c r="B320" s="27">
        <f>IFERROR(__xludf.DUMMYFUNCTION("""COMPUTED_VALUE"""),8.0)</f>
        <v>8</v>
      </c>
      <c r="C320" s="28">
        <f>IFERROR(__xludf.DUMMYFUNCTION("""COMPUTED_VALUE"""),79.0)</f>
        <v>79</v>
      </c>
      <c r="D320" s="28">
        <f>IFERROR(__xludf.DUMMYFUNCTION("""COMPUTED_VALUE"""),10.0)</f>
        <v>10</v>
      </c>
      <c r="E320" s="28">
        <f>IFERROR(__xludf.DUMMYFUNCTION("""COMPUTED_VALUE"""),1105.0)</f>
        <v>1105</v>
      </c>
      <c r="F320" s="28">
        <f>IFERROR(__xludf.DUMMYFUNCTION("""COMPUTED_VALUE"""),138.0)</f>
        <v>138</v>
      </c>
      <c r="G320" s="28">
        <f>IFERROR(__xludf.DUMMYFUNCTION("""COMPUTED_VALUE"""),5.0)</f>
        <v>5</v>
      </c>
      <c r="H320" s="28">
        <f>IFERROR(__xludf.DUMMYFUNCTION("""COMPUTED_VALUE"""),0.0)</f>
        <v>0</v>
      </c>
      <c r="I320" s="28">
        <f>IFERROR(__xludf.DUMMYFUNCTION("""COMPUTED_VALUE"""),3.0)</f>
        <v>3</v>
      </c>
      <c r="J320" s="28">
        <f>IFERROR(__xludf.DUMMYFUNCTION("""COMPUTED_VALUE"""),4.0)</f>
        <v>4</v>
      </c>
      <c r="K320" s="28">
        <f>IFERROR(__xludf.DUMMYFUNCTION("""COMPUTED_VALUE"""),7.0)</f>
        <v>7</v>
      </c>
      <c r="L320" s="28">
        <f>IFERROR(__xludf.DUMMYFUNCTION("""COMPUTED_VALUE"""),0.0)</f>
        <v>0</v>
      </c>
      <c r="M320" s="28">
        <f>IFERROR(__xludf.DUMMYFUNCTION("""COMPUTED_VALUE"""),3.0)</f>
        <v>3</v>
      </c>
      <c r="N320" s="28">
        <f>IFERROR(__xludf.DUMMYFUNCTION("""COMPUTED_VALUE"""),7.0)</f>
        <v>7</v>
      </c>
    </row>
    <row r="321">
      <c r="A321" s="26">
        <f>IFERROR(__xludf.DUMMYFUNCTION("""COMPUTED_VALUE"""),45436.0)</f>
        <v>45436</v>
      </c>
      <c r="B321" s="27">
        <f>IFERROR(__xludf.DUMMYFUNCTION("""COMPUTED_VALUE"""),15.0)</f>
        <v>15</v>
      </c>
      <c r="C321" s="28">
        <f>IFERROR(__xludf.DUMMYFUNCTION("""COMPUTED_VALUE"""),129.0)</f>
        <v>129</v>
      </c>
      <c r="D321" s="28">
        <f>IFERROR(__xludf.DUMMYFUNCTION("""COMPUTED_VALUE"""),9.0)</f>
        <v>9</v>
      </c>
      <c r="E321" s="28">
        <f>IFERROR(__xludf.DUMMYFUNCTION("""COMPUTED_VALUE"""),2557.0)</f>
        <v>2557</v>
      </c>
      <c r="F321" s="28">
        <f>IFERROR(__xludf.DUMMYFUNCTION("""COMPUTED_VALUE"""),170.0)</f>
        <v>170</v>
      </c>
      <c r="G321" s="28">
        <f>IFERROR(__xludf.DUMMYFUNCTION("""COMPUTED_VALUE"""),14.0)</f>
        <v>14</v>
      </c>
      <c r="H321" s="28">
        <f>IFERROR(__xludf.DUMMYFUNCTION("""COMPUTED_VALUE"""),0.0)</f>
        <v>0</v>
      </c>
      <c r="I321" s="28">
        <f>IFERROR(__xludf.DUMMYFUNCTION("""COMPUTED_VALUE"""),1.0)</f>
        <v>1</v>
      </c>
      <c r="J321" s="28">
        <f>IFERROR(__xludf.DUMMYFUNCTION("""COMPUTED_VALUE"""),9.0)</f>
        <v>9</v>
      </c>
      <c r="K321" s="28">
        <f>IFERROR(__xludf.DUMMYFUNCTION("""COMPUTED_VALUE"""),8.0)</f>
        <v>8</v>
      </c>
      <c r="L321" s="28">
        <f>IFERROR(__xludf.DUMMYFUNCTION("""COMPUTED_VALUE"""),5.0)</f>
        <v>5</v>
      </c>
      <c r="M321" s="28">
        <f>IFERROR(__xludf.DUMMYFUNCTION("""COMPUTED_VALUE"""),0.0)</f>
        <v>0</v>
      </c>
      <c r="N321" s="28">
        <f>IFERROR(__xludf.DUMMYFUNCTION("""COMPUTED_VALUE"""),8.0)</f>
        <v>8</v>
      </c>
    </row>
    <row r="322">
      <c r="A322" s="26">
        <f>IFERROR(__xludf.DUMMYFUNCTION("""COMPUTED_VALUE"""),45437.0)</f>
        <v>45437</v>
      </c>
      <c r="B322" s="27">
        <f>IFERROR(__xludf.DUMMYFUNCTION("""COMPUTED_VALUE"""),12.0)</f>
        <v>12</v>
      </c>
      <c r="C322" s="28">
        <f>IFERROR(__xludf.DUMMYFUNCTION("""COMPUTED_VALUE"""),133.0)</f>
        <v>133</v>
      </c>
      <c r="D322" s="28">
        <f>IFERROR(__xludf.DUMMYFUNCTION("""COMPUTED_VALUE"""),11.0)</f>
        <v>11</v>
      </c>
      <c r="E322" s="28">
        <f>IFERROR(__xludf.DUMMYFUNCTION("""COMPUTED_VALUE"""),1851.0)</f>
        <v>1851</v>
      </c>
      <c r="F322" s="28">
        <f>IFERROR(__xludf.DUMMYFUNCTION("""COMPUTED_VALUE"""),154.0)</f>
        <v>154</v>
      </c>
      <c r="G322" s="28">
        <f>IFERROR(__xludf.DUMMYFUNCTION("""COMPUTED_VALUE"""),8.0)</f>
        <v>8</v>
      </c>
      <c r="H322" s="28">
        <f>IFERROR(__xludf.DUMMYFUNCTION("""COMPUTED_VALUE"""),0.0)</f>
        <v>0</v>
      </c>
      <c r="I322" s="28">
        <f>IFERROR(__xludf.DUMMYFUNCTION("""COMPUTED_VALUE"""),3.0)</f>
        <v>3</v>
      </c>
      <c r="J322" s="28">
        <f>IFERROR(__xludf.DUMMYFUNCTION("""COMPUTED_VALUE"""),2.0)</f>
        <v>2</v>
      </c>
      <c r="K322" s="28">
        <f>IFERROR(__xludf.DUMMYFUNCTION("""COMPUTED_VALUE"""),8.0)</f>
        <v>8</v>
      </c>
      <c r="L322" s="28">
        <f>IFERROR(__xludf.DUMMYFUNCTION("""COMPUTED_VALUE"""),0.0)</f>
        <v>0</v>
      </c>
      <c r="M322" s="28">
        <f>IFERROR(__xludf.DUMMYFUNCTION("""COMPUTED_VALUE"""),4.0)</f>
        <v>4</v>
      </c>
      <c r="N322" s="28">
        <f>IFERROR(__xludf.DUMMYFUNCTION("""COMPUTED_VALUE"""),7.0)</f>
        <v>7</v>
      </c>
    </row>
    <row r="323">
      <c r="A323" s="26">
        <f>IFERROR(__xludf.DUMMYFUNCTION("""COMPUTED_VALUE"""),45438.0)</f>
        <v>45438</v>
      </c>
      <c r="B323" s="27">
        <f>IFERROR(__xludf.DUMMYFUNCTION("""COMPUTED_VALUE"""),0.0)</f>
        <v>0</v>
      </c>
      <c r="C323" s="28">
        <f>IFERROR(__xludf.DUMMYFUNCTION("""COMPUTED_VALUE"""),0.0)</f>
        <v>0</v>
      </c>
      <c r="D323" s="28">
        <f>IFERROR(__xludf.DUMMYFUNCTION("""COMPUTED_VALUE"""),0.0)</f>
        <v>0</v>
      </c>
      <c r="E323" s="28">
        <f>IFERROR(__xludf.DUMMYFUNCTION("""COMPUTED_VALUE"""),0.0)</f>
        <v>0</v>
      </c>
      <c r="F323" s="28">
        <f>IFERROR(__xludf.DUMMYFUNCTION("""COMPUTED_VALUE"""),0.0)</f>
        <v>0</v>
      </c>
      <c r="G323" s="28">
        <f>IFERROR(__xludf.DUMMYFUNCTION("""COMPUTED_VALUE"""),0.0)</f>
        <v>0</v>
      </c>
      <c r="H323" s="28">
        <f>IFERROR(__xludf.DUMMYFUNCTION("""COMPUTED_VALUE"""),0.0)</f>
        <v>0</v>
      </c>
      <c r="I323" s="28">
        <f>IFERROR(__xludf.DUMMYFUNCTION("""COMPUTED_VALUE"""),0.0)</f>
        <v>0</v>
      </c>
      <c r="J323" s="28">
        <f>IFERROR(__xludf.DUMMYFUNCTION("""COMPUTED_VALUE"""),0.0)</f>
        <v>0</v>
      </c>
      <c r="K323" s="28">
        <f>IFERROR(__xludf.DUMMYFUNCTION("""COMPUTED_VALUE"""),0.0)</f>
        <v>0</v>
      </c>
      <c r="L323" s="28">
        <f>IFERROR(__xludf.DUMMYFUNCTION("""COMPUTED_VALUE"""),0.0)</f>
        <v>0</v>
      </c>
      <c r="M323" s="28">
        <f>IFERROR(__xludf.DUMMYFUNCTION("""COMPUTED_VALUE"""),0.0)</f>
        <v>0</v>
      </c>
      <c r="N323" s="28">
        <f>IFERROR(__xludf.DUMMYFUNCTION("""COMPUTED_VALUE"""),0.0)</f>
        <v>0</v>
      </c>
    </row>
    <row r="324">
      <c r="A324" s="26">
        <f>IFERROR(__xludf.DUMMYFUNCTION("""COMPUTED_VALUE"""),45439.0)</f>
        <v>45439</v>
      </c>
      <c r="B324" s="27">
        <f>IFERROR(__xludf.DUMMYFUNCTION("""COMPUTED_VALUE"""),12.0)</f>
        <v>12</v>
      </c>
      <c r="C324" s="28">
        <f>IFERROR(__xludf.DUMMYFUNCTION("""COMPUTED_VALUE"""),210.0)</f>
        <v>210</v>
      </c>
      <c r="D324" s="28">
        <f>IFERROR(__xludf.DUMMYFUNCTION("""COMPUTED_VALUE"""),18.0)</f>
        <v>18</v>
      </c>
      <c r="E324" s="28">
        <f>IFERROR(__xludf.DUMMYFUNCTION("""COMPUTED_VALUE"""),3865.0)</f>
        <v>3865</v>
      </c>
      <c r="F324" s="28">
        <f>IFERROR(__xludf.DUMMYFUNCTION("""COMPUTED_VALUE"""),322.0)</f>
        <v>322</v>
      </c>
      <c r="G324" s="28">
        <f>IFERROR(__xludf.DUMMYFUNCTION("""COMPUTED_VALUE"""),12.0)</f>
        <v>12</v>
      </c>
      <c r="H324" s="28">
        <f>IFERROR(__xludf.DUMMYFUNCTION("""COMPUTED_VALUE"""),0.0)</f>
        <v>0</v>
      </c>
      <c r="I324" s="28">
        <f>IFERROR(__xludf.DUMMYFUNCTION("""COMPUTED_VALUE"""),0.0)</f>
        <v>0</v>
      </c>
      <c r="J324" s="28">
        <f>IFERROR(__xludf.DUMMYFUNCTION("""COMPUTED_VALUE"""),2.0)</f>
        <v>2</v>
      </c>
      <c r="K324" s="28">
        <f>IFERROR(__xludf.DUMMYFUNCTION("""COMPUTED_VALUE"""),9.0)</f>
        <v>9</v>
      </c>
      <c r="L324" s="28">
        <f>IFERROR(__xludf.DUMMYFUNCTION("""COMPUTED_VALUE"""),1.0)</f>
        <v>1</v>
      </c>
      <c r="M324" s="28">
        <f>IFERROR(__xludf.DUMMYFUNCTION("""COMPUTED_VALUE"""),1.0)</f>
        <v>1</v>
      </c>
      <c r="N324" s="28">
        <f>IFERROR(__xludf.DUMMYFUNCTION("""COMPUTED_VALUE"""),9.0)</f>
        <v>9</v>
      </c>
    </row>
    <row r="325">
      <c r="A325" s="26">
        <f>IFERROR(__xludf.DUMMYFUNCTION("""COMPUTED_VALUE"""),45440.0)</f>
        <v>45440</v>
      </c>
      <c r="B325" s="27">
        <f>IFERROR(__xludf.DUMMYFUNCTION("""COMPUTED_VALUE"""),8.0)</f>
        <v>8</v>
      </c>
      <c r="C325" s="28">
        <f>IFERROR(__xludf.DUMMYFUNCTION("""COMPUTED_VALUE"""),53.0)</f>
        <v>53</v>
      </c>
      <c r="D325" s="28">
        <f>IFERROR(__xludf.DUMMYFUNCTION("""COMPUTED_VALUE"""),7.0)</f>
        <v>7</v>
      </c>
      <c r="E325" s="28">
        <f>IFERROR(__xludf.DUMMYFUNCTION("""COMPUTED_VALUE"""),1170.0)</f>
        <v>1170</v>
      </c>
      <c r="F325" s="28">
        <f>IFERROR(__xludf.DUMMYFUNCTION("""COMPUTED_VALUE"""),146.0)</f>
        <v>146</v>
      </c>
      <c r="G325" s="28">
        <f>IFERROR(__xludf.DUMMYFUNCTION("""COMPUTED_VALUE"""),8.0)</f>
        <v>8</v>
      </c>
      <c r="H325" s="28">
        <f>IFERROR(__xludf.DUMMYFUNCTION("""COMPUTED_VALUE"""),0.0)</f>
        <v>0</v>
      </c>
      <c r="I325" s="28">
        <f>IFERROR(__xludf.DUMMYFUNCTION("""COMPUTED_VALUE"""),0.0)</f>
        <v>0</v>
      </c>
      <c r="J325" s="28">
        <f>IFERROR(__xludf.DUMMYFUNCTION("""COMPUTED_VALUE"""),4.0)</f>
        <v>4</v>
      </c>
      <c r="K325" s="28">
        <f>IFERROR(__xludf.DUMMYFUNCTION("""COMPUTED_VALUE"""),6.0)</f>
        <v>6</v>
      </c>
      <c r="L325" s="28">
        <f>IFERROR(__xludf.DUMMYFUNCTION("""COMPUTED_VALUE"""),4.0)</f>
        <v>4</v>
      </c>
      <c r="M325" s="28">
        <f>IFERROR(__xludf.DUMMYFUNCTION("""COMPUTED_VALUE"""),2.0)</f>
        <v>2</v>
      </c>
      <c r="N325" s="28">
        <f>IFERROR(__xludf.DUMMYFUNCTION("""COMPUTED_VALUE"""),5.0)</f>
        <v>5</v>
      </c>
    </row>
    <row r="326">
      <c r="A326" s="26">
        <f>IFERROR(__xludf.DUMMYFUNCTION("""COMPUTED_VALUE"""),45441.0)</f>
        <v>45441</v>
      </c>
      <c r="B326" s="27">
        <f>IFERROR(__xludf.DUMMYFUNCTION("""COMPUTED_VALUE"""),10.0)</f>
        <v>10</v>
      </c>
      <c r="C326" s="28">
        <f>IFERROR(__xludf.DUMMYFUNCTION("""COMPUTED_VALUE"""),39.0)</f>
        <v>39</v>
      </c>
      <c r="D326" s="28">
        <f>IFERROR(__xludf.DUMMYFUNCTION("""COMPUTED_VALUE"""),4.0)</f>
        <v>4</v>
      </c>
      <c r="E326" s="28">
        <f>IFERROR(__xludf.DUMMYFUNCTION("""COMPUTED_VALUE"""),700.0)</f>
        <v>700</v>
      </c>
      <c r="F326" s="28">
        <f>IFERROR(__xludf.DUMMYFUNCTION("""COMPUTED_VALUE"""),70.0)</f>
        <v>70</v>
      </c>
      <c r="G326" s="28">
        <f>IFERROR(__xludf.DUMMYFUNCTION("""COMPUTED_VALUE"""),9.0)</f>
        <v>9</v>
      </c>
      <c r="H326" s="28">
        <f>IFERROR(__xludf.DUMMYFUNCTION("""COMPUTED_VALUE"""),0.0)</f>
        <v>0</v>
      </c>
      <c r="I326" s="28">
        <f>IFERROR(__xludf.DUMMYFUNCTION("""COMPUTED_VALUE"""),1.0)</f>
        <v>1</v>
      </c>
      <c r="J326" s="28">
        <f>IFERROR(__xludf.DUMMYFUNCTION("""COMPUTED_VALUE"""),5.0)</f>
        <v>5</v>
      </c>
      <c r="K326" s="28">
        <f>IFERROR(__xludf.DUMMYFUNCTION("""COMPUTED_VALUE"""),7.0)</f>
        <v>7</v>
      </c>
      <c r="L326" s="28">
        <f>IFERROR(__xludf.DUMMYFUNCTION("""COMPUTED_VALUE"""),2.0)</f>
        <v>2</v>
      </c>
      <c r="M326" s="28">
        <f>IFERROR(__xludf.DUMMYFUNCTION("""COMPUTED_VALUE"""),1.0)</f>
        <v>1</v>
      </c>
      <c r="N326" s="28">
        <f>IFERROR(__xludf.DUMMYFUNCTION("""COMPUTED_VALUE"""),4.0)</f>
        <v>4</v>
      </c>
    </row>
    <row r="327">
      <c r="A327" s="26">
        <f>IFERROR(__xludf.DUMMYFUNCTION("""COMPUTED_VALUE"""),45442.0)</f>
        <v>45442</v>
      </c>
      <c r="B327" s="27">
        <f>IFERROR(__xludf.DUMMYFUNCTION("""COMPUTED_VALUE"""),8.0)</f>
        <v>8</v>
      </c>
      <c r="C327" s="28">
        <f>IFERROR(__xludf.DUMMYFUNCTION("""COMPUTED_VALUE"""),31.0)</f>
        <v>31</v>
      </c>
      <c r="D327" s="28">
        <f>IFERROR(__xludf.DUMMYFUNCTION("""COMPUTED_VALUE"""),4.0)</f>
        <v>4</v>
      </c>
      <c r="E327" s="28">
        <f>IFERROR(__xludf.DUMMYFUNCTION("""COMPUTED_VALUE"""),604.0)</f>
        <v>604</v>
      </c>
      <c r="F327" s="28">
        <f>IFERROR(__xludf.DUMMYFUNCTION("""COMPUTED_VALUE"""),76.0)</f>
        <v>76</v>
      </c>
      <c r="G327" s="28">
        <f>IFERROR(__xludf.DUMMYFUNCTION("""COMPUTED_VALUE"""),4.0)</f>
        <v>4</v>
      </c>
      <c r="H327" s="28">
        <f>IFERROR(__xludf.DUMMYFUNCTION("""COMPUTED_VALUE"""),2.0)</f>
        <v>2</v>
      </c>
      <c r="I327" s="28">
        <f>IFERROR(__xludf.DUMMYFUNCTION("""COMPUTED_VALUE"""),2.0)</f>
        <v>2</v>
      </c>
      <c r="J327" s="28">
        <f>IFERROR(__xludf.DUMMYFUNCTION("""COMPUTED_VALUE"""),4.0)</f>
        <v>4</v>
      </c>
      <c r="K327" s="28">
        <f>IFERROR(__xludf.DUMMYFUNCTION("""COMPUTED_VALUE"""),7.0)</f>
        <v>7</v>
      </c>
      <c r="L327" s="28">
        <f>IFERROR(__xludf.DUMMYFUNCTION("""COMPUTED_VALUE"""),3.0)</f>
        <v>3</v>
      </c>
      <c r="M327" s="28">
        <f>IFERROR(__xludf.DUMMYFUNCTION("""COMPUTED_VALUE"""),1.0)</f>
        <v>1</v>
      </c>
      <c r="N327" s="28">
        <f>IFERROR(__xludf.DUMMYFUNCTION("""COMPUTED_VALUE"""),6.0)</f>
        <v>6</v>
      </c>
    </row>
    <row r="328">
      <c r="A328" s="26">
        <f>IFERROR(__xludf.DUMMYFUNCTION("""COMPUTED_VALUE"""),45443.0)</f>
        <v>45443</v>
      </c>
      <c r="B328" s="27">
        <f>IFERROR(__xludf.DUMMYFUNCTION("""COMPUTED_VALUE"""),9.0)</f>
        <v>9</v>
      </c>
      <c r="C328" s="28">
        <f>IFERROR(__xludf.DUMMYFUNCTION("""COMPUTED_VALUE"""),39.0)</f>
        <v>39</v>
      </c>
      <c r="D328" s="28">
        <f>IFERROR(__xludf.DUMMYFUNCTION("""COMPUTED_VALUE"""),4.0)</f>
        <v>4</v>
      </c>
      <c r="E328" s="28">
        <f>IFERROR(__xludf.DUMMYFUNCTION("""COMPUTED_VALUE"""),785.0)</f>
        <v>785</v>
      </c>
      <c r="F328" s="28">
        <f>IFERROR(__xludf.DUMMYFUNCTION("""COMPUTED_VALUE"""),87.0)</f>
        <v>87</v>
      </c>
      <c r="G328" s="28">
        <f>IFERROR(__xludf.DUMMYFUNCTION("""COMPUTED_VALUE"""),8.0)</f>
        <v>8</v>
      </c>
      <c r="H328" s="28">
        <f>IFERROR(__xludf.DUMMYFUNCTION("""COMPUTED_VALUE"""),0.0)</f>
        <v>0</v>
      </c>
      <c r="I328" s="28">
        <f>IFERROR(__xludf.DUMMYFUNCTION("""COMPUTED_VALUE"""),1.0)</f>
        <v>1</v>
      </c>
      <c r="J328" s="28">
        <f>IFERROR(__xludf.DUMMYFUNCTION("""COMPUTED_VALUE"""),7.0)</f>
        <v>7</v>
      </c>
      <c r="K328" s="28">
        <f>IFERROR(__xludf.DUMMYFUNCTION("""COMPUTED_VALUE"""),7.0)</f>
        <v>7</v>
      </c>
      <c r="L328" s="28">
        <f>IFERROR(__xludf.DUMMYFUNCTION("""COMPUTED_VALUE"""),5.0)</f>
        <v>5</v>
      </c>
      <c r="M328" s="28">
        <f>IFERROR(__xludf.DUMMYFUNCTION("""COMPUTED_VALUE"""),0.0)</f>
        <v>0</v>
      </c>
      <c r="N328" s="28">
        <f>IFERROR(__xludf.DUMMYFUNCTION("""COMPUTED_VALUE"""),7.0)</f>
        <v>7</v>
      </c>
    </row>
    <row r="329">
      <c r="A329" s="26">
        <f>IFERROR(__xludf.DUMMYFUNCTION("""COMPUTED_VALUE"""),45444.0)</f>
        <v>45444</v>
      </c>
      <c r="B329" s="27">
        <f>IFERROR(__xludf.DUMMYFUNCTION("""COMPUTED_VALUE"""),0.0)</f>
        <v>0</v>
      </c>
      <c r="C329" s="28">
        <f>IFERROR(__xludf.DUMMYFUNCTION("""COMPUTED_VALUE"""),0.0)</f>
        <v>0</v>
      </c>
      <c r="D329" s="28">
        <f>IFERROR(__xludf.DUMMYFUNCTION("""COMPUTED_VALUE"""),0.0)</f>
        <v>0</v>
      </c>
      <c r="E329" s="28">
        <f>IFERROR(__xludf.DUMMYFUNCTION("""COMPUTED_VALUE"""),0.0)</f>
        <v>0</v>
      </c>
      <c r="F329" s="28">
        <f>IFERROR(__xludf.DUMMYFUNCTION("""COMPUTED_VALUE"""),0.0)</f>
        <v>0</v>
      </c>
      <c r="G329" s="28">
        <f>IFERROR(__xludf.DUMMYFUNCTION("""COMPUTED_VALUE"""),0.0)</f>
        <v>0</v>
      </c>
      <c r="H329" s="28">
        <f>IFERROR(__xludf.DUMMYFUNCTION("""COMPUTED_VALUE"""),0.0)</f>
        <v>0</v>
      </c>
      <c r="I329" s="28">
        <f>IFERROR(__xludf.DUMMYFUNCTION("""COMPUTED_VALUE"""),0.0)</f>
        <v>0</v>
      </c>
      <c r="J329" s="28">
        <f>IFERROR(__xludf.DUMMYFUNCTION("""COMPUTED_VALUE"""),0.0)</f>
        <v>0</v>
      </c>
      <c r="K329" s="28">
        <f>IFERROR(__xludf.DUMMYFUNCTION("""COMPUTED_VALUE"""),0.0)</f>
        <v>0</v>
      </c>
      <c r="L329" s="28">
        <f>IFERROR(__xludf.DUMMYFUNCTION("""COMPUTED_VALUE"""),0.0)</f>
        <v>0</v>
      </c>
      <c r="M329" s="28">
        <f>IFERROR(__xludf.DUMMYFUNCTION("""COMPUTED_VALUE"""),0.0)</f>
        <v>0</v>
      </c>
      <c r="N329" s="28">
        <f>IFERROR(__xludf.DUMMYFUNCTION("""COMPUTED_VALUE"""),0.0)</f>
        <v>0</v>
      </c>
    </row>
    <row r="330">
      <c r="A330" s="26">
        <f>IFERROR(__xludf.DUMMYFUNCTION("""COMPUTED_VALUE"""),45445.0)</f>
        <v>45445</v>
      </c>
      <c r="B330" s="27">
        <f>IFERROR(__xludf.DUMMYFUNCTION("""COMPUTED_VALUE"""),0.0)</f>
        <v>0</v>
      </c>
      <c r="C330" s="28">
        <f>IFERROR(__xludf.DUMMYFUNCTION("""COMPUTED_VALUE"""),0.0)</f>
        <v>0</v>
      </c>
      <c r="D330" s="28">
        <f>IFERROR(__xludf.DUMMYFUNCTION("""COMPUTED_VALUE"""),0.0)</f>
        <v>0</v>
      </c>
      <c r="E330" s="28">
        <f>IFERROR(__xludf.DUMMYFUNCTION("""COMPUTED_VALUE"""),0.0)</f>
        <v>0</v>
      </c>
      <c r="F330" s="28">
        <f>IFERROR(__xludf.DUMMYFUNCTION("""COMPUTED_VALUE"""),0.0)</f>
        <v>0</v>
      </c>
      <c r="G330" s="28">
        <f>IFERROR(__xludf.DUMMYFUNCTION("""COMPUTED_VALUE"""),0.0)</f>
        <v>0</v>
      </c>
      <c r="H330" s="28">
        <f>IFERROR(__xludf.DUMMYFUNCTION("""COMPUTED_VALUE"""),0.0)</f>
        <v>0</v>
      </c>
      <c r="I330" s="28">
        <f>IFERROR(__xludf.DUMMYFUNCTION("""COMPUTED_VALUE"""),0.0)</f>
        <v>0</v>
      </c>
      <c r="J330" s="28">
        <f>IFERROR(__xludf.DUMMYFUNCTION("""COMPUTED_VALUE"""),0.0)</f>
        <v>0</v>
      </c>
      <c r="K330" s="28">
        <f>IFERROR(__xludf.DUMMYFUNCTION("""COMPUTED_VALUE"""),0.0)</f>
        <v>0</v>
      </c>
      <c r="L330" s="28">
        <f>IFERROR(__xludf.DUMMYFUNCTION("""COMPUTED_VALUE"""),0.0)</f>
        <v>0</v>
      </c>
      <c r="M330" s="28">
        <f>IFERROR(__xludf.DUMMYFUNCTION("""COMPUTED_VALUE"""),0.0)</f>
        <v>0</v>
      </c>
      <c r="N330" s="28">
        <f>IFERROR(__xludf.DUMMYFUNCTION("""COMPUTED_VALUE"""),0.0)</f>
        <v>0</v>
      </c>
    </row>
    <row r="331">
      <c r="A331" s="26">
        <f>IFERROR(__xludf.DUMMYFUNCTION("""COMPUTED_VALUE"""),45446.0)</f>
        <v>45446</v>
      </c>
      <c r="B331" s="27">
        <f>IFERROR(__xludf.DUMMYFUNCTION("""COMPUTED_VALUE"""),6.0)</f>
        <v>6</v>
      </c>
      <c r="C331" s="28">
        <f>IFERROR(__xludf.DUMMYFUNCTION("""COMPUTED_VALUE"""),22.0)</f>
        <v>22</v>
      </c>
      <c r="D331" s="28">
        <f>IFERROR(__xludf.DUMMYFUNCTION("""COMPUTED_VALUE"""),4.0)</f>
        <v>4</v>
      </c>
      <c r="E331" s="28">
        <f>IFERROR(__xludf.DUMMYFUNCTION("""COMPUTED_VALUE"""),334.0)</f>
        <v>334</v>
      </c>
      <c r="F331" s="28">
        <f>IFERROR(__xludf.DUMMYFUNCTION("""COMPUTED_VALUE"""),56.0)</f>
        <v>56</v>
      </c>
      <c r="G331" s="28">
        <f>IFERROR(__xludf.DUMMYFUNCTION("""COMPUTED_VALUE"""),4.0)</f>
        <v>4</v>
      </c>
      <c r="H331" s="28">
        <f>IFERROR(__xludf.DUMMYFUNCTION("""COMPUTED_VALUE"""),0.0)</f>
        <v>0</v>
      </c>
      <c r="I331" s="28">
        <f>IFERROR(__xludf.DUMMYFUNCTION("""COMPUTED_VALUE"""),1.0)</f>
        <v>1</v>
      </c>
      <c r="J331" s="28">
        <f>IFERROR(__xludf.DUMMYFUNCTION("""COMPUTED_VALUE"""),2.0)</f>
        <v>2</v>
      </c>
      <c r="K331" s="28">
        <f>IFERROR(__xludf.DUMMYFUNCTION("""COMPUTED_VALUE"""),4.0)</f>
        <v>4</v>
      </c>
      <c r="L331" s="28">
        <f>IFERROR(__xludf.DUMMYFUNCTION("""COMPUTED_VALUE"""),1.0)</f>
        <v>1</v>
      </c>
      <c r="M331" s="28">
        <f>IFERROR(__xludf.DUMMYFUNCTION("""COMPUTED_VALUE"""),1.0)</f>
        <v>1</v>
      </c>
      <c r="N331" s="28">
        <f>IFERROR(__xludf.DUMMYFUNCTION("""COMPUTED_VALUE"""),2.0)</f>
        <v>2</v>
      </c>
    </row>
    <row r="332">
      <c r="A332" s="26">
        <f>IFERROR(__xludf.DUMMYFUNCTION("""COMPUTED_VALUE"""),45447.0)</f>
        <v>45447</v>
      </c>
      <c r="B332" s="27">
        <f>IFERROR(__xludf.DUMMYFUNCTION("""COMPUTED_VALUE"""),14.0)</f>
        <v>14</v>
      </c>
      <c r="C332" s="28">
        <f>IFERROR(__xludf.DUMMYFUNCTION("""COMPUTED_VALUE"""),43.0)</f>
        <v>43</v>
      </c>
      <c r="D332" s="28">
        <f>IFERROR(__xludf.DUMMYFUNCTION("""COMPUTED_VALUE"""),3.0)</f>
        <v>3</v>
      </c>
      <c r="E332" s="28">
        <f>IFERROR(__xludf.DUMMYFUNCTION("""COMPUTED_VALUE"""),678.0)</f>
        <v>678</v>
      </c>
      <c r="F332" s="28">
        <f>IFERROR(__xludf.DUMMYFUNCTION("""COMPUTED_VALUE"""),48.0)</f>
        <v>48</v>
      </c>
      <c r="G332" s="28">
        <f>IFERROR(__xludf.DUMMYFUNCTION("""COMPUTED_VALUE"""),7.0)</f>
        <v>7</v>
      </c>
      <c r="H332" s="28">
        <f>IFERROR(__xludf.DUMMYFUNCTION("""COMPUTED_VALUE"""),0.0)</f>
        <v>0</v>
      </c>
      <c r="I332" s="28">
        <f>IFERROR(__xludf.DUMMYFUNCTION("""COMPUTED_VALUE"""),7.0)</f>
        <v>7</v>
      </c>
      <c r="J332" s="28">
        <f>IFERROR(__xludf.DUMMYFUNCTION("""COMPUTED_VALUE"""),1.0)</f>
        <v>1</v>
      </c>
      <c r="K332" s="28">
        <f>IFERROR(__xludf.DUMMYFUNCTION("""COMPUTED_VALUE"""),9.0)</f>
        <v>9</v>
      </c>
      <c r="L332" s="28">
        <f>IFERROR(__xludf.DUMMYFUNCTION("""COMPUTED_VALUE"""),5.0)</f>
        <v>5</v>
      </c>
      <c r="M332" s="28">
        <f>IFERROR(__xludf.DUMMYFUNCTION("""COMPUTED_VALUE"""),0.0)</f>
        <v>0</v>
      </c>
      <c r="N332" s="28">
        <f>IFERROR(__xludf.DUMMYFUNCTION("""COMPUTED_VALUE"""),9.0)</f>
        <v>9</v>
      </c>
    </row>
    <row r="333">
      <c r="A333" s="26">
        <f>IFERROR(__xludf.DUMMYFUNCTION("""COMPUTED_VALUE"""),45448.0)</f>
        <v>45448</v>
      </c>
      <c r="B333" s="27">
        <f>IFERROR(__xludf.DUMMYFUNCTION("""COMPUTED_VALUE"""),8.0)</f>
        <v>8</v>
      </c>
      <c r="C333" s="28">
        <f>IFERROR(__xludf.DUMMYFUNCTION("""COMPUTED_VALUE"""),27.0)</f>
        <v>27</v>
      </c>
      <c r="D333" s="28">
        <f>IFERROR(__xludf.DUMMYFUNCTION("""COMPUTED_VALUE"""),3.0)</f>
        <v>3</v>
      </c>
      <c r="E333" s="28">
        <f>IFERROR(__xludf.DUMMYFUNCTION("""COMPUTED_VALUE"""),491.0)</f>
        <v>491</v>
      </c>
      <c r="F333" s="28">
        <f>IFERROR(__xludf.DUMMYFUNCTION("""COMPUTED_VALUE"""),61.0)</f>
        <v>61</v>
      </c>
      <c r="G333" s="28">
        <f>IFERROR(__xludf.DUMMYFUNCTION("""COMPUTED_VALUE"""),8.0)</f>
        <v>8</v>
      </c>
      <c r="H333" s="28">
        <f>IFERROR(__xludf.DUMMYFUNCTION("""COMPUTED_VALUE"""),0.0)</f>
        <v>0</v>
      </c>
      <c r="I333" s="28">
        <f>IFERROR(__xludf.DUMMYFUNCTION("""COMPUTED_VALUE"""),0.0)</f>
        <v>0</v>
      </c>
      <c r="J333" s="28">
        <f>IFERROR(__xludf.DUMMYFUNCTION("""COMPUTED_VALUE"""),4.0)</f>
        <v>4</v>
      </c>
      <c r="K333" s="28">
        <f>IFERROR(__xludf.DUMMYFUNCTION("""COMPUTED_VALUE"""),5.0)</f>
        <v>5</v>
      </c>
      <c r="L333" s="28">
        <f>IFERROR(__xludf.DUMMYFUNCTION("""COMPUTED_VALUE"""),2.0)</f>
        <v>2</v>
      </c>
      <c r="M333" s="28">
        <f>IFERROR(__xludf.DUMMYFUNCTION("""COMPUTED_VALUE"""),0.0)</f>
        <v>0</v>
      </c>
      <c r="N333" s="28">
        <f>IFERROR(__xludf.DUMMYFUNCTION("""COMPUTED_VALUE"""),5.0)</f>
        <v>5</v>
      </c>
    </row>
    <row r="334">
      <c r="A334" s="26">
        <f>IFERROR(__xludf.DUMMYFUNCTION("""COMPUTED_VALUE"""),45449.0)</f>
        <v>45449</v>
      </c>
      <c r="B334" s="27">
        <f>IFERROR(__xludf.DUMMYFUNCTION("""COMPUTED_VALUE"""),6.0)</f>
        <v>6</v>
      </c>
      <c r="C334" s="28">
        <f>IFERROR(__xludf.DUMMYFUNCTION("""COMPUTED_VALUE"""),20.0)</f>
        <v>20</v>
      </c>
      <c r="D334" s="28">
        <f>IFERROR(__xludf.DUMMYFUNCTION("""COMPUTED_VALUE"""),3.0)</f>
        <v>3</v>
      </c>
      <c r="E334" s="28">
        <f>IFERROR(__xludf.DUMMYFUNCTION("""COMPUTED_VALUE"""),392.0)</f>
        <v>392</v>
      </c>
      <c r="F334" s="28">
        <f>IFERROR(__xludf.DUMMYFUNCTION("""COMPUTED_VALUE"""),65.0)</f>
        <v>65</v>
      </c>
      <c r="G334" s="28">
        <f>IFERROR(__xludf.DUMMYFUNCTION("""COMPUTED_VALUE"""),5.0)</f>
        <v>5</v>
      </c>
      <c r="H334" s="28">
        <f>IFERROR(__xludf.DUMMYFUNCTION("""COMPUTED_VALUE"""),0.0)</f>
        <v>0</v>
      </c>
      <c r="I334" s="28">
        <f>IFERROR(__xludf.DUMMYFUNCTION("""COMPUTED_VALUE"""),1.0)</f>
        <v>1</v>
      </c>
      <c r="J334" s="28">
        <f>IFERROR(__xludf.DUMMYFUNCTION("""COMPUTED_VALUE"""),1.0)</f>
        <v>1</v>
      </c>
      <c r="K334" s="28">
        <f>IFERROR(__xludf.DUMMYFUNCTION("""COMPUTED_VALUE"""),6.0)</f>
        <v>6</v>
      </c>
      <c r="L334" s="28">
        <f>IFERROR(__xludf.DUMMYFUNCTION("""COMPUTED_VALUE"""),1.0)</f>
        <v>1</v>
      </c>
      <c r="M334" s="28">
        <f>IFERROR(__xludf.DUMMYFUNCTION("""COMPUTED_VALUE"""),0.0)</f>
        <v>0</v>
      </c>
      <c r="N334" s="28">
        <f>IFERROR(__xludf.DUMMYFUNCTION("""COMPUTED_VALUE"""),6.0)</f>
        <v>6</v>
      </c>
    </row>
    <row r="335">
      <c r="A335" s="26">
        <f>IFERROR(__xludf.DUMMYFUNCTION("""COMPUTED_VALUE"""),45450.0)</f>
        <v>45450</v>
      </c>
      <c r="B335" s="27">
        <f>IFERROR(__xludf.DUMMYFUNCTION("""COMPUTED_VALUE"""),5.0)</f>
        <v>5</v>
      </c>
      <c r="C335" s="28">
        <f>IFERROR(__xludf.DUMMYFUNCTION("""COMPUTED_VALUE"""),23.0)</f>
        <v>23</v>
      </c>
      <c r="D335" s="28">
        <f>IFERROR(__xludf.DUMMYFUNCTION("""COMPUTED_VALUE"""),5.0)</f>
        <v>5</v>
      </c>
      <c r="E335" s="28">
        <f>IFERROR(__xludf.DUMMYFUNCTION("""COMPUTED_VALUE"""),468.0)</f>
        <v>468</v>
      </c>
      <c r="F335" s="28">
        <f>IFERROR(__xludf.DUMMYFUNCTION("""COMPUTED_VALUE"""),94.0)</f>
        <v>94</v>
      </c>
      <c r="G335" s="28">
        <f>IFERROR(__xludf.DUMMYFUNCTION("""COMPUTED_VALUE"""),3.0)</f>
        <v>3</v>
      </c>
      <c r="H335" s="28">
        <f>IFERROR(__xludf.DUMMYFUNCTION("""COMPUTED_VALUE"""),0.0)</f>
        <v>0</v>
      </c>
      <c r="I335" s="28">
        <f>IFERROR(__xludf.DUMMYFUNCTION("""COMPUTED_VALUE"""),2.0)</f>
        <v>2</v>
      </c>
      <c r="J335" s="28">
        <f>IFERROR(__xludf.DUMMYFUNCTION("""COMPUTED_VALUE"""),3.0)</f>
        <v>3</v>
      </c>
      <c r="K335" s="28">
        <f>IFERROR(__xludf.DUMMYFUNCTION("""COMPUTED_VALUE"""),4.0)</f>
        <v>4</v>
      </c>
      <c r="L335" s="28">
        <f>IFERROR(__xludf.DUMMYFUNCTION("""COMPUTED_VALUE"""),4.0)</f>
        <v>4</v>
      </c>
      <c r="M335" s="28">
        <f>IFERROR(__xludf.DUMMYFUNCTION("""COMPUTED_VALUE"""),0.0)</f>
        <v>0</v>
      </c>
      <c r="N335" s="28">
        <f>IFERROR(__xludf.DUMMYFUNCTION("""COMPUTED_VALUE"""),4.0)</f>
        <v>4</v>
      </c>
    </row>
    <row r="336">
      <c r="A336" s="26">
        <f>IFERROR(__xludf.DUMMYFUNCTION("""COMPUTED_VALUE"""),45451.0)</f>
        <v>45451</v>
      </c>
      <c r="B336" s="27">
        <f>IFERROR(__xludf.DUMMYFUNCTION("""COMPUTED_VALUE"""),4.0)</f>
        <v>4</v>
      </c>
      <c r="C336" s="28">
        <f>IFERROR(__xludf.DUMMYFUNCTION("""COMPUTED_VALUE"""),13.0)</f>
        <v>13</v>
      </c>
      <c r="D336" s="28">
        <f>IFERROR(__xludf.DUMMYFUNCTION("""COMPUTED_VALUE"""),3.0)</f>
        <v>3</v>
      </c>
      <c r="E336" s="28">
        <f>IFERROR(__xludf.DUMMYFUNCTION("""COMPUTED_VALUE"""),213.0)</f>
        <v>213</v>
      </c>
      <c r="F336" s="28">
        <f>IFERROR(__xludf.DUMMYFUNCTION("""COMPUTED_VALUE"""),53.0)</f>
        <v>53</v>
      </c>
      <c r="G336" s="28">
        <f>IFERROR(__xludf.DUMMYFUNCTION("""COMPUTED_VALUE"""),2.0)</f>
        <v>2</v>
      </c>
      <c r="H336" s="28">
        <f>IFERROR(__xludf.DUMMYFUNCTION("""COMPUTED_VALUE"""),0.0)</f>
        <v>0</v>
      </c>
      <c r="I336" s="28">
        <f>IFERROR(__xludf.DUMMYFUNCTION("""COMPUTED_VALUE"""),1.0)</f>
        <v>1</v>
      </c>
      <c r="J336" s="28">
        <f>IFERROR(__xludf.DUMMYFUNCTION("""COMPUTED_VALUE"""),1.0)</f>
        <v>1</v>
      </c>
      <c r="K336" s="28">
        <f>IFERROR(__xludf.DUMMYFUNCTION("""COMPUTED_VALUE"""),3.0)</f>
        <v>3</v>
      </c>
      <c r="L336" s="28">
        <f>IFERROR(__xludf.DUMMYFUNCTION("""COMPUTED_VALUE"""),0.0)</f>
        <v>0</v>
      </c>
      <c r="M336" s="28">
        <f>IFERROR(__xludf.DUMMYFUNCTION("""COMPUTED_VALUE"""),0.0)</f>
        <v>0</v>
      </c>
      <c r="N336" s="28">
        <f>IFERROR(__xludf.DUMMYFUNCTION("""COMPUTED_VALUE"""),3.0)</f>
        <v>3</v>
      </c>
    </row>
    <row r="337">
      <c r="A337" s="26">
        <f>IFERROR(__xludf.DUMMYFUNCTION("""COMPUTED_VALUE"""),45452.0)</f>
        <v>45452</v>
      </c>
      <c r="B337" s="27">
        <f>IFERROR(__xludf.DUMMYFUNCTION("""COMPUTED_VALUE"""),0.0)</f>
        <v>0</v>
      </c>
      <c r="C337" s="28">
        <f>IFERROR(__xludf.DUMMYFUNCTION("""COMPUTED_VALUE"""),0.0)</f>
        <v>0</v>
      </c>
      <c r="D337" s="28">
        <f>IFERROR(__xludf.DUMMYFUNCTION("""COMPUTED_VALUE"""),0.0)</f>
        <v>0</v>
      </c>
      <c r="E337" s="28">
        <f>IFERROR(__xludf.DUMMYFUNCTION("""COMPUTED_VALUE"""),0.0)</f>
        <v>0</v>
      </c>
      <c r="F337" s="28">
        <f>IFERROR(__xludf.DUMMYFUNCTION("""COMPUTED_VALUE"""),0.0)</f>
        <v>0</v>
      </c>
      <c r="G337" s="28">
        <f>IFERROR(__xludf.DUMMYFUNCTION("""COMPUTED_VALUE"""),0.0)</f>
        <v>0</v>
      </c>
      <c r="H337" s="28">
        <f>IFERROR(__xludf.DUMMYFUNCTION("""COMPUTED_VALUE"""),0.0)</f>
        <v>0</v>
      </c>
      <c r="I337" s="28">
        <f>IFERROR(__xludf.DUMMYFUNCTION("""COMPUTED_VALUE"""),0.0)</f>
        <v>0</v>
      </c>
      <c r="J337" s="28">
        <f>IFERROR(__xludf.DUMMYFUNCTION("""COMPUTED_VALUE"""),0.0)</f>
        <v>0</v>
      </c>
      <c r="K337" s="28">
        <f>IFERROR(__xludf.DUMMYFUNCTION("""COMPUTED_VALUE"""),0.0)</f>
        <v>0</v>
      </c>
      <c r="L337" s="28">
        <f>IFERROR(__xludf.DUMMYFUNCTION("""COMPUTED_VALUE"""),0.0)</f>
        <v>0</v>
      </c>
      <c r="M337" s="28">
        <f>IFERROR(__xludf.DUMMYFUNCTION("""COMPUTED_VALUE"""),0.0)</f>
        <v>0</v>
      </c>
      <c r="N337" s="28">
        <f>IFERROR(__xludf.DUMMYFUNCTION("""COMPUTED_VALUE"""),0.0)</f>
        <v>0</v>
      </c>
    </row>
    <row r="338">
      <c r="A338" s="26">
        <f>IFERROR(__xludf.DUMMYFUNCTION("""COMPUTED_VALUE"""),45453.0)</f>
        <v>45453</v>
      </c>
      <c r="B338" s="27">
        <f>IFERROR(__xludf.DUMMYFUNCTION("""COMPUTED_VALUE"""),14.0)</f>
        <v>14</v>
      </c>
      <c r="C338" s="28">
        <f>IFERROR(__xludf.DUMMYFUNCTION("""COMPUTED_VALUE"""),61.0)</f>
        <v>61</v>
      </c>
      <c r="D338" s="28">
        <f>IFERROR(__xludf.DUMMYFUNCTION("""COMPUTED_VALUE"""),4.0)</f>
        <v>4</v>
      </c>
      <c r="E338" s="28">
        <f>IFERROR(__xludf.DUMMYFUNCTION("""COMPUTED_VALUE"""),1101.0)</f>
        <v>1101</v>
      </c>
      <c r="F338" s="28">
        <f>IFERROR(__xludf.DUMMYFUNCTION("""COMPUTED_VALUE"""),79.0)</f>
        <v>79</v>
      </c>
      <c r="G338" s="28">
        <f>IFERROR(__xludf.DUMMYFUNCTION("""COMPUTED_VALUE"""),9.0)</f>
        <v>9</v>
      </c>
      <c r="H338" s="28">
        <f>IFERROR(__xludf.DUMMYFUNCTION("""COMPUTED_VALUE"""),0.0)</f>
        <v>0</v>
      </c>
      <c r="I338" s="28">
        <f>IFERROR(__xludf.DUMMYFUNCTION("""COMPUTED_VALUE"""),5.0)</f>
        <v>5</v>
      </c>
      <c r="J338" s="28">
        <f>IFERROR(__xludf.DUMMYFUNCTION("""COMPUTED_VALUE"""),10.0)</f>
        <v>10</v>
      </c>
      <c r="K338" s="28">
        <f>IFERROR(__xludf.DUMMYFUNCTION("""COMPUTED_VALUE"""),10.0)</f>
        <v>10</v>
      </c>
      <c r="L338" s="28">
        <f>IFERROR(__xludf.DUMMYFUNCTION("""COMPUTED_VALUE"""),8.0)</f>
        <v>8</v>
      </c>
      <c r="M338" s="28">
        <f>IFERROR(__xludf.DUMMYFUNCTION("""COMPUTED_VALUE"""),0.0)</f>
        <v>0</v>
      </c>
      <c r="N338" s="28">
        <f>IFERROR(__xludf.DUMMYFUNCTION("""COMPUTED_VALUE"""),10.0)</f>
        <v>10</v>
      </c>
    </row>
    <row r="339">
      <c r="A339" s="26">
        <f>IFERROR(__xludf.DUMMYFUNCTION("""COMPUTED_VALUE"""),45454.0)</f>
        <v>45454</v>
      </c>
      <c r="B339" s="27">
        <f>IFERROR(__xludf.DUMMYFUNCTION("""COMPUTED_VALUE"""),10.0)</f>
        <v>10</v>
      </c>
      <c r="C339" s="28">
        <f>IFERROR(__xludf.DUMMYFUNCTION("""COMPUTED_VALUE"""),31.0)</f>
        <v>31</v>
      </c>
      <c r="D339" s="28">
        <f>IFERROR(__xludf.DUMMYFUNCTION("""COMPUTED_VALUE"""),3.0)</f>
        <v>3</v>
      </c>
      <c r="E339" s="28">
        <f>IFERROR(__xludf.DUMMYFUNCTION("""COMPUTED_VALUE"""),521.0)</f>
        <v>521</v>
      </c>
      <c r="F339" s="28">
        <f>IFERROR(__xludf.DUMMYFUNCTION("""COMPUTED_VALUE"""),52.0)</f>
        <v>52</v>
      </c>
      <c r="G339" s="28">
        <f>IFERROR(__xludf.DUMMYFUNCTION("""COMPUTED_VALUE"""),9.0)</f>
        <v>9</v>
      </c>
      <c r="H339" s="28">
        <f>IFERROR(__xludf.DUMMYFUNCTION("""COMPUTED_VALUE"""),0.0)</f>
        <v>0</v>
      </c>
      <c r="I339" s="28">
        <f>IFERROR(__xludf.DUMMYFUNCTION("""COMPUTED_VALUE"""),1.0)</f>
        <v>1</v>
      </c>
      <c r="J339" s="28">
        <f>IFERROR(__xludf.DUMMYFUNCTION("""COMPUTED_VALUE"""),5.0)</f>
        <v>5</v>
      </c>
      <c r="K339" s="28">
        <f>IFERROR(__xludf.DUMMYFUNCTION("""COMPUTED_VALUE"""),5.0)</f>
        <v>5</v>
      </c>
      <c r="L339" s="28">
        <f>IFERROR(__xludf.DUMMYFUNCTION("""COMPUTED_VALUE"""),2.0)</f>
        <v>2</v>
      </c>
      <c r="M339" s="28">
        <f>IFERROR(__xludf.DUMMYFUNCTION("""COMPUTED_VALUE"""),0.0)</f>
        <v>0</v>
      </c>
      <c r="N339" s="28">
        <f>IFERROR(__xludf.DUMMYFUNCTION("""COMPUTED_VALUE"""),5.0)</f>
        <v>5</v>
      </c>
    </row>
    <row r="340">
      <c r="A340" s="26">
        <f>IFERROR(__xludf.DUMMYFUNCTION("""COMPUTED_VALUE"""),45455.0)</f>
        <v>45455</v>
      </c>
      <c r="B340" s="27">
        <f>IFERROR(__xludf.DUMMYFUNCTION("""COMPUTED_VALUE"""),14.0)</f>
        <v>14</v>
      </c>
      <c r="C340" s="28">
        <f>IFERROR(__xludf.DUMMYFUNCTION("""COMPUTED_VALUE"""),59.0)</f>
        <v>59</v>
      </c>
      <c r="D340" s="28">
        <f>IFERROR(__xludf.DUMMYFUNCTION("""COMPUTED_VALUE"""),4.0)</f>
        <v>4</v>
      </c>
      <c r="E340" s="28">
        <f>IFERROR(__xludf.DUMMYFUNCTION("""COMPUTED_VALUE"""),1024.0)</f>
        <v>1024</v>
      </c>
      <c r="F340" s="28">
        <f>IFERROR(__xludf.DUMMYFUNCTION("""COMPUTED_VALUE"""),73.0)</f>
        <v>73</v>
      </c>
      <c r="G340" s="28">
        <f>IFERROR(__xludf.DUMMYFUNCTION("""COMPUTED_VALUE"""),12.0)</f>
        <v>12</v>
      </c>
      <c r="H340" s="28">
        <f>IFERROR(__xludf.DUMMYFUNCTION("""COMPUTED_VALUE"""),0.0)</f>
        <v>0</v>
      </c>
      <c r="I340" s="28">
        <f>IFERROR(__xludf.DUMMYFUNCTION("""COMPUTED_VALUE"""),1.0)</f>
        <v>1</v>
      </c>
      <c r="J340" s="28">
        <f>IFERROR(__xludf.DUMMYFUNCTION("""COMPUTED_VALUE"""),11.0)</f>
        <v>11</v>
      </c>
      <c r="K340" s="28">
        <f>IFERROR(__xludf.DUMMYFUNCTION("""COMPUTED_VALUE"""),9.0)</f>
        <v>9</v>
      </c>
      <c r="L340" s="28">
        <f>IFERROR(__xludf.DUMMYFUNCTION("""COMPUTED_VALUE"""),6.0)</f>
        <v>6</v>
      </c>
      <c r="M340" s="28">
        <f>IFERROR(__xludf.DUMMYFUNCTION("""COMPUTED_VALUE"""),0.0)</f>
        <v>0</v>
      </c>
      <c r="N340" s="28">
        <f>IFERROR(__xludf.DUMMYFUNCTION("""COMPUTED_VALUE"""),8.0)</f>
        <v>8</v>
      </c>
    </row>
    <row r="341">
      <c r="A341" s="26">
        <f>IFERROR(__xludf.DUMMYFUNCTION("""COMPUTED_VALUE"""),45456.0)</f>
        <v>45456</v>
      </c>
      <c r="B341" s="27">
        <f>IFERROR(__xludf.DUMMYFUNCTION("""COMPUTED_VALUE"""),9.0)</f>
        <v>9</v>
      </c>
      <c r="C341" s="28">
        <f>IFERROR(__xludf.DUMMYFUNCTION("""COMPUTED_VALUE"""),43.0)</f>
        <v>43</v>
      </c>
      <c r="D341" s="28">
        <f>IFERROR(__xludf.DUMMYFUNCTION("""COMPUTED_VALUE"""),5.0)</f>
        <v>5</v>
      </c>
      <c r="E341" s="28">
        <f>IFERROR(__xludf.DUMMYFUNCTION("""COMPUTED_VALUE"""),807.0)</f>
        <v>807</v>
      </c>
      <c r="F341" s="28">
        <f>IFERROR(__xludf.DUMMYFUNCTION("""COMPUTED_VALUE"""),90.0)</f>
        <v>90</v>
      </c>
      <c r="G341" s="28">
        <f>IFERROR(__xludf.DUMMYFUNCTION("""COMPUTED_VALUE"""),5.0)</f>
        <v>5</v>
      </c>
      <c r="H341" s="28">
        <f>IFERROR(__xludf.DUMMYFUNCTION("""COMPUTED_VALUE"""),0.0)</f>
        <v>0</v>
      </c>
      <c r="I341" s="28">
        <f>IFERROR(__xludf.DUMMYFUNCTION("""COMPUTED_VALUE"""),4.0)</f>
        <v>4</v>
      </c>
      <c r="J341" s="28">
        <f>IFERROR(__xludf.DUMMYFUNCTION("""COMPUTED_VALUE"""),6.0)</f>
        <v>6</v>
      </c>
      <c r="K341" s="28">
        <f>IFERROR(__xludf.DUMMYFUNCTION("""COMPUTED_VALUE"""),5.0)</f>
        <v>5</v>
      </c>
      <c r="L341" s="28">
        <f>IFERROR(__xludf.DUMMYFUNCTION("""COMPUTED_VALUE"""),13.0)</f>
        <v>13</v>
      </c>
      <c r="M341" s="28">
        <f>IFERROR(__xludf.DUMMYFUNCTION("""COMPUTED_VALUE"""),0.0)</f>
        <v>0</v>
      </c>
      <c r="N341" s="28">
        <f>IFERROR(__xludf.DUMMYFUNCTION("""COMPUTED_VALUE"""),5.0)</f>
        <v>5</v>
      </c>
    </row>
    <row r="342">
      <c r="A342" s="26">
        <f>IFERROR(__xludf.DUMMYFUNCTION("""COMPUTED_VALUE"""),45457.0)</f>
        <v>45457</v>
      </c>
      <c r="B342" s="27">
        <f>IFERROR(__xludf.DUMMYFUNCTION("""COMPUTED_VALUE"""),25.0)</f>
        <v>25</v>
      </c>
      <c r="C342" s="28">
        <f>IFERROR(__xludf.DUMMYFUNCTION("""COMPUTED_VALUE"""),100.0)</f>
        <v>100</v>
      </c>
      <c r="D342" s="28">
        <f>IFERROR(__xludf.DUMMYFUNCTION("""COMPUTED_VALUE"""),4.0)</f>
        <v>4</v>
      </c>
      <c r="E342" s="28">
        <f>IFERROR(__xludf.DUMMYFUNCTION("""COMPUTED_VALUE"""),1569.0)</f>
        <v>1569</v>
      </c>
      <c r="F342" s="28">
        <f>IFERROR(__xludf.DUMMYFUNCTION("""COMPUTED_VALUE"""),63.0)</f>
        <v>63</v>
      </c>
      <c r="G342" s="28">
        <f>IFERROR(__xludf.DUMMYFUNCTION("""COMPUTED_VALUE"""),18.0)</f>
        <v>18</v>
      </c>
      <c r="H342" s="28">
        <f>IFERROR(__xludf.DUMMYFUNCTION("""COMPUTED_VALUE"""),0.0)</f>
        <v>0</v>
      </c>
      <c r="I342" s="28">
        <f>IFERROR(__xludf.DUMMYFUNCTION("""COMPUTED_VALUE"""),6.0)</f>
        <v>6</v>
      </c>
      <c r="J342" s="28">
        <f>IFERROR(__xludf.DUMMYFUNCTION("""COMPUTED_VALUE"""),15.0)</f>
        <v>15</v>
      </c>
      <c r="K342" s="28">
        <f>IFERROR(__xludf.DUMMYFUNCTION("""COMPUTED_VALUE"""),16.0)</f>
        <v>16</v>
      </c>
      <c r="L342" s="28">
        <f>IFERROR(__xludf.DUMMYFUNCTION("""COMPUTED_VALUE"""),7.0)</f>
        <v>7</v>
      </c>
      <c r="M342" s="28">
        <f>IFERROR(__xludf.DUMMYFUNCTION("""COMPUTED_VALUE"""),0.0)</f>
        <v>0</v>
      </c>
      <c r="N342" s="28">
        <f>IFERROR(__xludf.DUMMYFUNCTION("""COMPUTED_VALUE"""),12.0)</f>
        <v>12</v>
      </c>
    </row>
    <row r="343">
      <c r="A343" s="26">
        <f>IFERROR(__xludf.DUMMYFUNCTION("""COMPUTED_VALUE"""),45458.0)</f>
        <v>45458</v>
      </c>
      <c r="B343" s="27">
        <f>IFERROR(__xludf.DUMMYFUNCTION("""COMPUTED_VALUE"""),5.0)</f>
        <v>5</v>
      </c>
      <c r="C343" s="28">
        <f>IFERROR(__xludf.DUMMYFUNCTION("""COMPUTED_VALUE"""),16.0)</f>
        <v>16</v>
      </c>
      <c r="D343" s="28">
        <f>IFERROR(__xludf.DUMMYFUNCTION("""COMPUTED_VALUE"""),3.0)</f>
        <v>3</v>
      </c>
      <c r="E343" s="28">
        <f>IFERROR(__xludf.DUMMYFUNCTION("""COMPUTED_VALUE"""),246.0)</f>
        <v>246</v>
      </c>
      <c r="F343" s="28">
        <f>IFERROR(__xludf.DUMMYFUNCTION("""COMPUTED_VALUE"""),49.0)</f>
        <v>49</v>
      </c>
      <c r="G343" s="28">
        <f>IFERROR(__xludf.DUMMYFUNCTION("""COMPUTED_VALUE"""),2.0)</f>
        <v>2</v>
      </c>
      <c r="H343" s="28">
        <f>IFERROR(__xludf.DUMMYFUNCTION("""COMPUTED_VALUE"""),0.0)</f>
        <v>0</v>
      </c>
      <c r="I343" s="28">
        <f>IFERROR(__xludf.DUMMYFUNCTION("""COMPUTED_VALUE"""),3.0)</f>
        <v>3</v>
      </c>
      <c r="J343" s="28">
        <f>IFERROR(__xludf.DUMMYFUNCTION("""COMPUTED_VALUE"""),1.0)</f>
        <v>1</v>
      </c>
      <c r="K343" s="28">
        <f>IFERROR(__xludf.DUMMYFUNCTION("""COMPUTED_VALUE"""),4.0)</f>
        <v>4</v>
      </c>
      <c r="L343" s="28">
        <f>IFERROR(__xludf.DUMMYFUNCTION("""COMPUTED_VALUE"""),1.0)</f>
        <v>1</v>
      </c>
      <c r="M343" s="28">
        <f>IFERROR(__xludf.DUMMYFUNCTION("""COMPUTED_VALUE"""),0.0)</f>
        <v>0</v>
      </c>
      <c r="N343" s="28">
        <f>IFERROR(__xludf.DUMMYFUNCTION("""COMPUTED_VALUE"""),3.0)</f>
        <v>3</v>
      </c>
    </row>
    <row r="344">
      <c r="A344" s="26">
        <f>IFERROR(__xludf.DUMMYFUNCTION("""COMPUTED_VALUE"""),45459.0)</f>
        <v>45459</v>
      </c>
      <c r="B344" s="27">
        <f>IFERROR(__xludf.DUMMYFUNCTION("""COMPUTED_VALUE"""),0.0)</f>
        <v>0</v>
      </c>
      <c r="C344" s="28">
        <f>IFERROR(__xludf.DUMMYFUNCTION("""COMPUTED_VALUE"""),0.0)</f>
        <v>0</v>
      </c>
      <c r="D344" s="28">
        <f>IFERROR(__xludf.DUMMYFUNCTION("""COMPUTED_VALUE"""),0.0)</f>
        <v>0</v>
      </c>
      <c r="E344" s="28">
        <f>IFERROR(__xludf.DUMMYFUNCTION("""COMPUTED_VALUE"""),0.0)</f>
        <v>0</v>
      </c>
      <c r="F344" s="28">
        <f>IFERROR(__xludf.DUMMYFUNCTION("""COMPUTED_VALUE"""),0.0)</f>
        <v>0</v>
      </c>
      <c r="G344" s="28">
        <f>IFERROR(__xludf.DUMMYFUNCTION("""COMPUTED_VALUE"""),0.0)</f>
        <v>0</v>
      </c>
      <c r="H344" s="28">
        <f>IFERROR(__xludf.DUMMYFUNCTION("""COMPUTED_VALUE"""),0.0)</f>
        <v>0</v>
      </c>
      <c r="I344" s="28">
        <f>IFERROR(__xludf.DUMMYFUNCTION("""COMPUTED_VALUE"""),0.0)</f>
        <v>0</v>
      </c>
      <c r="J344" s="28">
        <f>IFERROR(__xludf.DUMMYFUNCTION("""COMPUTED_VALUE"""),0.0)</f>
        <v>0</v>
      </c>
      <c r="K344" s="28">
        <f>IFERROR(__xludf.DUMMYFUNCTION("""COMPUTED_VALUE"""),0.0)</f>
        <v>0</v>
      </c>
      <c r="L344" s="28">
        <f>IFERROR(__xludf.DUMMYFUNCTION("""COMPUTED_VALUE"""),0.0)</f>
        <v>0</v>
      </c>
      <c r="M344" s="28">
        <f>IFERROR(__xludf.DUMMYFUNCTION("""COMPUTED_VALUE"""),0.0)</f>
        <v>0</v>
      </c>
      <c r="N344" s="28">
        <f>IFERROR(__xludf.DUMMYFUNCTION("""COMPUTED_VALUE"""),0.0)</f>
        <v>0</v>
      </c>
    </row>
    <row r="345">
      <c r="A345" s="26">
        <f>IFERROR(__xludf.DUMMYFUNCTION("""COMPUTED_VALUE"""),45460.0)</f>
        <v>45460</v>
      </c>
      <c r="B345" s="27">
        <f>IFERROR(__xludf.DUMMYFUNCTION("""COMPUTED_VALUE"""),5.0)</f>
        <v>5</v>
      </c>
      <c r="C345" s="28">
        <f>IFERROR(__xludf.DUMMYFUNCTION("""COMPUTED_VALUE"""),31.0)</f>
        <v>31</v>
      </c>
      <c r="D345" s="28">
        <f>IFERROR(__xludf.DUMMYFUNCTION("""COMPUTED_VALUE"""),6.0)</f>
        <v>6</v>
      </c>
      <c r="E345" s="28">
        <f>IFERROR(__xludf.DUMMYFUNCTION("""COMPUTED_VALUE"""),783.0)</f>
        <v>783</v>
      </c>
      <c r="F345" s="28">
        <f>IFERROR(__xludf.DUMMYFUNCTION("""COMPUTED_VALUE"""),157.0)</f>
        <v>157</v>
      </c>
      <c r="G345" s="28">
        <f>IFERROR(__xludf.DUMMYFUNCTION("""COMPUTED_VALUE"""),4.0)</f>
        <v>4</v>
      </c>
      <c r="H345" s="28">
        <f>IFERROR(__xludf.DUMMYFUNCTION("""COMPUTED_VALUE"""),0.0)</f>
        <v>0</v>
      </c>
      <c r="I345" s="28">
        <f>IFERROR(__xludf.DUMMYFUNCTION("""COMPUTED_VALUE"""),1.0)</f>
        <v>1</v>
      </c>
      <c r="J345" s="28">
        <f>IFERROR(__xludf.DUMMYFUNCTION("""COMPUTED_VALUE"""),15.0)</f>
        <v>15</v>
      </c>
      <c r="K345" s="28">
        <f>IFERROR(__xludf.DUMMYFUNCTION("""COMPUTED_VALUE"""),2.0)</f>
        <v>2</v>
      </c>
      <c r="L345" s="28">
        <f>IFERROR(__xludf.DUMMYFUNCTION("""COMPUTED_VALUE"""),4.0)</f>
        <v>4</v>
      </c>
      <c r="M345" s="28">
        <f>IFERROR(__xludf.DUMMYFUNCTION("""COMPUTED_VALUE"""),0.0)</f>
        <v>0</v>
      </c>
      <c r="N345" s="28">
        <f>IFERROR(__xludf.DUMMYFUNCTION("""COMPUTED_VALUE"""),2.0)</f>
        <v>2</v>
      </c>
    </row>
    <row r="346">
      <c r="A346" s="26">
        <f>IFERROR(__xludf.DUMMYFUNCTION("""COMPUTED_VALUE"""),45461.0)</f>
        <v>45461</v>
      </c>
      <c r="B346" s="27">
        <f>IFERROR(__xludf.DUMMYFUNCTION("""COMPUTED_VALUE"""),16.0)</f>
        <v>16</v>
      </c>
      <c r="C346" s="28">
        <f>IFERROR(__xludf.DUMMYFUNCTION("""COMPUTED_VALUE"""),52.0)</f>
        <v>52</v>
      </c>
      <c r="D346" s="28">
        <f>IFERROR(__xludf.DUMMYFUNCTION("""COMPUTED_VALUE"""),3.0)</f>
        <v>3</v>
      </c>
      <c r="E346" s="28">
        <f>IFERROR(__xludf.DUMMYFUNCTION("""COMPUTED_VALUE"""),900.0)</f>
        <v>900</v>
      </c>
      <c r="F346" s="28">
        <f>IFERROR(__xludf.DUMMYFUNCTION("""COMPUTED_VALUE"""),56.0)</f>
        <v>56</v>
      </c>
      <c r="G346" s="28">
        <f>IFERROR(__xludf.DUMMYFUNCTION("""COMPUTED_VALUE"""),12.0)</f>
        <v>12</v>
      </c>
      <c r="H346" s="28">
        <f>IFERROR(__xludf.DUMMYFUNCTION("""COMPUTED_VALUE"""),0.0)</f>
        <v>0</v>
      </c>
      <c r="I346" s="28">
        <f>IFERROR(__xludf.DUMMYFUNCTION("""COMPUTED_VALUE"""),4.0)</f>
        <v>4</v>
      </c>
      <c r="J346" s="28">
        <f>IFERROR(__xludf.DUMMYFUNCTION("""COMPUTED_VALUE"""),7.0)</f>
        <v>7</v>
      </c>
      <c r="K346" s="28">
        <f>IFERROR(__xludf.DUMMYFUNCTION("""COMPUTED_VALUE"""),11.0)</f>
        <v>11</v>
      </c>
      <c r="L346" s="28">
        <f>IFERROR(__xludf.DUMMYFUNCTION("""COMPUTED_VALUE"""),2.0)</f>
        <v>2</v>
      </c>
      <c r="M346" s="28">
        <f>IFERROR(__xludf.DUMMYFUNCTION("""COMPUTED_VALUE"""),0.0)</f>
        <v>0</v>
      </c>
      <c r="N346" s="28">
        <f>IFERROR(__xludf.DUMMYFUNCTION("""COMPUTED_VALUE"""),10.0)</f>
        <v>10</v>
      </c>
    </row>
    <row r="347">
      <c r="A347" s="26">
        <f>IFERROR(__xludf.DUMMYFUNCTION("""COMPUTED_VALUE"""),45462.0)</f>
        <v>45462</v>
      </c>
      <c r="B347" s="27">
        <f>IFERROR(__xludf.DUMMYFUNCTION("""COMPUTED_VALUE"""),16.0)</f>
        <v>16</v>
      </c>
      <c r="C347" s="28">
        <f>IFERROR(__xludf.DUMMYFUNCTION("""COMPUTED_VALUE"""),59.0)</f>
        <v>59</v>
      </c>
      <c r="D347" s="28">
        <f>IFERROR(__xludf.DUMMYFUNCTION("""COMPUTED_VALUE"""),4.0)</f>
        <v>4</v>
      </c>
      <c r="E347" s="28">
        <f>IFERROR(__xludf.DUMMYFUNCTION("""COMPUTED_VALUE"""),1110.0)</f>
        <v>1110</v>
      </c>
      <c r="F347" s="28">
        <f>IFERROR(__xludf.DUMMYFUNCTION("""COMPUTED_VALUE"""),69.0)</f>
        <v>69</v>
      </c>
      <c r="G347" s="28">
        <f>IFERROR(__xludf.DUMMYFUNCTION("""COMPUTED_VALUE"""),12.0)</f>
        <v>12</v>
      </c>
      <c r="H347" s="28">
        <f>IFERROR(__xludf.DUMMYFUNCTION("""COMPUTED_VALUE"""),0.0)</f>
        <v>0</v>
      </c>
      <c r="I347" s="28">
        <f>IFERROR(__xludf.DUMMYFUNCTION("""COMPUTED_VALUE"""),3.0)</f>
        <v>3</v>
      </c>
      <c r="J347" s="28">
        <f>IFERROR(__xludf.DUMMYFUNCTION("""COMPUTED_VALUE"""),8.0)</f>
        <v>8</v>
      </c>
      <c r="K347" s="28">
        <f>IFERROR(__xludf.DUMMYFUNCTION("""COMPUTED_VALUE"""),12.0)</f>
        <v>12</v>
      </c>
      <c r="L347" s="28">
        <f>IFERROR(__xludf.DUMMYFUNCTION("""COMPUTED_VALUE"""),5.0)</f>
        <v>5</v>
      </c>
      <c r="M347" s="28">
        <f>IFERROR(__xludf.DUMMYFUNCTION("""COMPUTED_VALUE"""),2.0)</f>
        <v>2</v>
      </c>
      <c r="N347" s="28">
        <f>IFERROR(__xludf.DUMMYFUNCTION("""COMPUTED_VALUE"""),8.0)</f>
        <v>8</v>
      </c>
    </row>
    <row r="348">
      <c r="A348" s="26">
        <f>IFERROR(__xludf.DUMMYFUNCTION("""COMPUTED_VALUE"""),45463.0)</f>
        <v>45463</v>
      </c>
      <c r="B348" s="27">
        <f>IFERROR(__xludf.DUMMYFUNCTION("""COMPUTED_VALUE"""),16.0)</f>
        <v>16</v>
      </c>
      <c r="C348" s="28">
        <f>IFERROR(__xludf.DUMMYFUNCTION("""COMPUTED_VALUE"""),67.0)</f>
        <v>67</v>
      </c>
      <c r="D348" s="28">
        <f>IFERROR(__xludf.DUMMYFUNCTION("""COMPUTED_VALUE"""),4.0)</f>
        <v>4</v>
      </c>
      <c r="E348" s="28">
        <f>IFERROR(__xludf.DUMMYFUNCTION("""COMPUTED_VALUE"""),1294.0)</f>
        <v>1294</v>
      </c>
      <c r="F348" s="28">
        <f>IFERROR(__xludf.DUMMYFUNCTION("""COMPUTED_VALUE"""),81.0)</f>
        <v>81</v>
      </c>
      <c r="G348" s="28">
        <f>IFERROR(__xludf.DUMMYFUNCTION("""COMPUTED_VALUE"""),12.0)</f>
        <v>12</v>
      </c>
      <c r="H348" s="28">
        <f>IFERROR(__xludf.DUMMYFUNCTION("""COMPUTED_VALUE"""),0.0)</f>
        <v>0</v>
      </c>
      <c r="I348" s="28">
        <f>IFERROR(__xludf.DUMMYFUNCTION("""COMPUTED_VALUE"""),3.0)</f>
        <v>3</v>
      </c>
      <c r="J348" s="28">
        <f>IFERROR(__xludf.DUMMYFUNCTION("""COMPUTED_VALUE"""),13.0)</f>
        <v>13</v>
      </c>
      <c r="K348" s="28">
        <f>IFERROR(__xludf.DUMMYFUNCTION("""COMPUTED_VALUE"""),13.0)</f>
        <v>13</v>
      </c>
      <c r="L348" s="28">
        <f>IFERROR(__xludf.DUMMYFUNCTION("""COMPUTED_VALUE"""),5.0)</f>
        <v>5</v>
      </c>
      <c r="M348" s="28">
        <f>IFERROR(__xludf.DUMMYFUNCTION("""COMPUTED_VALUE"""),1.0)</f>
        <v>1</v>
      </c>
      <c r="N348" s="28">
        <f>IFERROR(__xludf.DUMMYFUNCTION("""COMPUTED_VALUE"""),10.0)</f>
        <v>10</v>
      </c>
    </row>
    <row r="349">
      <c r="A349" s="26">
        <f>IFERROR(__xludf.DUMMYFUNCTION("""COMPUTED_VALUE"""),45464.0)</f>
        <v>45464</v>
      </c>
      <c r="B349" s="27">
        <f>IFERROR(__xludf.DUMMYFUNCTION("""COMPUTED_VALUE"""),15.0)</f>
        <v>15</v>
      </c>
      <c r="C349" s="28">
        <f>IFERROR(__xludf.DUMMYFUNCTION("""COMPUTED_VALUE"""),61.0)</f>
        <v>61</v>
      </c>
      <c r="D349" s="28">
        <f>IFERROR(__xludf.DUMMYFUNCTION("""COMPUTED_VALUE"""),4.0)</f>
        <v>4</v>
      </c>
      <c r="E349" s="28">
        <f>IFERROR(__xludf.DUMMYFUNCTION("""COMPUTED_VALUE"""),1175.0)</f>
        <v>1175</v>
      </c>
      <c r="F349" s="28">
        <f>IFERROR(__xludf.DUMMYFUNCTION("""COMPUTED_VALUE"""),78.0)</f>
        <v>78</v>
      </c>
      <c r="G349" s="28">
        <f>IFERROR(__xludf.DUMMYFUNCTION("""COMPUTED_VALUE"""),15.0)</f>
        <v>15</v>
      </c>
      <c r="H349" s="28">
        <f>IFERROR(__xludf.DUMMYFUNCTION("""COMPUTED_VALUE"""),0.0)</f>
        <v>0</v>
      </c>
      <c r="I349" s="28">
        <f>IFERROR(__xludf.DUMMYFUNCTION("""COMPUTED_VALUE"""),0.0)</f>
        <v>0</v>
      </c>
      <c r="J349" s="28">
        <f>IFERROR(__xludf.DUMMYFUNCTION("""COMPUTED_VALUE"""),10.0)</f>
        <v>10</v>
      </c>
      <c r="K349" s="28">
        <f>IFERROR(__xludf.DUMMYFUNCTION("""COMPUTED_VALUE"""),11.0)</f>
        <v>11</v>
      </c>
      <c r="L349" s="28">
        <f>IFERROR(__xludf.DUMMYFUNCTION("""COMPUTED_VALUE"""),5.0)</f>
        <v>5</v>
      </c>
      <c r="M349" s="28">
        <f>IFERROR(__xludf.DUMMYFUNCTION("""COMPUTED_VALUE"""),2.0)</f>
        <v>2</v>
      </c>
      <c r="N349" s="28">
        <f>IFERROR(__xludf.DUMMYFUNCTION("""COMPUTED_VALUE"""),8.0)</f>
        <v>8</v>
      </c>
    </row>
    <row r="350">
      <c r="A350" s="26">
        <f>IFERROR(__xludf.DUMMYFUNCTION("""COMPUTED_VALUE"""),45465.0)</f>
        <v>45465</v>
      </c>
      <c r="B350" s="27">
        <f>IFERROR(__xludf.DUMMYFUNCTION("""COMPUTED_VALUE"""),10.0)</f>
        <v>10</v>
      </c>
      <c r="C350" s="28">
        <f>IFERROR(__xludf.DUMMYFUNCTION("""COMPUTED_VALUE"""),44.0)</f>
        <v>44</v>
      </c>
      <c r="D350" s="28">
        <f>IFERROR(__xludf.DUMMYFUNCTION("""COMPUTED_VALUE"""),4.0)</f>
        <v>4</v>
      </c>
      <c r="E350" s="28">
        <f>IFERROR(__xludf.DUMMYFUNCTION("""COMPUTED_VALUE"""),856.0)</f>
        <v>856</v>
      </c>
      <c r="F350" s="28">
        <f>IFERROR(__xludf.DUMMYFUNCTION("""COMPUTED_VALUE"""),86.0)</f>
        <v>86</v>
      </c>
      <c r="G350" s="28">
        <f>IFERROR(__xludf.DUMMYFUNCTION("""COMPUTED_VALUE"""),4.0)</f>
        <v>4</v>
      </c>
      <c r="H350" s="28">
        <f>IFERROR(__xludf.DUMMYFUNCTION("""COMPUTED_VALUE"""),0.0)</f>
        <v>0</v>
      </c>
      <c r="I350" s="28">
        <f>IFERROR(__xludf.DUMMYFUNCTION("""COMPUTED_VALUE"""),5.0)</f>
        <v>5</v>
      </c>
      <c r="J350" s="28">
        <f>IFERROR(__xludf.DUMMYFUNCTION("""COMPUTED_VALUE"""),18.0)</f>
        <v>18</v>
      </c>
      <c r="K350" s="28">
        <f>IFERROR(__xludf.DUMMYFUNCTION("""COMPUTED_VALUE"""),3.0)</f>
        <v>3</v>
      </c>
      <c r="L350" s="28">
        <f>IFERROR(__xludf.DUMMYFUNCTION("""COMPUTED_VALUE"""),2.0)</f>
        <v>2</v>
      </c>
      <c r="M350" s="28">
        <f>IFERROR(__xludf.DUMMYFUNCTION("""COMPUTED_VALUE"""),0.0)</f>
        <v>0</v>
      </c>
      <c r="N350" s="28">
        <f>IFERROR(__xludf.DUMMYFUNCTION("""COMPUTED_VALUE"""),3.0)</f>
        <v>3</v>
      </c>
    </row>
    <row r="351">
      <c r="A351" s="26">
        <f>IFERROR(__xludf.DUMMYFUNCTION("""COMPUTED_VALUE"""),45466.0)</f>
        <v>45466</v>
      </c>
      <c r="B351" s="27">
        <f>IFERROR(__xludf.DUMMYFUNCTION("""COMPUTED_VALUE"""),0.0)</f>
        <v>0</v>
      </c>
      <c r="C351" s="28">
        <f>IFERROR(__xludf.DUMMYFUNCTION("""COMPUTED_VALUE"""),0.0)</f>
        <v>0</v>
      </c>
      <c r="D351" s="28">
        <f>IFERROR(__xludf.DUMMYFUNCTION("""COMPUTED_VALUE"""),0.0)</f>
        <v>0</v>
      </c>
      <c r="E351" s="28">
        <f>IFERROR(__xludf.DUMMYFUNCTION("""COMPUTED_VALUE"""),0.0)</f>
        <v>0</v>
      </c>
      <c r="F351" s="28">
        <f>IFERROR(__xludf.DUMMYFUNCTION("""COMPUTED_VALUE"""),0.0)</f>
        <v>0</v>
      </c>
      <c r="G351" s="28">
        <f>IFERROR(__xludf.DUMMYFUNCTION("""COMPUTED_VALUE"""),0.0)</f>
        <v>0</v>
      </c>
      <c r="H351" s="28">
        <f>IFERROR(__xludf.DUMMYFUNCTION("""COMPUTED_VALUE"""),0.0)</f>
        <v>0</v>
      </c>
      <c r="I351" s="28">
        <f>IFERROR(__xludf.DUMMYFUNCTION("""COMPUTED_VALUE"""),0.0)</f>
        <v>0</v>
      </c>
      <c r="J351" s="28">
        <f>IFERROR(__xludf.DUMMYFUNCTION("""COMPUTED_VALUE"""),0.0)</f>
        <v>0</v>
      </c>
      <c r="K351" s="28">
        <f>IFERROR(__xludf.DUMMYFUNCTION("""COMPUTED_VALUE"""),0.0)</f>
        <v>0</v>
      </c>
      <c r="L351" s="28">
        <f>IFERROR(__xludf.DUMMYFUNCTION("""COMPUTED_VALUE"""),0.0)</f>
        <v>0</v>
      </c>
      <c r="M351" s="28">
        <f>IFERROR(__xludf.DUMMYFUNCTION("""COMPUTED_VALUE"""),0.0)</f>
        <v>0</v>
      </c>
      <c r="N351" s="28">
        <f>IFERROR(__xludf.DUMMYFUNCTION("""COMPUTED_VALUE"""),0.0)</f>
        <v>0</v>
      </c>
    </row>
    <row r="352">
      <c r="A352" s="26">
        <f>IFERROR(__xludf.DUMMYFUNCTION("""COMPUTED_VALUE"""),45467.0)</f>
        <v>45467</v>
      </c>
      <c r="B352" s="27">
        <f>IFERROR(__xludf.DUMMYFUNCTION("""COMPUTED_VALUE"""),15.0)</f>
        <v>15</v>
      </c>
      <c r="C352" s="28">
        <f>IFERROR(__xludf.DUMMYFUNCTION("""COMPUTED_VALUE"""),60.0)</f>
        <v>60</v>
      </c>
      <c r="D352" s="28">
        <f>IFERROR(__xludf.DUMMYFUNCTION("""COMPUTED_VALUE"""),4.0)</f>
        <v>4</v>
      </c>
      <c r="E352" s="28">
        <f>IFERROR(__xludf.DUMMYFUNCTION("""COMPUTED_VALUE"""),1022.0)</f>
        <v>1022</v>
      </c>
      <c r="F352" s="28">
        <f>IFERROR(__xludf.DUMMYFUNCTION("""COMPUTED_VALUE"""),68.0)</f>
        <v>68</v>
      </c>
      <c r="G352" s="28">
        <f>IFERROR(__xludf.DUMMYFUNCTION("""COMPUTED_VALUE"""),13.0)</f>
        <v>13</v>
      </c>
      <c r="H352" s="28">
        <f>IFERROR(__xludf.DUMMYFUNCTION("""COMPUTED_VALUE"""),0.0)</f>
        <v>0</v>
      </c>
      <c r="I352" s="28">
        <f>IFERROR(__xludf.DUMMYFUNCTION("""COMPUTED_VALUE"""),2.0)</f>
        <v>2</v>
      </c>
      <c r="J352" s="28">
        <f>IFERROR(__xludf.DUMMYFUNCTION("""COMPUTED_VALUE"""),6.0)</f>
        <v>6</v>
      </c>
      <c r="K352" s="28">
        <f>IFERROR(__xludf.DUMMYFUNCTION("""COMPUTED_VALUE"""),11.0)</f>
        <v>11</v>
      </c>
      <c r="L352" s="28">
        <f>IFERROR(__xludf.DUMMYFUNCTION("""COMPUTED_VALUE"""),9.0)</f>
        <v>9</v>
      </c>
      <c r="M352" s="28">
        <f>IFERROR(__xludf.DUMMYFUNCTION("""COMPUTED_VALUE"""),0.0)</f>
        <v>0</v>
      </c>
      <c r="N352" s="28">
        <f>IFERROR(__xludf.DUMMYFUNCTION("""COMPUTED_VALUE"""),10.0)</f>
        <v>10</v>
      </c>
    </row>
    <row r="353">
      <c r="A353" s="26"/>
      <c r="B353" s="27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</row>
    <row r="354">
      <c r="A354" s="26"/>
      <c r="B354" s="27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</row>
    <row r="355">
      <c r="A355" s="26"/>
      <c r="B355" s="27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</row>
    <row r="356">
      <c r="A356" s="26"/>
      <c r="B356" s="27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</row>
    <row r="357">
      <c r="A357" s="26"/>
      <c r="B357" s="27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</row>
    <row r="358">
      <c r="A358" s="26"/>
      <c r="B358" s="27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</row>
    <row r="359">
      <c r="A359" s="26"/>
      <c r="B359" s="27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</row>
    <row r="360">
      <c r="A360" s="26"/>
      <c r="B360" s="27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</row>
    <row r="361">
      <c r="A361" s="26"/>
      <c r="B361" s="27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</row>
    <row r="362">
      <c r="A362" s="26"/>
      <c r="B362" s="27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</row>
    <row r="363">
      <c r="A363" s="26"/>
      <c r="B363" s="27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</row>
    <row r="364">
      <c r="A364" s="26"/>
      <c r="B364" s="27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>
      <c r="A365" s="26"/>
      <c r="B365" s="27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</row>
    <row r="366">
      <c r="A366" s="26"/>
      <c r="B366" s="27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</row>
    <row r="367">
      <c r="A367" s="26"/>
      <c r="B367" s="27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</row>
    <row r="368">
      <c r="A368" s="26"/>
      <c r="B368" s="27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</row>
    <row r="369">
      <c r="A369" s="26"/>
      <c r="B369" s="27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</row>
    <row r="370">
      <c r="A370" s="26"/>
      <c r="B370" s="27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</row>
    <row r="371">
      <c r="A371" s="26"/>
      <c r="B371" s="27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</row>
    <row r="372">
      <c r="A372" s="26"/>
      <c r="B372" s="27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</row>
    <row r="373">
      <c r="A373" s="26"/>
      <c r="B373" s="27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</row>
    <row r="374">
      <c r="A374" s="26"/>
      <c r="B374" s="27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</row>
    <row r="375">
      <c r="A375" s="26"/>
      <c r="B375" s="27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</row>
    <row r="376">
      <c r="A376" s="26"/>
      <c r="B376" s="27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</row>
    <row r="377">
      <c r="A377" s="26"/>
      <c r="B377" s="27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</row>
    <row r="378">
      <c r="A378" s="26"/>
      <c r="B378" s="27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</row>
    <row r="379">
      <c r="A379" s="26"/>
      <c r="B379" s="27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</row>
    <row r="380">
      <c r="A380" s="26"/>
      <c r="B380" s="27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</row>
    <row r="381">
      <c r="A381" s="26"/>
      <c r="B381" s="27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</row>
    <row r="382">
      <c r="A382" s="26"/>
      <c r="B382" s="27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</row>
    <row r="383">
      <c r="A383" s="26"/>
      <c r="B383" s="27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</row>
    <row r="384">
      <c r="A384" s="26"/>
      <c r="B384" s="27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</row>
    <row r="385">
      <c r="A385" s="26"/>
      <c r="B385" s="27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</row>
    <row r="386">
      <c r="A386" s="26"/>
      <c r="B386" s="27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</row>
    <row r="387">
      <c r="A387" s="26"/>
      <c r="B387" s="27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</row>
    <row r="388">
      <c r="A388" s="26"/>
      <c r="B388" s="27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</row>
    <row r="389">
      <c r="A389" s="26"/>
      <c r="B389" s="27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</row>
    <row r="390">
      <c r="A390" s="26"/>
      <c r="B390" s="27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</row>
    <row r="391">
      <c r="A391" s="26"/>
      <c r="B391" s="27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</row>
    <row r="392">
      <c r="A392" s="26"/>
      <c r="B392" s="27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</row>
    <row r="393">
      <c r="A393" s="26"/>
      <c r="B393" s="27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</row>
    <row r="394">
      <c r="A394" s="26"/>
      <c r="B394" s="27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</row>
    <row r="395">
      <c r="A395" s="26"/>
      <c r="B395" s="27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</row>
    <row r="396">
      <c r="A396" s="26"/>
      <c r="B396" s="27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</row>
    <row r="397">
      <c r="A397" s="26"/>
      <c r="B397" s="27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</row>
    <row r="398">
      <c r="A398" s="26"/>
      <c r="B398" s="27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</row>
    <row r="399">
      <c r="A399" s="26"/>
      <c r="B399" s="27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</row>
    <row r="400">
      <c r="A400" s="26"/>
      <c r="B400" s="27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</row>
    <row r="401">
      <c r="A401" s="26"/>
      <c r="B401" s="27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</row>
    <row r="402">
      <c r="A402" s="26"/>
      <c r="B402" s="27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</row>
    <row r="403">
      <c r="A403" s="26"/>
      <c r="B403" s="27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</row>
    <row r="404">
      <c r="A404" s="26"/>
      <c r="B404" s="27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</row>
    <row r="405">
      <c r="A405" s="26"/>
      <c r="B405" s="27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</row>
    <row r="406">
      <c r="A406" s="26"/>
      <c r="B406" s="27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</row>
    <row r="407">
      <c r="A407" s="26"/>
      <c r="B407" s="27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</row>
    <row r="408">
      <c r="A408" s="26"/>
      <c r="B408" s="27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</row>
    <row r="409">
      <c r="A409" s="26"/>
      <c r="B409" s="27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</row>
    <row r="410">
      <c r="A410" s="26"/>
      <c r="B410" s="27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</row>
    <row r="411">
      <c r="A411" s="26"/>
      <c r="B411" s="27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</row>
    <row r="412">
      <c r="A412" s="26"/>
      <c r="B412" s="27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</row>
    <row r="413">
      <c r="A413" s="26"/>
      <c r="B413" s="27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>
      <c r="A414" s="26"/>
      <c r="B414" s="27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</row>
    <row r="415">
      <c r="A415" s="26"/>
      <c r="B415" s="27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</row>
    <row r="416">
      <c r="A416" s="26"/>
      <c r="B416" s="27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</row>
    <row r="417">
      <c r="A417" s="26"/>
      <c r="B417" s="27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</row>
    <row r="418">
      <c r="A418" s="26"/>
      <c r="B418" s="27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</row>
    <row r="419">
      <c r="A419" s="26"/>
      <c r="B419" s="27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</row>
    <row r="420">
      <c r="A420" s="26"/>
      <c r="B420" s="27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>
      <c r="A421" s="26"/>
      <c r="B421" s="27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</row>
    <row r="422">
      <c r="A422" s="26"/>
      <c r="B422" s="27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</row>
    <row r="423">
      <c r="A423" s="26"/>
      <c r="B423" s="27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</row>
    <row r="424">
      <c r="A424" s="26"/>
      <c r="B424" s="27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</row>
    <row r="425">
      <c r="A425" s="26"/>
      <c r="B425" s="27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</row>
    <row r="426">
      <c r="A426" s="26"/>
      <c r="B426" s="27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</row>
    <row r="427">
      <c r="A427" s="26"/>
      <c r="B427" s="27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</row>
    <row r="428">
      <c r="A428" s="26"/>
      <c r="B428" s="27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</row>
    <row r="429">
      <c r="A429" s="26"/>
      <c r="B429" s="27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</row>
    <row r="430">
      <c r="A430" s="26"/>
      <c r="B430" s="27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</row>
    <row r="431">
      <c r="A431" s="26"/>
      <c r="B431" s="27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</row>
    <row r="432">
      <c r="A432" s="26"/>
      <c r="B432" s="27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</row>
    <row r="433">
      <c r="A433" s="26"/>
      <c r="B433" s="27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</row>
    <row r="434">
      <c r="A434" s="26"/>
      <c r="B434" s="27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</row>
    <row r="435">
      <c r="A435" s="26"/>
      <c r="B435" s="27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</row>
    <row r="436">
      <c r="A436" s="26"/>
      <c r="B436" s="27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>
      <c r="A437" s="26"/>
      <c r="B437" s="27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</row>
    <row r="438">
      <c r="A438" s="26"/>
      <c r="B438" s="27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</row>
    <row r="439">
      <c r="A439" s="26"/>
      <c r="B439" s="27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</row>
    <row r="440">
      <c r="A440" s="26"/>
      <c r="B440" s="27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</row>
    <row r="441">
      <c r="A441" s="26"/>
      <c r="B441" s="27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</row>
    <row r="442">
      <c r="A442" s="26"/>
      <c r="B442" s="27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</row>
    <row r="443">
      <c r="A443" s="26"/>
      <c r="B443" s="27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>
      <c r="A444" s="26"/>
      <c r="B444" s="27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</row>
    <row r="445">
      <c r="A445" s="26"/>
      <c r="B445" s="27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</row>
    <row r="446">
      <c r="A446" s="26"/>
      <c r="B446" s="27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</row>
    <row r="447">
      <c r="A447" s="26"/>
      <c r="B447" s="27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</row>
    <row r="448">
      <c r="A448" s="26"/>
      <c r="B448" s="27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</row>
    <row r="449">
      <c r="A449" s="26"/>
      <c r="B449" s="27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</row>
    <row r="450">
      <c r="A450" s="26"/>
      <c r="B450" s="27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</row>
    <row r="451">
      <c r="A451" s="26"/>
      <c r="B451" s="27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</row>
    <row r="452">
      <c r="A452" s="26"/>
      <c r="B452" s="27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</row>
    <row r="453">
      <c r="A453" s="26"/>
      <c r="B453" s="27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</row>
    <row r="454">
      <c r="A454" s="26"/>
      <c r="B454" s="27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</row>
    <row r="455">
      <c r="A455" s="26"/>
      <c r="B455" s="27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</row>
    <row r="456">
      <c r="A456" s="26"/>
      <c r="B456" s="27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</row>
    <row r="457">
      <c r="A457" s="26"/>
      <c r="B457" s="27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</row>
    <row r="458">
      <c r="A458" s="26"/>
      <c r="B458" s="27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>
      <c r="A459" s="26"/>
      <c r="B459" s="27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</row>
    <row r="460">
      <c r="A460" s="26"/>
      <c r="B460" s="27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</row>
    <row r="461">
      <c r="A461" s="26"/>
      <c r="B461" s="27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</row>
    <row r="462">
      <c r="A462" s="26"/>
      <c r="B462" s="27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</row>
    <row r="463">
      <c r="A463" s="26"/>
      <c r="B463" s="27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</row>
    <row r="464">
      <c r="A464" s="26"/>
      <c r="B464" s="27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</row>
    <row r="465">
      <c r="A465" s="26"/>
      <c r="B465" s="27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</row>
    <row r="466">
      <c r="A466" s="26"/>
      <c r="B466" s="27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</row>
    <row r="467">
      <c r="A467" s="26"/>
      <c r="B467" s="27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</row>
    <row r="468">
      <c r="A468" s="26"/>
      <c r="B468" s="27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</row>
    <row r="469">
      <c r="A469" s="26"/>
      <c r="B469" s="27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</row>
    <row r="470">
      <c r="A470" s="26"/>
      <c r="B470" s="27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</row>
    <row r="471">
      <c r="A471" s="26"/>
      <c r="B471" s="27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</row>
    <row r="472">
      <c r="A472" s="26"/>
      <c r="B472" s="27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</row>
    <row r="473">
      <c r="A473" s="26"/>
      <c r="B473" s="27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</row>
    <row r="474">
      <c r="A474" s="26"/>
      <c r="B474" s="27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</row>
    <row r="475">
      <c r="A475" s="26"/>
      <c r="B475" s="27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>
      <c r="A476" s="26"/>
      <c r="B476" s="27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</row>
    <row r="477">
      <c r="A477" s="26"/>
      <c r="B477" s="27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</row>
    <row r="478">
      <c r="A478" s="26"/>
      <c r="B478" s="27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</row>
    <row r="479">
      <c r="A479" s="26"/>
      <c r="B479" s="27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</row>
    <row r="480">
      <c r="A480" s="26"/>
      <c r="B480" s="27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</row>
    <row r="481">
      <c r="A481" s="26"/>
      <c r="B481" s="27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</row>
    <row r="482">
      <c r="A482" s="26"/>
      <c r="B482" s="27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</row>
    <row r="483">
      <c r="A483" s="26"/>
      <c r="B483" s="27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</row>
    <row r="484">
      <c r="A484" s="26"/>
      <c r="B484" s="27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</row>
    <row r="485">
      <c r="A485" s="26"/>
      <c r="B485" s="27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</row>
    <row r="486">
      <c r="A486" s="26"/>
      <c r="B486" s="27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</row>
    <row r="487">
      <c r="A487" s="26"/>
      <c r="B487" s="27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</row>
    <row r="488">
      <c r="A488" s="26"/>
      <c r="B488" s="27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</row>
    <row r="489">
      <c r="A489" s="26"/>
      <c r="B489" s="27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</row>
    <row r="490">
      <c r="A490" s="26"/>
      <c r="B490" s="27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</row>
    <row r="491">
      <c r="A491" s="26"/>
      <c r="B491" s="27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</row>
    <row r="492">
      <c r="A492" s="26"/>
      <c r="B492" s="27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</row>
    <row r="493">
      <c r="A493" s="26"/>
      <c r="B493" s="27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</row>
    <row r="494">
      <c r="A494" s="26"/>
      <c r="B494" s="27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</row>
    <row r="495">
      <c r="A495" s="26"/>
      <c r="B495" s="27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</row>
    <row r="496">
      <c r="A496" s="26"/>
      <c r="B496" s="27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</row>
    <row r="497">
      <c r="A497" s="26"/>
      <c r="B497" s="27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</row>
    <row r="498">
      <c r="A498" s="26"/>
      <c r="B498" s="27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</row>
    <row r="499">
      <c r="A499" s="26"/>
      <c r="B499" s="27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</row>
    <row r="500">
      <c r="A500" s="26"/>
      <c r="B500" s="27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</row>
    <row r="501">
      <c r="A501" s="26"/>
      <c r="B501" s="27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</row>
    <row r="502">
      <c r="A502" s="26"/>
      <c r="B502" s="27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</row>
    <row r="503">
      <c r="A503" s="26"/>
      <c r="B503" s="27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</row>
    <row r="504">
      <c r="A504" s="26"/>
      <c r="B504" s="27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</row>
    <row r="505">
      <c r="A505" s="26"/>
      <c r="B505" s="27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</row>
    <row r="506">
      <c r="A506" s="26"/>
      <c r="B506" s="27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</row>
    <row r="507">
      <c r="A507" s="26"/>
      <c r="B507" s="27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</row>
    <row r="508">
      <c r="A508" s="26"/>
      <c r="B508" s="27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</row>
    <row r="509">
      <c r="A509" s="26"/>
      <c r="B509" s="27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</row>
    <row r="510">
      <c r="A510" s="26"/>
      <c r="B510" s="27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</row>
    <row r="511">
      <c r="A511" s="26"/>
      <c r="B511" s="27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</row>
    <row r="512">
      <c r="A512" s="26"/>
      <c r="B512" s="27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</row>
    <row r="513">
      <c r="A513" s="26"/>
      <c r="B513" s="27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</row>
    <row r="514">
      <c r="A514" s="26"/>
      <c r="B514" s="27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</row>
    <row r="515">
      <c r="A515" s="26"/>
      <c r="B515" s="27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</row>
    <row r="516">
      <c r="A516" s="26"/>
      <c r="B516" s="27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</row>
    <row r="517">
      <c r="A517" s="26"/>
      <c r="B517" s="27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</row>
    <row r="518">
      <c r="A518" s="26"/>
      <c r="B518" s="27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</row>
    <row r="519">
      <c r="A519" s="26"/>
      <c r="B519" s="27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>
      <c r="A520" s="26"/>
      <c r="B520" s="27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</row>
    <row r="521">
      <c r="A521" s="26"/>
      <c r="B521" s="27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</row>
    <row r="522">
      <c r="A522" s="26"/>
      <c r="B522" s="27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</row>
    <row r="523">
      <c r="A523" s="26"/>
      <c r="B523" s="27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</row>
    <row r="524">
      <c r="A524" s="26"/>
      <c r="B524" s="27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</row>
    <row r="525">
      <c r="A525" s="26"/>
      <c r="B525" s="27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</row>
    <row r="526">
      <c r="A526" s="26"/>
      <c r="B526" s="27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</row>
    <row r="527">
      <c r="A527" s="26"/>
      <c r="B527" s="27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</row>
    <row r="528">
      <c r="A528" s="26"/>
      <c r="B528" s="27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</row>
    <row r="529">
      <c r="A529" s="26"/>
      <c r="B529" s="27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</row>
    <row r="530">
      <c r="A530" s="26"/>
      <c r="B530" s="27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</row>
    <row r="531">
      <c r="A531" s="26"/>
      <c r="B531" s="27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</row>
    <row r="532">
      <c r="A532" s="26"/>
      <c r="B532" s="27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</row>
    <row r="533">
      <c r="A533" s="26"/>
      <c r="B533" s="27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</row>
    <row r="534">
      <c r="A534" s="26"/>
      <c r="B534" s="27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</row>
    <row r="535">
      <c r="A535" s="26"/>
      <c r="B535" s="27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</row>
    <row r="536">
      <c r="A536" s="26"/>
      <c r="B536" s="27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</row>
    <row r="537">
      <c r="A537" s="26"/>
      <c r="B537" s="27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</row>
    <row r="538">
      <c r="A538" s="26"/>
      <c r="B538" s="27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</row>
    <row r="539">
      <c r="A539" s="26"/>
      <c r="B539" s="27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</row>
    <row r="540">
      <c r="A540" s="26"/>
      <c r="B540" s="27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</row>
    <row r="541">
      <c r="A541" s="26"/>
      <c r="B541" s="27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</row>
    <row r="542">
      <c r="A542" s="26"/>
      <c r="B542" s="27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</row>
    <row r="543">
      <c r="A543" s="26"/>
      <c r="B543" s="27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</row>
    <row r="544">
      <c r="A544" s="26"/>
      <c r="B544" s="27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</row>
    <row r="545">
      <c r="A545" s="26"/>
      <c r="B545" s="27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</row>
    <row r="546">
      <c r="A546" s="26"/>
      <c r="B546" s="27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</row>
    <row r="547">
      <c r="A547" s="26"/>
      <c r="B547" s="27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</row>
    <row r="548">
      <c r="A548" s="26"/>
      <c r="B548" s="27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</row>
    <row r="549">
      <c r="A549" s="26"/>
      <c r="B549" s="27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</row>
    <row r="550">
      <c r="A550" s="26"/>
      <c r="B550" s="27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</row>
    <row r="551">
      <c r="A551" s="26"/>
      <c r="B551" s="27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</row>
    <row r="552">
      <c r="A552" s="26"/>
      <c r="B552" s="27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</row>
    <row r="553">
      <c r="A553" s="26"/>
      <c r="B553" s="27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</row>
    <row r="554">
      <c r="A554" s="26"/>
      <c r="B554" s="27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</row>
    <row r="555">
      <c r="A555" s="26"/>
      <c r="B555" s="27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</row>
    <row r="556">
      <c r="A556" s="26"/>
      <c r="B556" s="27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</row>
    <row r="557">
      <c r="A557" s="26"/>
      <c r="B557" s="27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</row>
    <row r="558">
      <c r="A558" s="26"/>
      <c r="B558" s="27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</row>
    <row r="559">
      <c r="A559" s="26"/>
      <c r="B559" s="27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</row>
    <row r="560">
      <c r="A560" s="26"/>
      <c r="B560" s="27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</row>
    <row r="561">
      <c r="A561" s="26"/>
      <c r="B561" s="27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</row>
    <row r="562">
      <c r="A562" s="26"/>
      <c r="B562" s="27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</row>
    <row r="563">
      <c r="A563" s="26"/>
      <c r="B563" s="27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</row>
    <row r="564">
      <c r="A564" s="26"/>
      <c r="B564" s="27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</row>
    <row r="565">
      <c r="A565" s="26"/>
      <c r="B565" s="27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</row>
    <row r="566">
      <c r="A566" s="26"/>
      <c r="B566" s="27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</row>
    <row r="567">
      <c r="A567" s="26"/>
      <c r="B567" s="27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</row>
    <row r="568">
      <c r="A568" s="26"/>
      <c r="B568" s="27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</row>
    <row r="569">
      <c r="A569" s="26"/>
      <c r="B569" s="27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</row>
    <row r="570">
      <c r="A570" s="26"/>
      <c r="B570" s="27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</row>
    <row r="571">
      <c r="A571" s="26"/>
      <c r="B571" s="27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</row>
    <row r="572">
      <c r="A572" s="26"/>
      <c r="B572" s="27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</row>
    <row r="573">
      <c r="A573" s="26"/>
      <c r="B573" s="27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</row>
    <row r="574">
      <c r="A574" s="26"/>
      <c r="B574" s="27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</row>
    <row r="575">
      <c r="A575" s="26"/>
      <c r="B575" s="27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</row>
    <row r="576">
      <c r="A576" s="26"/>
      <c r="B576" s="27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</row>
    <row r="577">
      <c r="A577" s="26"/>
      <c r="B577" s="27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</row>
    <row r="578">
      <c r="A578" s="26"/>
      <c r="B578" s="27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</row>
    <row r="579">
      <c r="A579" s="26"/>
      <c r="B579" s="27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</row>
    <row r="580">
      <c r="A580" s="26"/>
      <c r="B580" s="27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</row>
    <row r="581">
      <c r="A581" s="26"/>
      <c r="B581" s="27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</row>
    <row r="582">
      <c r="A582" s="26"/>
      <c r="B582" s="27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</row>
    <row r="583">
      <c r="A583" s="26"/>
      <c r="B583" s="27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</row>
    <row r="584">
      <c r="A584" s="26"/>
      <c r="B584" s="27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</row>
    <row r="585">
      <c r="A585" s="26"/>
      <c r="B585" s="27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</row>
    <row r="586">
      <c r="A586" s="26"/>
      <c r="B586" s="27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</row>
    <row r="587">
      <c r="A587" s="26"/>
      <c r="B587" s="27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</row>
    <row r="588">
      <c r="A588" s="26"/>
      <c r="B588" s="27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</row>
    <row r="589">
      <c r="A589" s="26"/>
      <c r="B589" s="27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</row>
    <row r="590">
      <c r="A590" s="26"/>
      <c r="B590" s="27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</row>
    <row r="591">
      <c r="A591" s="26"/>
      <c r="B591" s="27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</row>
    <row r="592">
      <c r="A592" s="26"/>
      <c r="B592" s="27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</row>
    <row r="593">
      <c r="A593" s="26"/>
      <c r="B593" s="27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</row>
    <row r="594">
      <c r="A594" s="26"/>
      <c r="B594" s="27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</row>
    <row r="595">
      <c r="A595" s="26"/>
      <c r="B595" s="27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</row>
    <row r="596">
      <c r="A596" s="26"/>
      <c r="B596" s="27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</row>
    <row r="597">
      <c r="A597" s="26"/>
      <c r="B597" s="27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</row>
    <row r="598">
      <c r="A598" s="26"/>
      <c r="B598" s="27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</row>
    <row r="599">
      <c r="A599" s="26"/>
      <c r="B599" s="27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</row>
    <row r="600">
      <c r="A600" s="26"/>
      <c r="B600" s="27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</row>
    <row r="601">
      <c r="A601" s="26"/>
      <c r="B601" s="27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</row>
    <row r="602">
      <c r="A602" s="26"/>
      <c r="B602" s="27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</row>
    <row r="603">
      <c r="A603" s="26"/>
      <c r="B603" s="27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</row>
    <row r="604">
      <c r="A604" s="26"/>
      <c r="B604" s="27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</row>
    <row r="605">
      <c r="A605" s="26"/>
      <c r="B605" s="27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</row>
    <row r="606">
      <c r="A606" s="26"/>
      <c r="B606" s="27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</row>
    <row r="607">
      <c r="A607" s="26"/>
      <c r="B607" s="27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</row>
    <row r="608">
      <c r="A608" s="26"/>
      <c r="B608" s="27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</row>
    <row r="609">
      <c r="A609" s="26"/>
      <c r="B609" s="27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</row>
    <row r="610">
      <c r="A610" s="26"/>
      <c r="B610" s="27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</row>
    <row r="611">
      <c r="A611" s="26"/>
      <c r="B611" s="27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</row>
    <row r="612">
      <c r="A612" s="26"/>
      <c r="B612" s="27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>
      <c r="A613" s="26"/>
      <c r="B613" s="27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</row>
    <row r="614">
      <c r="A614" s="26"/>
      <c r="B614" s="27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</row>
    <row r="615">
      <c r="A615" s="26"/>
      <c r="B615" s="27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</row>
    <row r="616">
      <c r="A616" s="26"/>
      <c r="B616" s="27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</row>
    <row r="617">
      <c r="A617" s="26"/>
      <c r="B617" s="27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</row>
    <row r="618">
      <c r="A618" s="26"/>
      <c r="B618" s="27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</row>
    <row r="619">
      <c r="A619" s="26"/>
      <c r="B619" s="27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</row>
    <row r="620">
      <c r="A620" s="26"/>
      <c r="B620" s="27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</row>
    <row r="621">
      <c r="A621" s="26"/>
      <c r="B621" s="27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</row>
    <row r="622">
      <c r="A622" s="26"/>
      <c r="B622" s="27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</row>
    <row r="623">
      <c r="A623" s="26"/>
      <c r="B623" s="27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>
      <c r="A624" s="26"/>
      <c r="B624" s="27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</row>
    <row r="625">
      <c r="A625" s="26"/>
      <c r="B625" s="27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</row>
    <row r="626">
      <c r="A626" s="26"/>
      <c r="B626" s="27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</row>
    <row r="627">
      <c r="A627" s="26"/>
      <c r="B627" s="27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</row>
    <row r="628">
      <c r="A628" s="26"/>
      <c r="B628" s="27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</row>
    <row r="629">
      <c r="A629" s="26"/>
      <c r="B629" s="27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</row>
    <row r="630">
      <c r="A630" s="26"/>
      <c r="B630" s="27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</row>
    <row r="631">
      <c r="A631" s="26"/>
      <c r="B631" s="27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</row>
    <row r="632">
      <c r="A632" s="26"/>
      <c r="B632" s="27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>
      <c r="A633" s="26"/>
      <c r="B633" s="27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</row>
    <row r="634">
      <c r="A634" s="26"/>
      <c r="B634" s="27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</row>
    <row r="635">
      <c r="A635" s="26"/>
      <c r="B635" s="27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</row>
    <row r="636">
      <c r="A636" s="26"/>
      <c r="B636" s="27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</row>
    <row r="637">
      <c r="A637" s="26"/>
      <c r="B637" s="27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</row>
    <row r="638">
      <c r="A638" s="26"/>
      <c r="B638" s="27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</row>
    <row r="639">
      <c r="A639" s="26"/>
      <c r="B639" s="27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</row>
    <row r="640">
      <c r="A640" s="26"/>
      <c r="B640" s="27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</row>
    <row r="641">
      <c r="A641" s="26"/>
      <c r="B641" s="27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</row>
    <row r="642">
      <c r="A642" s="26"/>
      <c r="B642" s="27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</row>
    <row r="643">
      <c r="A643" s="26"/>
      <c r="B643" s="27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</row>
    <row r="644">
      <c r="A644" s="26"/>
      <c r="B644" s="27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</row>
    <row r="645">
      <c r="A645" s="26"/>
      <c r="B645" s="27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</row>
    <row r="646">
      <c r="A646" s="26"/>
      <c r="B646" s="27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</row>
    <row r="647">
      <c r="A647" s="26"/>
      <c r="B647" s="27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</row>
    <row r="648">
      <c r="A648" s="26"/>
      <c r="B648" s="27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</row>
    <row r="649">
      <c r="A649" s="26"/>
      <c r="B649" s="27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</row>
    <row r="650">
      <c r="A650" s="26"/>
      <c r="B650" s="27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</row>
    <row r="651">
      <c r="A651" s="26"/>
      <c r="B651" s="27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</row>
    <row r="652">
      <c r="A652" s="26"/>
      <c r="B652" s="27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</row>
    <row r="653">
      <c r="A653" s="26"/>
      <c r="B653" s="27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</row>
    <row r="654">
      <c r="A654" s="26"/>
      <c r="B654" s="27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</row>
    <row r="655">
      <c r="A655" s="26"/>
      <c r="B655" s="27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</row>
    <row r="656">
      <c r="A656" s="26"/>
      <c r="B656" s="27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>
      <c r="A657" s="26"/>
      <c r="B657" s="27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</row>
    <row r="658">
      <c r="A658" s="26"/>
      <c r="B658" s="27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</row>
    <row r="659">
      <c r="A659" s="26"/>
      <c r="B659" s="27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</row>
    <row r="660">
      <c r="A660" s="26"/>
      <c r="B660" s="27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</row>
    <row r="661">
      <c r="A661" s="26"/>
      <c r="B661" s="27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</row>
    <row r="662">
      <c r="A662" s="26"/>
      <c r="B662" s="27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</row>
    <row r="663">
      <c r="A663" s="26"/>
      <c r="B663" s="27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</row>
    <row r="664">
      <c r="A664" s="26"/>
      <c r="B664" s="27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</row>
    <row r="665">
      <c r="A665" s="26"/>
      <c r="B665" s="27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</row>
    <row r="666">
      <c r="A666" s="26"/>
      <c r="B666" s="27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</row>
    <row r="667">
      <c r="A667" s="26"/>
      <c r="B667" s="27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</row>
    <row r="668">
      <c r="A668" s="26"/>
      <c r="B668" s="27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</row>
    <row r="669">
      <c r="A669" s="26"/>
      <c r="B669" s="27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</row>
    <row r="670">
      <c r="A670" s="26"/>
      <c r="B670" s="27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</row>
    <row r="671">
      <c r="A671" s="26"/>
      <c r="B671" s="27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</row>
    <row r="672">
      <c r="A672" s="26"/>
      <c r="B672" s="27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</row>
    <row r="673">
      <c r="A673" s="26"/>
      <c r="B673" s="27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</row>
    <row r="674">
      <c r="A674" s="26"/>
      <c r="B674" s="27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</row>
    <row r="675">
      <c r="A675" s="26"/>
      <c r="B675" s="27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</row>
    <row r="676">
      <c r="A676" s="26"/>
      <c r="B676" s="27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</row>
    <row r="677">
      <c r="A677" s="26"/>
      <c r="B677" s="27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</row>
    <row r="678">
      <c r="A678" s="26"/>
      <c r="B678" s="27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</row>
    <row r="679">
      <c r="A679" s="26"/>
      <c r="B679" s="27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</row>
    <row r="680">
      <c r="A680" s="26"/>
      <c r="B680" s="27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</row>
    <row r="681">
      <c r="A681" s="26"/>
      <c r="B681" s="27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</row>
    <row r="682">
      <c r="A682" s="26"/>
      <c r="B682" s="27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</row>
    <row r="683">
      <c r="A683" s="26"/>
      <c r="B683" s="27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</row>
    <row r="684">
      <c r="A684" s="26"/>
      <c r="B684" s="27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</row>
    <row r="685">
      <c r="A685" s="26"/>
      <c r="B685" s="27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</row>
    <row r="686">
      <c r="A686" s="26"/>
      <c r="B686" s="27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</row>
    <row r="687">
      <c r="A687" s="26"/>
      <c r="B687" s="27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</row>
    <row r="688">
      <c r="A688" s="26"/>
      <c r="B688" s="27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</row>
    <row r="689">
      <c r="A689" s="26"/>
      <c r="B689" s="27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</row>
    <row r="690">
      <c r="A690" s="26"/>
      <c r="B690" s="27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</row>
    <row r="691">
      <c r="A691" s="26"/>
      <c r="B691" s="27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</row>
    <row r="692">
      <c r="A692" s="26"/>
      <c r="B692" s="27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</row>
    <row r="693">
      <c r="A693" s="26"/>
      <c r="B693" s="27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</row>
    <row r="694">
      <c r="A694" s="26"/>
      <c r="B694" s="27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</row>
    <row r="695">
      <c r="A695" s="26"/>
      <c r="B695" s="27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</row>
    <row r="696">
      <c r="A696" s="26"/>
      <c r="B696" s="27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</row>
    <row r="697">
      <c r="A697" s="26"/>
      <c r="B697" s="27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</row>
    <row r="698">
      <c r="A698" s="26"/>
      <c r="B698" s="27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</row>
    <row r="699">
      <c r="A699" s="26"/>
      <c r="B699" s="27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</row>
    <row r="700">
      <c r="A700" s="26"/>
      <c r="B700" s="27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</row>
    <row r="701">
      <c r="A701" s="26"/>
      <c r="B701" s="27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</row>
    <row r="702">
      <c r="A702" s="26"/>
      <c r="B702" s="27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</row>
    <row r="703">
      <c r="A703" s="26"/>
      <c r="B703" s="27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</row>
    <row r="704">
      <c r="A704" s="26"/>
      <c r="B704" s="27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</row>
    <row r="705">
      <c r="A705" s="26"/>
      <c r="B705" s="27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</row>
    <row r="706">
      <c r="A706" s="26"/>
      <c r="B706" s="27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</row>
    <row r="707">
      <c r="A707" s="26"/>
      <c r="B707" s="27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</row>
    <row r="708">
      <c r="A708" s="26"/>
      <c r="B708" s="27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</row>
    <row r="709">
      <c r="A709" s="26"/>
      <c r="B709" s="27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</row>
    <row r="710">
      <c r="A710" s="26"/>
      <c r="B710" s="27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</row>
    <row r="711">
      <c r="A711" s="26"/>
      <c r="B711" s="27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</row>
    <row r="712">
      <c r="A712" s="26"/>
      <c r="B712" s="27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</row>
    <row r="713">
      <c r="A713" s="26"/>
      <c r="B713" s="27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</row>
    <row r="714">
      <c r="A714" s="26"/>
      <c r="B714" s="27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</row>
    <row r="715">
      <c r="A715" s="26"/>
      <c r="B715" s="27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</row>
    <row r="716">
      <c r="A716" s="26"/>
      <c r="B716" s="27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</row>
    <row r="717">
      <c r="A717" s="26"/>
      <c r="B717" s="27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</row>
    <row r="718">
      <c r="A718" s="26"/>
      <c r="B718" s="27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</row>
    <row r="719">
      <c r="A719" s="26"/>
      <c r="B719" s="27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</row>
    <row r="720">
      <c r="A720" s="26"/>
      <c r="B720" s="27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</row>
    <row r="721">
      <c r="A721" s="26"/>
      <c r="B721" s="27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</row>
    <row r="722">
      <c r="A722" s="26"/>
      <c r="B722" s="27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</row>
    <row r="723">
      <c r="A723" s="26"/>
      <c r="B723" s="27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</row>
    <row r="724">
      <c r="A724" s="26"/>
      <c r="B724" s="27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</row>
    <row r="725">
      <c r="A725" s="26"/>
      <c r="B725" s="27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</row>
    <row r="726">
      <c r="A726" s="26"/>
      <c r="B726" s="27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</row>
    <row r="727">
      <c r="A727" s="26"/>
      <c r="B727" s="27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</row>
    <row r="728">
      <c r="A728" s="26"/>
      <c r="B728" s="27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</row>
    <row r="729">
      <c r="A729" s="26"/>
      <c r="B729" s="27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</row>
    <row r="730">
      <c r="A730" s="26"/>
      <c r="B730" s="27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</row>
    <row r="731">
      <c r="A731" s="26"/>
      <c r="B731" s="27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</row>
    <row r="732">
      <c r="A732" s="26"/>
      <c r="B732" s="27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</row>
    <row r="733">
      <c r="A733" s="26"/>
      <c r="B733" s="27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</row>
    <row r="734">
      <c r="A734" s="26"/>
      <c r="B734" s="27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</row>
    <row r="735">
      <c r="A735" s="26"/>
      <c r="B735" s="27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</row>
    <row r="736">
      <c r="A736" s="26"/>
      <c r="B736" s="27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</row>
    <row r="737">
      <c r="A737" s="26"/>
      <c r="B737" s="27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</row>
    <row r="738">
      <c r="A738" s="26"/>
      <c r="B738" s="27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</row>
    <row r="739">
      <c r="A739" s="26"/>
      <c r="B739" s="27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</row>
    <row r="740">
      <c r="A740" s="26"/>
      <c r="B740" s="27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</row>
    <row r="741">
      <c r="A741" s="26"/>
      <c r="B741" s="27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</row>
    <row r="742">
      <c r="A742" s="26"/>
      <c r="B742" s="27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</row>
    <row r="743">
      <c r="A743" s="26"/>
      <c r="B743" s="27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</row>
    <row r="744">
      <c r="A744" s="26"/>
      <c r="B744" s="27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</row>
    <row r="745">
      <c r="A745" s="26"/>
      <c r="B745" s="27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</row>
    <row r="746">
      <c r="A746" s="26"/>
      <c r="B746" s="27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</row>
    <row r="747">
      <c r="A747" s="26"/>
      <c r="B747" s="27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</row>
    <row r="748">
      <c r="A748" s="26"/>
      <c r="B748" s="27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</row>
    <row r="749">
      <c r="A749" s="26"/>
      <c r="B749" s="27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</row>
    <row r="750">
      <c r="A750" s="26"/>
      <c r="B750" s="27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</row>
    <row r="751">
      <c r="A751" s="26"/>
      <c r="B751" s="27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</row>
    <row r="752">
      <c r="A752" s="26"/>
      <c r="B752" s="27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</row>
    <row r="753">
      <c r="A753" s="26"/>
      <c r="B753" s="27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</row>
    <row r="754">
      <c r="A754" s="26"/>
      <c r="B754" s="27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</row>
    <row r="755">
      <c r="A755" s="26"/>
      <c r="B755" s="27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</row>
    <row r="756">
      <c r="A756" s="26"/>
      <c r="B756" s="27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</row>
    <row r="757">
      <c r="A757" s="26"/>
      <c r="B757" s="27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</row>
    <row r="758">
      <c r="A758" s="26"/>
      <c r="B758" s="27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</row>
    <row r="759">
      <c r="A759" s="26"/>
      <c r="B759" s="27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</row>
    <row r="760">
      <c r="A760" s="26"/>
      <c r="B760" s="27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</row>
    <row r="761">
      <c r="A761" s="26"/>
      <c r="B761" s="27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</row>
    <row r="762">
      <c r="A762" s="26"/>
      <c r="B762" s="27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</row>
    <row r="763">
      <c r="A763" s="26"/>
      <c r="B763" s="27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</row>
    <row r="764">
      <c r="A764" s="26"/>
      <c r="B764" s="27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</row>
    <row r="765">
      <c r="A765" s="26"/>
      <c r="B765" s="27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</row>
    <row r="766">
      <c r="A766" s="26"/>
      <c r="B766" s="27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</row>
    <row r="767">
      <c r="A767" s="26"/>
      <c r="B767" s="27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</row>
    <row r="768">
      <c r="A768" s="26"/>
      <c r="B768" s="27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</row>
    <row r="769">
      <c r="A769" s="26"/>
      <c r="B769" s="27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</row>
    <row r="770">
      <c r="A770" s="26"/>
      <c r="B770" s="27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</row>
    <row r="771">
      <c r="A771" s="26"/>
      <c r="B771" s="27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</row>
    <row r="772">
      <c r="A772" s="26"/>
      <c r="B772" s="27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</row>
    <row r="773">
      <c r="A773" s="26"/>
      <c r="B773" s="27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</row>
    <row r="774">
      <c r="A774" s="26"/>
      <c r="B774" s="27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</row>
    <row r="775">
      <c r="A775" s="26"/>
      <c r="B775" s="27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</row>
    <row r="776">
      <c r="A776" s="26"/>
      <c r="B776" s="27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</row>
    <row r="777">
      <c r="A777" s="26"/>
      <c r="B777" s="27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</row>
    <row r="778">
      <c r="A778" s="26"/>
      <c r="B778" s="27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</row>
    <row r="779">
      <c r="A779" s="26"/>
      <c r="B779" s="27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</row>
    <row r="780">
      <c r="A780" s="26"/>
      <c r="B780" s="27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>
      <c r="A781" s="26"/>
      <c r="B781" s="27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</row>
    <row r="782">
      <c r="A782" s="26"/>
      <c r="B782" s="27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</row>
    <row r="783">
      <c r="A783" s="26"/>
      <c r="B783" s="27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</row>
    <row r="784">
      <c r="A784" s="26"/>
      <c r="B784" s="27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</row>
    <row r="785">
      <c r="A785" s="26"/>
      <c r="B785" s="27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</row>
    <row r="786">
      <c r="A786" s="26"/>
      <c r="B786" s="27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</row>
    <row r="787">
      <c r="A787" s="26"/>
      <c r="B787" s="27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</row>
    <row r="788">
      <c r="A788" s="26"/>
      <c r="B788" s="27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</row>
    <row r="789">
      <c r="A789" s="26"/>
      <c r="B789" s="27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</row>
    <row r="790">
      <c r="A790" s="26"/>
      <c r="B790" s="27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</row>
    <row r="791">
      <c r="A791" s="26"/>
      <c r="B791" s="27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</row>
    <row r="792">
      <c r="A792" s="26"/>
      <c r="B792" s="27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</row>
    <row r="793">
      <c r="A793" s="26"/>
      <c r="B793" s="27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</row>
    <row r="794">
      <c r="A794" s="26"/>
      <c r="B794" s="27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</row>
    <row r="795">
      <c r="A795" s="26"/>
      <c r="B795" s="27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</row>
    <row r="796">
      <c r="A796" s="26"/>
      <c r="B796" s="27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</row>
    <row r="797">
      <c r="A797" s="26"/>
      <c r="B797" s="27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</row>
    <row r="798">
      <c r="A798" s="26"/>
      <c r="B798" s="27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</row>
    <row r="799">
      <c r="A799" s="26"/>
      <c r="B799" s="27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</row>
    <row r="800">
      <c r="A800" s="26"/>
      <c r="B800" s="27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</row>
    <row r="801">
      <c r="A801" s="26"/>
      <c r="B801" s="27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</row>
    <row r="802">
      <c r="A802" s="26"/>
      <c r="B802" s="27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</row>
    <row r="803">
      <c r="A803" s="26"/>
      <c r="B803" s="27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</row>
    <row r="804">
      <c r="A804" s="26"/>
      <c r="B804" s="27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</row>
    <row r="805">
      <c r="A805" s="26"/>
      <c r="B805" s="27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</row>
    <row r="806">
      <c r="A806" s="26"/>
      <c r="B806" s="27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</row>
    <row r="807">
      <c r="A807" s="26"/>
      <c r="B807" s="27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</row>
    <row r="808">
      <c r="A808" s="26"/>
      <c r="B808" s="27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</row>
    <row r="809">
      <c r="A809" s="26"/>
      <c r="B809" s="27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</row>
    <row r="810">
      <c r="A810" s="26"/>
      <c r="B810" s="27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>
      <c r="A811" s="26"/>
      <c r="B811" s="27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</row>
    <row r="812">
      <c r="A812" s="26"/>
      <c r="B812" s="27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</row>
    <row r="813">
      <c r="A813" s="26"/>
      <c r="B813" s="27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</row>
    <row r="814">
      <c r="A814" s="26"/>
      <c r="B814" s="27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</row>
    <row r="815">
      <c r="A815" s="26"/>
      <c r="B815" s="27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</row>
    <row r="816">
      <c r="A816" s="26"/>
      <c r="B816" s="27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</row>
    <row r="817">
      <c r="A817" s="26"/>
      <c r="B817" s="27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</row>
    <row r="818">
      <c r="A818" s="26"/>
      <c r="B818" s="27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</row>
    <row r="819">
      <c r="A819" s="26"/>
      <c r="B819" s="27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</row>
    <row r="820">
      <c r="A820" s="26"/>
      <c r="B820" s="27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</row>
    <row r="821">
      <c r="A821" s="26"/>
      <c r="B821" s="27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</row>
    <row r="822">
      <c r="A822" s="26"/>
      <c r="B822" s="27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</row>
    <row r="823">
      <c r="A823" s="26"/>
      <c r="B823" s="27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</row>
    <row r="824">
      <c r="A824" s="26"/>
      <c r="B824" s="27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</row>
    <row r="825">
      <c r="A825" s="26"/>
      <c r="B825" s="27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</row>
    <row r="826">
      <c r="A826" s="26"/>
      <c r="B826" s="27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>
      <c r="A827" s="26"/>
      <c r="B827" s="27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</row>
    <row r="828">
      <c r="A828" s="26"/>
      <c r="B828" s="27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</row>
    <row r="829">
      <c r="A829" s="26"/>
      <c r="B829" s="27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</row>
    <row r="830">
      <c r="A830" s="26"/>
      <c r="B830" s="27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</row>
    <row r="831">
      <c r="A831" s="26"/>
      <c r="B831" s="27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</row>
    <row r="832">
      <c r="A832" s="26"/>
      <c r="B832" s="27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</row>
    <row r="833">
      <c r="A833" s="26"/>
      <c r="B833" s="27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>
      <c r="A834" s="26"/>
      <c r="B834" s="27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</row>
    <row r="835">
      <c r="A835" s="26"/>
      <c r="B835" s="27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</row>
    <row r="836">
      <c r="A836" s="26"/>
      <c r="B836" s="27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</row>
    <row r="837">
      <c r="A837" s="26"/>
      <c r="B837" s="27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</row>
    <row r="838">
      <c r="A838" s="26"/>
      <c r="B838" s="27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</row>
    <row r="839">
      <c r="A839" s="26"/>
      <c r="B839" s="27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</row>
    <row r="840">
      <c r="A840" s="26"/>
      <c r="B840" s="27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</row>
    <row r="841">
      <c r="A841" s="26"/>
      <c r="B841" s="27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</row>
    <row r="842">
      <c r="A842" s="26"/>
      <c r="B842" s="27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</row>
    <row r="843">
      <c r="A843" s="26"/>
      <c r="B843" s="27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</row>
    <row r="844">
      <c r="A844" s="26"/>
      <c r="B844" s="27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</row>
    <row r="845">
      <c r="A845" s="26"/>
      <c r="B845" s="27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</row>
    <row r="846">
      <c r="A846" s="26"/>
      <c r="B846" s="27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</row>
    <row r="847">
      <c r="A847" s="26"/>
      <c r="B847" s="27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</row>
    <row r="848">
      <c r="A848" s="26"/>
      <c r="B848" s="27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</row>
    <row r="849">
      <c r="A849" s="26"/>
      <c r="B849" s="27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</row>
    <row r="850">
      <c r="A850" s="26"/>
      <c r="B850" s="27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</row>
    <row r="851">
      <c r="A851" s="26"/>
      <c r="B851" s="27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</row>
    <row r="852">
      <c r="A852" s="26"/>
      <c r="B852" s="27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</row>
    <row r="853">
      <c r="A853" s="26"/>
      <c r="B853" s="27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</row>
    <row r="854">
      <c r="A854" s="26"/>
      <c r="B854" s="27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</row>
    <row r="855">
      <c r="A855" s="26"/>
      <c r="B855" s="27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</row>
    <row r="856">
      <c r="A856" s="26"/>
      <c r="B856" s="27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</row>
    <row r="857">
      <c r="A857" s="26"/>
      <c r="B857" s="27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</row>
    <row r="858">
      <c r="A858" s="26"/>
      <c r="B858" s="27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</row>
    <row r="859">
      <c r="A859" s="26"/>
      <c r="B859" s="27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</row>
    <row r="860">
      <c r="A860" s="26"/>
      <c r="B860" s="27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</row>
    <row r="861">
      <c r="A861" s="26"/>
      <c r="B861" s="27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</row>
    <row r="862">
      <c r="A862" s="26"/>
      <c r="B862" s="27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</row>
    <row r="863">
      <c r="A863" s="26"/>
      <c r="B863" s="27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</row>
    <row r="864">
      <c r="A864" s="26"/>
      <c r="B864" s="27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</row>
    <row r="865">
      <c r="A865" s="26"/>
      <c r="B865" s="27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</row>
    <row r="866">
      <c r="A866" s="26"/>
      <c r="B866" s="27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</row>
    <row r="867">
      <c r="A867" s="26"/>
      <c r="B867" s="27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</row>
    <row r="868">
      <c r="A868" s="26"/>
      <c r="B868" s="27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</row>
    <row r="869">
      <c r="A869" s="26"/>
      <c r="B869" s="27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</row>
    <row r="870">
      <c r="A870" s="26"/>
      <c r="B870" s="27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</row>
    <row r="871">
      <c r="A871" s="26"/>
      <c r="B871" s="27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</row>
    <row r="872">
      <c r="A872" s="26"/>
      <c r="B872" s="27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</row>
    <row r="873">
      <c r="A873" s="26"/>
      <c r="B873" s="27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</row>
    <row r="874">
      <c r="A874" s="26"/>
      <c r="B874" s="27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</row>
    <row r="875">
      <c r="A875" s="26"/>
      <c r="B875" s="27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</row>
    <row r="876">
      <c r="A876" s="26"/>
      <c r="B876" s="27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</row>
    <row r="877">
      <c r="A877" s="26"/>
      <c r="B877" s="27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</row>
    <row r="878">
      <c r="A878" s="26"/>
      <c r="B878" s="27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</row>
    <row r="879">
      <c r="A879" s="26"/>
      <c r="B879" s="27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</row>
    <row r="880">
      <c r="A880" s="26"/>
      <c r="B880" s="27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</row>
    <row r="881">
      <c r="A881" s="26"/>
      <c r="B881" s="27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</row>
    <row r="882">
      <c r="A882" s="26"/>
      <c r="B882" s="27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</row>
    <row r="883">
      <c r="A883" s="26"/>
      <c r="B883" s="27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</row>
    <row r="884">
      <c r="A884" s="26"/>
      <c r="B884" s="27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</row>
    <row r="885">
      <c r="A885" s="26"/>
      <c r="B885" s="27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</row>
    <row r="886">
      <c r="A886" s="26"/>
      <c r="B886" s="27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</row>
    <row r="887">
      <c r="A887" s="26"/>
      <c r="B887" s="27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</row>
    <row r="888">
      <c r="A888" s="26"/>
      <c r="B888" s="27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</row>
    <row r="889">
      <c r="A889" s="26"/>
      <c r="B889" s="27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</row>
    <row r="890">
      <c r="A890" s="26"/>
      <c r="B890" s="27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</row>
    <row r="891">
      <c r="A891" s="26"/>
      <c r="B891" s="27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</row>
    <row r="892">
      <c r="A892" s="26"/>
      <c r="B892" s="27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</row>
    <row r="893">
      <c r="A893" s="26"/>
      <c r="B893" s="27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</row>
    <row r="894">
      <c r="A894" s="26"/>
      <c r="B894" s="27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</row>
    <row r="895">
      <c r="A895" s="26"/>
      <c r="B895" s="27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</row>
    <row r="896">
      <c r="A896" s="26"/>
      <c r="B896" s="27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</row>
    <row r="897">
      <c r="A897" s="26"/>
      <c r="B897" s="27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</row>
    <row r="898">
      <c r="A898" s="26"/>
      <c r="B898" s="27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</row>
    <row r="899">
      <c r="A899" s="26"/>
      <c r="B899" s="27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</row>
    <row r="900">
      <c r="A900" s="26"/>
      <c r="B900" s="27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</row>
    <row r="901">
      <c r="A901" s="26"/>
      <c r="B901" s="27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</row>
    <row r="902">
      <c r="A902" s="26"/>
      <c r="B902" s="27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</row>
    <row r="903">
      <c r="A903" s="26"/>
      <c r="B903" s="27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</row>
    <row r="904">
      <c r="A904" s="26"/>
      <c r="B904" s="27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</row>
    <row r="905">
      <c r="A905" s="26"/>
      <c r="B905" s="27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</row>
    <row r="906">
      <c r="A906" s="26"/>
      <c r="B906" s="27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</row>
    <row r="907">
      <c r="A907" s="26"/>
      <c r="B907" s="27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</row>
    <row r="908">
      <c r="A908" s="26"/>
      <c r="B908" s="27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</row>
    <row r="909">
      <c r="A909" s="26"/>
      <c r="B909" s="27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</row>
    <row r="910">
      <c r="A910" s="26"/>
      <c r="B910" s="27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</row>
    <row r="911">
      <c r="A911" s="26"/>
      <c r="B911" s="27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</row>
    <row r="912">
      <c r="A912" s="26"/>
      <c r="B912" s="27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</row>
    <row r="913">
      <c r="A913" s="26"/>
      <c r="B913" s="27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</row>
    <row r="914">
      <c r="A914" s="26"/>
      <c r="B914" s="27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</row>
    <row r="915">
      <c r="A915" s="26"/>
      <c r="B915" s="27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</row>
    <row r="916">
      <c r="A916" s="26"/>
      <c r="B916" s="27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</row>
    <row r="917">
      <c r="A917" s="26"/>
      <c r="B917" s="27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</row>
    <row r="918">
      <c r="A918" s="26"/>
      <c r="B918" s="27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</row>
    <row r="919">
      <c r="A919" s="26"/>
      <c r="B919" s="27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</row>
    <row r="920">
      <c r="A920" s="26"/>
      <c r="B920" s="27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</row>
    <row r="921">
      <c r="A921" s="26"/>
      <c r="B921" s="27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</row>
    <row r="922">
      <c r="A922" s="26"/>
      <c r="B922" s="27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</row>
    <row r="923">
      <c r="A923" s="26"/>
      <c r="B923" s="27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</row>
    <row r="924">
      <c r="A924" s="26"/>
      <c r="B924" s="27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</row>
    <row r="925">
      <c r="A925" s="26"/>
      <c r="B925" s="27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</row>
    <row r="926">
      <c r="A926" s="26"/>
      <c r="B926" s="27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</row>
    <row r="927">
      <c r="A927" s="26"/>
      <c r="B927" s="27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</row>
    <row r="928">
      <c r="A928" s="26"/>
      <c r="B928" s="27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</row>
    <row r="929">
      <c r="A929" s="26"/>
      <c r="B929" s="27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</row>
    <row r="930">
      <c r="A930" s="26"/>
      <c r="B930" s="27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</row>
    <row r="931">
      <c r="A931" s="26"/>
      <c r="B931" s="27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</row>
    <row r="932">
      <c r="A932" s="26"/>
      <c r="B932" s="27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</row>
    <row r="933">
      <c r="A933" s="26"/>
      <c r="B933" s="27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</row>
    <row r="934">
      <c r="A934" s="26"/>
      <c r="B934" s="27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</row>
    <row r="935">
      <c r="A935" s="26"/>
      <c r="B935" s="27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</row>
    <row r="936">
      <c r="A936" s="26"/>
      <c r="B936" s="27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</row>
    <row r="937">
      <c r="A937" s="26"/>
      <c r="B937" s="27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</row>
    <row r="938">
      <c r="A938" s="26"/>
      <c r="B938" s="27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</row>
    <row r="939">
      <c r="A939" s="26"/>
      <c r="B939" s="27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</row>
    <row r="940">
      <c r="A940" s="26"/>
      <c r="B940" s="27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</row>
    <row r="941">
      <c r="A941" s="26"/>
      <c r="B941" s="27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</row>
    <row r="942">
      <c r="A942" s="26"/>
      <c r="B942" s="27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</row>
    <row r="943">
      <c r="A943" s="26"/>
      <c r="B943" s="27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</row>
    <row r="944">
      <c r="A944" s="26"/>
      <c r="B944" s="27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</row>
    <row r="945">
      <c r="A945" s="26"/>
      <c r="B945" s="27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</row>
    <row r="946">
      <c r="A946" s="26"/>
      <c r="B946" s="27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</row>
    <row r="947">
      <c r="A947" s="26"/>
      <c r="B947" s="27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</row>
    <row r="948">
      <c r="A948" s="26"/>
      <c r="B948" s="27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</row>
    <row r="949">
      <c r="A949" s="26"/>
      <c r="B949" s="27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</row>
    <row r="950">
      <c r="A950" s="26"/>
      <c r="B950" s="27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</row>
    <row r="951">
      <c r="A951" s="26"/>
      <c r="B951" s="27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</row>
    <row r="952">
      <c r="A952" s="26"/>
      <c r="B952" s="27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</row>
    <row r="953">
      <c r="A953" s="26"/>
      <c r="B953" s="27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</row>
    <row r="954">
      <c r="A954" s="26"/>
      <c r="B954" s="27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</row>
    <row r="955">
      <c r="A955" s="26"/>
      <c r="B955" s="27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</row>
    <row r="956">
      <c r="A956" s="26"/>
      <c r="B956" s="27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</row>
    <row r="957">
      <c r="A957" s="26"/>
      <c r="B957" s="27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</row>
    <row r="958">
      <c r="A958" s="26"/>
      <c r="B958" s="27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</row>
    <row r="959">
      <c r="A959" s="26"/>
      <c r="B959" s="27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</row>
    <row r="960">
      <c r="A960" s="26"/>
      <c r="B960" s="27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</row>
    <row r="961">
      <c r="A961" s="26"/>
      <c r="B961" s="27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</row>
    <row r="962">
      <c r="A962" s="26"/>
      <c r="B962" s="27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</row>
    <row r="963">
      <c r="A963" s="26"/>
      <c r="B963" s="27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</row>
    <row r="964">
      <c r="A964" s="26"/>
      <c r="B964" s="27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</row>
    <row r="965">
      <c r="A965" s="26"/>
      <c r="B965" s="27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</row>
    <row r="966">
      <c r="A966" s="26"/>
      <c r="B966" s="27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</row>
    <row r="967">
      <c r="A967" s="26"/>
      <c r="B967" s="27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</row>
    <row r="968">
      <c r="A968" s="26"/>
      <c r="B968" s="27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</row>
    <row r="969">
      <c r="A969" s="26"/>
      <c r="B969" s="27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</row>
    <row r="970">
      <c r="A970" s="26"/>
      <c r="B970" s="27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</row>
    <row r="971">
      <c r="A971" s="26"/>
      <c r="B971" s="27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</row>
    <row r="972">
      <c r="A972" s="26"/>
      <c r="B972" s="27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</row>
    <row r="973">
      <c r="A973" s="26"/>
      <c r="B973" s="27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</row>
    <row r="974">
      <c r="A974" s="26"/>
      <c r="B974" s="27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</row>
    <row r="975">
      <c r="A975" s="26"/>
      <c r="B975" s="27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</row>
    <row r="976">
      <c r="A976" s="26"/>
      <c r="B976" s="27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</row>
    <row r="977">
      <c r="A977" s="26"/>
      <c r="B977" s="27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</row>
    <row r="978">
      <c r="A978" s="26"/>
      <c r="B978" s="27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</row>
    <row r="979">
      <c r="A979" s="26"/>
      <c r="B979" s="27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</row>
    <row r="980">
      <c r="A980" s="26"/>
      <c r="B980" s="27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</row>
    <row r="981">
      <c r="A981" s="26"/>
      <c r="B981" s="27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</row>
    <row r="982">
      <c r="A982" s="26"/>
      <c r="B982" s="27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</row>
    <row r="983">
      <c r="A983" s="26"/>
      <c r="B983" s="27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</row>
    <row r="984">
      <c r="A984" s="26"/>
      <c r="B984" s="27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</row>
    <row r="985">
      <c r="A985" s="26"/>
      <c r="B985" s="27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</row>
    <row r="986">
      <c r="A986" s="26"/>
      <c r="B986" s="27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</row>
    <row r="987">
      <c r="A987" s="26"/>
      <c r="B987" s="27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</row>
    <row r="988">
      <c r="A988" s="26"/>
      <c r="B988" s="27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</row>
    <row r="989">
      <c r="A989" s="26"/>
      <c r="B989" s="27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</row>
    <row r="990">
      <c r="A990" s="26"/>
      <c r="B990" s="27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</row>
    <row r="991">
      <c r="A991" s="26"/>
      <c r="B991" s="27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</row>
    <row r="992">
      <c r="A992" s="26"/>
      <c r="B992" s="27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</row>
    <row r="993">
      <c r="A993" s="26"/>
      <c r="B993" s="27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>
      <c r="A994" s="26"/>
      <c r="B994" s="27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</row>
    <row r="995">
      <c r="A995" s="26"/>
      <c r="B995" s="27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</row>
    <row r="996">
      <c r="A996" s="26"/>
      <c r="B996" s="27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</row>
    <row r="997">
      <c r="A997" s="26"/>
      <c r="B997" s="27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</row>
    <row r="998">
      <c r="A998" s="26"/>
      <c r="B998" s="27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</row>
    <row r="999">
      <c r="A999" s="26"/>
      <c r="B999" s="27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</row>
  </sheetData>
  <drawing r:id="rId1"/>
</worksheet>
</file>