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Design\Design report\"/>
    </mc:Choice>
  </mc:AlternateContent>
  <bookViews>
    <workbookView xWindow="0" yWindow="0" windowWidth="27480" windowHeight="12915"/>
  </bookViews>
  <sheets>
    <sheet name="SH1" sheetId="6" r:id="rId1"/>
    <sheet name="Figures" sheetId="5" r:id="rId2"/>
    <sheet name="B-H magnet" sheetId="7" r:id="rId3"/>
    <sheet name="OLD" sheetId="3" r:id="rId4"/>
    <sheet name="OLDParameters" sheetId="1" r:id="rId5"/>
    <sheet name="OLDGeneral Calculation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6" l="1"/>
  <c r="M26" i="6"/>
  <c r="R11" i="6"/>
  <c r="M25" i="6"/>
  <c r="M31" i="6"/>
  <c r="M27" i="6"/>
  <c r="H26" i="6" l="1"/>
  <c r="H25" i="6"/>
  <c r="V27" i="6"/>
  <c r="M29" i="6"/>
  <c r="M28" i="6"/>
  <c r="M30" i="6"/>
  <c r="M24" i="6"/>
  <c r="R17" i="6"/>
  <c r="M10" i="6"/>
  <c r="R4" i="6"/>
  <c r="M32" i="6" l="1"/>
  <c r="M17" i="6"/>
  <c r="C9" i="7" l="1"/>
  <c r="C4" i="7"/>
  <c r="C5" i="7"/>
  <c r="C6" i="7"/>
  <c r="C7" i="7"/>
  <c r="C8" i="7"/>
  <c r="C10" i="7"/>
  <c r="C3" i="7"/>
  <c r="R5" i="6" l="1"/>
  <c r="R3" i="6"/>
  <c r="R2" i="6"/>
  <c r="M5" i="6"/>
  <c r="R6" i="6" l="1"/>
  <c r="R7" i="6" s="1"/>
  <c r="R9" i="6" s="1"/>
  <c r="M15" i="6"/>
  <c r="R13" i="6" s="1"/>
  <c r="C19" i="6"/>
  <c r="C16" i="6"/>
  <c r="D8" i="7"/>
  <c r="D7" i="7"/>
  <c r="D6" i="7"/>
  <c r="D5" i="7"/>
  <c r="D3" i="7"/>
  <c r="D4" i="7"/>
  <c r="D10" i="7"/>
  <c r="D9" i="7"/>
  <c r="H22" i="6" l="1"/>
  <c r="H30" i="6" s="1"/>
  <c r="R10" i="6"/>
  <c r="H13" i="6"/>
  <c r="C20" i="6"/>
  <c r="H7" i="4"/>
  <c r="C20" i="4"/>
  <c r="C18" i="4"/>
  <c r="C6" i="4"/>
  <c r="C8" i="4" s="1"/>
  <c r="C9" i="4" s="1"/>
  <c r="C11" i="4" s="1"/>
  <c r="C12" i="4" s="1"/>
  <c r="C19" i="4"/>
  <c r="C7" i="4"/>
  <c r="H23" i="6" l="1"/>
  <c r="C21" i="6"/>
  <c r="C22" i="6"/>
  <c r="C23" i="6" s="1"/>
  <c r="R18" i="6"/>
  <c r="R19" i="6" s="1"/>
  <c r="R20" i="6" s="1"/>
  <c r="M31" i="4"/>
  <c r="H11" i="1"/>
  <c r="R18" i="4"/>
  <c r="U12" i="4"/>
  <c r="T12" i="4"/>
  <c r="S12" i="4"/>
  <c r="R11" i="4"/>
  <c r="S11" i="4" s="1"/>
  <c r="S10" i="4"/>
  <c r="R9" i="4"/>
  <c r="S9" i="4" s="1"/>
  <c r="S8" i="4"/>
  <c r="R8" i="4"/>
  <c r="S7" i="4"/>
  <c r="S4" i="4"/>
  <c r="S6" i="4"/>
  <c r="S5" i="4"/>
  <c r="T6" i="4"/>
  <c r="T5" i="4"/>
  <c r="U5" i="4" s="1"/>
  <c r="S3" i="4"/>
  <c r="U4" i="6" l="1"/>
  <c r="M33" i="6"/>
  <c r="C24" i="6"/>
  <c r="C25" i="6" s="1"/>
  <c r="H28" i="6" s="1"/>
  <c r="H29" i="6" s="1"/>
  <c r="U6" i="4"/>
  <c r="H14" i="4"/>
  <c r="T8" i="4"/>
  <c r="U8" i="4" s="1"/>
  <c r="C26" i="6" l="1"/>
  <c r="M14" i="6" s="1"/>
  <c r="M18" i="6" s="1"/>
  <c r="V10" i="6" s="1"/>
  <c r="R24" i="6"/>
  <c r="C27" i="6"/>
  <c r="H14" i="6"/>
  <c r="H15" i="6" s="1"/>
  <c r="H16" i="6" s="1"/>
  <c r="M5" i="4"/>
  <c r="M6" i="4" s="1"/>
  <c r="M4" i="4"/>
  <c r="C4" i="4"/>
  <c r="M24" i="4" s="1"/>
  <c r="C3" i="4"/>
  <c r="M3" i="4"/>
  <c r="J14" i="3"/>
  <c r="C24" i="3"/>
  <c r="C20" i="3"/>
  <c r="O7" i="3"/>
  <c r="P7" i="3"/>
  <c r="Q7" i="3"/>
  <c r="N7" i="3"/>
  <c r="I7" i="3"/>
  <c r="J7" i="3"/>
  <c r="K7" i="3"/>
  <c r="L7" i="3"/>
  <c r="M7" i="3"/>
  <c r="H7" i="3"/>
  <c r="M19" i="6" l="1"/>
  <c r="C28" i="6"/>
  <c r="H24" i="6"/>
  <c r="M20" i="6" s="1"/>
  <c r="R27" i="6"/>
  <c r="M27" i="4"/>
  <c r="M26" i="4"/>
  <c r="M25" i="4"/>
  <c r="M8" i="4"/>
  <c r="H3" i="4" s="1"/>
  <c r="H12" i="4"/>
  <c r="H15" i="4" s="1"/>
  <c r="H16" i="4" s="1"/>
  <c r="M7" i="4"/>
  <c r="T3" i="4" s="1"/>
  <c r="U3" i="4" s="1"/>
  <c r="C16" i="4"/>
  <c r="C14" i="4"/>
  <c r="M14" i="4" s="1"/>
  <c r="H18" i="4"/>
  <c r="C5" i="4"/>
  <c r="C13" i="3"/>
  <c r="C9" i="3"/>
  <c r="C10" i="3" s="1"/>
  <c r="C8" i="3"/>
  <c r="C7" i="3"/>
  <c r="C14" i="3" s="1"/>
  <c r="C16" i="3" s="1"/>
  <c r="C4" i="3"/>
  <c r="C12" i="3" s="1"/>
  <c r="C3" i="3"/>
  <c r="C2" i="3"/>
  <c r="R28" i="6" l="1"/>
  <c r="R29" i="6" s="1"/>
  <c r="R25" i="6"/>
  <c r="R26" i="6"/>
  <c r="R21" i="6"/>
  <c r="R22" i="6" s="1"/>
  <c r="R14" i="6"/>
  <c r="M17" i="4"/>
  <c r="M28" i="4"/>
  <c r="M29" i="4"/>
  <c r="P29" i="4" s="1"/>
  <c r="T4" i="4"/>
  <c r="U4" i="4" s="1"/>
  <c r="H19" i="4"/>
  <c r="T11" i="4" s="1"/>
  <c r="U11" i="4" s="1"/>
  <c r="H4" i="4"/>
  <c r="C17" i="4"/>
  <c r="C5" i="3"/>
  <c r="C11" i="3"/>
  <c r="M34" i="4" l="1"/>
  <c r="M33" i="4"/>
  <c r="M16" i="4"/>
  <c r="T10" i="4"/>
  <c r="U10" i="4" s="1"/>
  <c r="H20" i="4"/>
  <c r="C21" i="3"/>
  <c r="C19" i="3"/>
  <c r="C17" i="3"/>
  <c r="C22" i="3" s="1"/>
  <c r="C25" i="3" s="1"/>
  <c r="M20" i="4" l="1"/>
  <c r="M21" i="4" s="1"/>
  <c r="T9" i="4" s="1"/>
  <c r="U9" i="4" s="1"/>
  <c r="H22" i="4"/>
  <c r="T7" i="4" s="1"/>
  <c r="U7" i="4" s="1"/>
  <c r="H23" i="4" l="1"/>
</calcChain>
</file>

<file path=xl/comments1.xml><?xml version="1.0" encoding="utf-8"?>
<comments xmlns="http://schemas.openxmlformats.org/spreadsheetml/2006/main">
  <authors>
    <author>mesutto</author>
  </authors>
  <commentList>
    <comment ref="H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was selected high due to possible manufacturing problems.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 used currently.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Depends on magnet selection
XG196/96 is used from maxwell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is calculated based on tooth flux density constraint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Depends on magnet selection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Sarım için önemli. Açık olması daha iyi.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 optimized or calculated.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parameter is critical for fill factor.</t>
        </r>
      </text>
    </comment>
  </commentList>
</comments>
</file>

<file path=xl/comments2.xml><?xml version="1.0" encoding="utf-8"?>
<comments xmlns="http://schemas.openxmlformats.org/spreadsheetml/2006/main">
  <authors>
    <author>mesutto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is actually a design parameter.
</t>
        </r>
      </text>
    </comment>
  </commentList>
</comments>
</file>

<file path=xl/comments3.xml><?xml version="1.0" encoding="utf-8"?>
<comments xmlns="http://schemas.openxmlformats.org/spreadsheetml/2006/main">
  <authors>
    <author>mesutto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AWG#13</t>
        </r>
      </text>
    </comment>
  </commentList>
</comments>
</file>

<file path=xl/sharedStrings.xml><?xml version="1.0" encoding="utf-8"?>
<sst xmlns="http://schemas.openxmlformats.org/spreadsheetml/2006/main" count="774" uniqueCount="415">
  <si>
    <t>Power factor</t>
  </si>
  <si>
    <t>Winding factor</t>
  </si>
  <si>
    <t>Number of slots</t>
  </si>
  <si>
    <t>Number of poles</t>
  </si>
  <si>
    <t>Symbol</t>
  </si>
  <si>
    <t>Value</t>
  </si>
  <si>
    <t>Unit</t>
  </si>
  <si>
    <t>W</t>
  </si>
  <si>
    <t>Total output power</t>
  </si>
  <si>
    <t xml:space="preserve">Number of modules </t>
  </si>
  <si>
    <t xml:space="preserve">Series connected modules </t>
  </si>
  <si>
    <t xml:space="preserve">Modulation index </t>
  </si>
  <si>
    <t xml:space="preserve">Number of phases </t>
  </si>
  <si>
    <t>n</t>
  </si>
  <si>
    <t>m</t>
  </si>
  <si>
    <t>-</t>
  </si>
  <si>
    <t>Synchronous speed</t>
  </si>
  <si>
    <t>rpm</t>
  </si>
  <si>
    <t>Slots per phase per module</t>
  </si>
  <si>
    <t>w</t>
  </si>
  <si>
    <t>Slot fill factor</t>
  </si>
  <si>
    <t>Electrical loading</t>
  </si>
  <si>
    <t>A</t>
  </si>
  <si>
    <t>kA/m</t>
  </si>
  <si>
    <t>p</t>
  </si>
  <si>
    <t>Applied frequency</t>
  </si>
  <si>
    <t>Phase voltage (module)</t>
  </si>
  <si>
    <t>Magnetic loading</t>
  </si>
  <si>
    <t>T</t>
  </si>
  <si>
    <t>Current density</t>
  </si>
  <si>
    <t>J</t>
  </si>
  <si>
    <t>Slot per pole per phase</t>
  </si>
  <si>
    <t>DC Link voltage</t>
  </si>
  <si>
    <t>V</t>
  </si>
  <si>
    <t>Parallel connected modules</t>
  </si>
  <si>
    <r>
      <t>P</t>
    </r>
    <r>
      <rPr>
        <vertAlign val="subscript"/>
        <sz val="11"/>
        <color theme="1"/>
        <rFont val="Garamond"/>
        <family val="1"/>
        <charset val="162"/>
      </rPr>
      <t>out</t>
    </r>
  </si>
  <si>
    <r>
      <t>V</t>
    </r>
    <r>
      <rPr>
        <vertAlign val="subscript"/>
        <sz val="11"/>
        <color theme="1"/>
        <rFont val="Garamond"/>
        <family val="1"/>
        <charset val="162"/>
      </rPr>
      <t>dc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</si>
  <si>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</si>
  <si>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m</t>
    </r>
    <r>
      <rPr>
        <vertAlign val="subscript"/>
        <sz val="11"/>
        <color theme="1"/>
        <rFont val="Garamond"/>
        <family val="1"/>
        <charset val="162"/>
      </rPr>
      <t>a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</si>
  <si>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</si>
  <si>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cu</t>
    </r>
  </si>
  <si>
    <r>
      <t>A</t>
    </r>
    <r>
      <rPr>
        <vertAlign val="subscript"/>
        <sz val="11"/>
        <color theme="1"/>
        <rFont val="Garamond"/>
        <family val="1"/>
        <charset val="162"/>
      </rPr>
      <t>rms</t>
    </r>
  </si>
  <si>
    <r>
      <t>B</t>
    </r>
    <r>
      <rPr>
        <vertAlign val="subscript"/>
        <sz val="11"/>
        <color theme="1"/>
        <rFont val="Garamond"/>
        <family val="1"/>
        <charset val="162"/>
      </rPr>
      <t>p</t>
    </r>
  </si>
  <si>
    <r>
      <t>A/mm</t>
    </r>
    <r>
      <rPr>
        <vertAlign val="superscript"/>
        <sz val="11"/>
        <color theme="1"/>
        <rFont val="Garamond"/>
        <family val="1"/>
        <charset val="162"/>
      </rPr>
      <t>2</t>
    </r>
  </si>
  <si>
    <r>
      <t>n</t>
    </r>
    <r>
      <rPr>
        <vertAlign val="subscript"/>
        <sz val="11"/>
        <color theme="1"/>
        <rFont val="Garamond"/>
        <family val="1"/>
        <charset val="162"/>
      </rPr>
      <t>p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</si>
  <si>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</si>
  <si>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</si>
  <si>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w</t>
    </r>
  </si>
  <si>
    <r>
      <t>V</t>
    </r>
    <r>
      <rPr>
        <vertAlign val="subscript"/>
        <sz val="11"/>
        <color theme="1"/>
        <rFont val="Garamond"/>
        <family val="1"/>
        <charset val="162"/>
      </rPr>
      <t>phm</t>
    </r>
  </si>
  <si>
    <t>Motor efficiency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</si>
  <si>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m</t>
    </r>
  </si>
  <si>
    <t>%</t>
  </si>
  <si>
    <t>pf</t>
  </si>
  <si>
    <t>Drive efficiency</t>
  </si>
  <si>
    <t>Expected Parameters</t>
  </si>
  <si>
    <t>Selected Parameters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</si>
  <si>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d</t>
    </r>
  </si>
  <si>
    <t>Calculated Parameters</t>
  </si>
  <si>
    <t>Inherited</t>
  </si>
  <si>
    <t>Rated torque</t>
  </si>
  <si>
    <r>
      <t>T</t>
    </r>
    <r>
      <rPr>
        <vertAlign val="subscript"/>
        <sz val="11"/>
        <color theme="1"/>
        <rFont val="Garamond"/>
        <family val="1"/>
        <charset val="162"/>
      </rPr>
      <t>r</t>
    </r>
  </si>
  <si>
    <t>pi</t>
  </si>
  <si>
    <t>Drive output power (module)</t>
  </si>
  <si>
    <r>
      <t>P</t>
    </r>
    <r>
      <rPr>
        <vertAlign val="subscript"/>
        <sz val="11"/>
        <color theme="1"/>
        <rFont val="Garamond"/>
        <family val="1"/>
        <charset val="162"/>
      </rPr>
      <t>drm</t>
    </r>
  </si>
  <si>
    <t>Nm</t>
  </si>
  <si>
    <t>DC Link voltage (module)</t>
  </si>
  <si>
    <r>
      <t>V</t>
    </r>
    <r>
      <rPr>
        <vertAlign val="subscript"/>
        <sz val="11"/>
        <color theme="1"/>
        <rFont val="Garamond"/>
        <family val="1"/>
        <charset val="162"/>
      </rPr>
      <t>dcm</t>
    </r>
  </si>
  <si>
    <t>Phase current (module)</t>
  </si>
  <si>
    <r>
      <t>I</t>
    </r>
    <r>
      <rPr>
        <vertAlign val="subscript"/>
        <sz val="11"/>
        <color theme="1"/>
        <rFont val="Garamond"/>
        <family val="1"/>
        <charset val="162"/>
      </rPr>
      <t>phm</t>
    </r>
  </si>
  <si>
    <r>
      <t>f</t>
    </r>
    <r>
      <rPr>
        <vertAlign val="subscript"/>
        <sz val="11"/>
        <color theme="1"/>
        <rFont val="Garamond"/>
        <family val="1"/>
        <charset val="162"/>
      </rPr>
      <t>r</t>
    </r>
  </si>
  <si>
    <t>Hz</t>
  </si>
  <si>
    <t>Sheer stress</t>
  </si>
  <si>
    <t>σ</t>
  </si>
  <si>
    <t>kPa</t>
  </si>
  <si>
    <r>
      <t>D</t>
    </r>
    <r>
      <rPr>
        <vertAlign val="superscript"/>
        <sz val="11"/>
        <color theme="1"/>
        <rFont val="Garamond"/>
        <family val="1"/>
        <charset val="162"/>
      </rPr>
      <t>2</t>
    </r>
    <r>
      <rPr>
        <sz val="11"/>
        <color theme="1"/>
        <rFont val="Garamond"/>
        <family val="1"/>
        <charset val="162"/>
      </rPr>
      <t>L</t>
    </r>
  </si>
  <si>
    <r>
      <t>m</t>
    </r>
    <r>
      <rPr>
        <vertAlign val="superscript"/>
        <sz val="11"/>
        <color theme="1"/>
        <rFont val="Garamond"/>
        <family val="1"/>
        <charset val="162"/>
      </rPr>
      <t>3</t>
    </r>
  </si>
  <si>
    <t>Aspect ratio</t>
  </si>
  <si>
    <t>L/D</t>
  </si>
  <si>
    <t>Bore diameter</t>
  </si>
  <si>
    <r>
      <t>D</t>
    </r>
    <r>
      <rPr>
        <vertAlign val="subscript"/>
        <sz val="11"/>
        <color theme="1"/>
        <rFont val="Garamond"/>
        <family val="1"/>
        <charset val="162"/>
      </rPr>
      <t>is</t>
    </r>
  </si>
  <si>
    <t>mm</t>
  </si>
  <si>
    <t>Axial length</t>
  </si>
  <si>
    <r>
      <t>L</t>
    </r>
    <r>
      <rPr>
        <vertAlign val="subscript"/>
        <sz val="11"/>
        <color theme="1"/>
        <rFont val="Garamond"/>
        <family val="1"/>
        <charset val="162"/>
      </rPr>
      <t>a</t>
    </r>
  </si>
  <si>
    <t>Outer diameter</t>
  </si>
  <si>
    <r>
      <t>D</t>
    </r>
    <r>
      <rPr>
        <vertAlign val="subscript"/>
        <sz val="11"/>
        <color theme="1"/>
        <rFont val="Garamond"/>
        <family val="1"/>
        <charset val="162"/>
      </rPr>
      <t>os</t>
    </r>
  </si>
  <si>
    <t>Air gap distance</t>
  </si>
  <si>
    <r>
      <t>l</t>
    </r>
    <r>
      <rPr>
        <vertAlign val="subscript"/>
        <sz val="11"/>
        <color theme="1"/>
        <rFont val="Garamond"/>
        <family val="1"/>
        <charset val="162"/>
      </rPr>
      <t>g</t>
    </r>
  </si>
  <si>
    <t>play with this</t>
  </si>
  <si>
    <t>Magnet thickness</t>
  </si>
  <si>
    <r>
      <t>l</t>
    </r>
    <r>
      <rPr>
        <vertAlign val="subscript"/>
        <sz val="11"/>
        <color theme="1"/>
        <rFont val="Garamond"/>
        <family val="1"/>
        <charset val="162"/>
      </rPr>
      <t>m</t>
    </r>
  </si>
  <si>
    <t>pole</t>
  </si>
  <si>
    <t>Do/Di</t>
  </si>
  <si>
    <t>Stator slot pitch</t>
  </si>
  <si>
    <t>Flux per pole</t>
  </si>
  <si>
    <r>
      <t>τ</t>
    </r>
    <r>
      <rPr>
        <vertAlign val="subscript"/>
        <sz val="11"/>
        <color theme="1"/>
        <rFont val="Garamond"/>
        <family val="1"/>
        <charset val="162"/>
      </rPr>
      <t>s</t>
    </r>
  </si>
  <si>
    <r>
      <t>Φ</t>
    </r>
    <r>
      <rPr>
        <vertAlign val="subscript"/>
        <sz val="11"/>
        <color theme="1"/>
        <rFont val="Garamond"/>
        <family val="1"/>
        <charset val="162"/>
      </rPr>
      <t>pp</t>
    </r>
  </si>
  <si>
    <t>mWb</t>
  </si>
  <si>
    <t>Turns per coil side</t>
  </si>
  <si>
    <t>Layer number</t>
  </si>
  <si>
    <t>layer</t>
  </si>
  <si>
    <r>
      <t>z</t>
    </r>
    <r>
      <rPr>
        <vertAlign val="subscript"/>
        <sz val="11"/>
        <color theme="1"/>
        <rFont val="Garamond"/>
        <family val="1"/>
        <charset val="162"/>
      </rPr>
      <t>Q</t>
    </r>
  </si>
  <si>
    <t>Induced voltage (module-phase)</t>
  </si>
  <si>
    <r>
      <t>E</t>
    </r>
    <r>
      <rPr>
        <vertAlign val="subscript"/>
        <sz val="11"/>
        <color theme="1"/>
        <rFont val="Garamond"/>
        <family val="1"/>
        <charset val="162"/>
      </rPr>
      <t>phm</t>
    </r>
  </si>
  <si>
    <t>Turns per module per phase</t>
  </si>
  <si>
    <r>
      <t>N</t>
    </r>
    <r>
      <rPr>
        <vertAlign val="subscript"/>
        <sz val="11"/>
        <color theme="1"/>
        <rFont val="Garamond"/>
        <family val="1"/>
        <charset val="162"/>
      </rPr>
      <t>phm</t>
    </r>
  </si>
  <si>
    <t>???</t>
  </si>
  <si>
    <t>Motor</t>
  </si>
  <si>
    <t>Drive</t>
  </si>
  <si>
    <t>Copper resistivity</t>
  </si>
  <si>
    <r>
      <rPr>
        <sz val="11"/>
        <color theme="1"/>
        <rFont val="Calibri"/>
        <family val="2"/>
        <charset val="162"/>
      </rPr>
      <t>Ω</t>
    </r>
    <r>
      <rPr>
        <sz val="11"/>
        <color theme="1"/>
        <rFont val="Garamond"/>
        <family val="1"/>
        <charset val="162"/>
      </rPr>
      <t>m</t>
    </r>
  </si>
  <si>
    <t>Copper permeability</t>
  </si>
  <si>
    <r>
      <t>ρ</t>
    </r>
    <r>
      <rPr>
        <vertAlign val="subscript"/>
        <sz val="11"/>
        <color theme="1"/>
        <rFont val="Calibri"/>
        <family val="2"/>
        <charset val="162"/>
      </rPr>
      <t>cu</t>
    </r>
  </si>
  <si>
    <r>
      <t>µ</t>
    </r>
    <r>
      <rPr>
        <vertAlign val="subscript"/>
        <sz val="11"/>
        <color theme="1"/>
        <rFont val="Calibri"/>
        <family val="2"/>
        <charset val="162"/>
      </rPr>
      <t>cu</t>
    </r>
  </si>
  <si>
    <t>H/m</t>
  </si>
  <si>
    <t>Skin depth</t>
  </si>
  <si>
    <t>δ</t>
  </si>
  <si>
    <t>Required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</si>
  <si>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</t>
    </r>
  </si>
  <si>
    <t>Selected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</si>
  <si>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cu-req</t>
    </r>
  </si>
  <si>
    <r>
      <t>R</t>
    </r>
    <r>
      <rPr>
        <vertAlign val="subscript"/>
        <sz val="11"/>
        <color theme="1"/>
        <rFont val="Garamond"/>
        <family val="1"/>
        <charset val="162"/>
      </rPr>
      <t>sp</t>
    </r>
  </si>
  <si>
    <t>Copper area per slot</t>
  </si>
  <si>
    <r>
      <t>A</t>
    </r>
    <r>
      <rPr>
        <vertAlign val="subscript"/>
        <sz val="11"/>
        <color theme="1"/>
        <rFont val="Garamond"/>
        <family val="1"/>
        <charset val="162"/>
      </rPr>
      <t>cus</t>
    </r>
  </si>
  <si>
    <r>
      <t>mm</t>
    </r>
    <r>
      <rPr>
        <vertAlign val="superscript"/>
        <sz val="11"/>
        <color theme="1"/>
        <rFont val="Garamond"/>
        <family val="1"/>
        <charset val="162"/>
      </rPr>
      <t>2</t>
    </r>
  </si>
  <si>
    <t>Winding</t>
  </si>
  <si>
    <t>Slot</t>
  </si>
  <si>
    <t>Ω/km</t>
  </si>
  <si>
    <t>Φpp</t>
  </si>
  <si>
    <t>Induced voltage</t>
  </si>
  <si>
    <r>
      <t>h</t>
    </r>
    <r>
      <rPr>
        <vertAlign val="subscript"/>
        <sz val="11"/>
        <color theme="1"/>
        <rFont val="Garamond"/>
        <family val="1"/>
        <charset val="162"/>
      </rPr>
      <t>s2</t>
    </r>
  </si>
  <si>
    <t>Slot height - 2</t>
  </si>
  <si>
    <t>Slot height - 1</t>
  </si>
  <si>
    <t>Slot height - 0</t>
  </si>
  <si>
    <r>
      <t>h</t>
    </r>
    <r>
      <rPr>
        <vertAlign val="subscript"/>
        <sz val="11"/>
        <color theme="1"/>
        <rFont val="Garamond"/>
        <family val="1"/>
        <charset val="162"/>
      </rPr>
      <t>s1</t>
    </r>
  </si>
  <si>
    <r>
      <t>h</t>
    </r>
    <r>
      <rPr>
        <vertAlign val="subscript"/>
        <sz val="11"/>
        <color theme="1"/>
        <rFont val="Garamond"/>
        <family val="1"/>
        <charset val="162"/>
      </rPr>
      <t>s0</t>
    </r>
  </si>
  <si>
    <t>Back core height</t>
  </si>
  <si>
    <r>
      <t>h</t>
    </r>
    <r>
      <rPr>
        <vertAlign val="subscript"/>
        <sz val="11"/>
        <color theme="1"/>
        <rFont val="Garamond"/>
        <family val="1"/>
        <charset val="162"/>
      </rPr>
      <t>bc</t>
    </r>
  </si>
  <si>
    <t>Slot width - 0</t>
  </si>
  <si>
    <r>
      <t>b</t>
    </r>
    <r>
      <rPr>
        <vertAlign val="subscript"/>
        <sz val="11"/>
        <color theme="1"/>
        <rFont val="Garamond"/>
        <family val="1"/>
        <charset val="162"/>
      </rPr>
      <t>s2</t>
    </r>
  </si>
  <si>
    <t>Slot width - 2</t>
  </si>
  <si>
    <t>Slot width - 1</t>
  </si>
  <si>
    <r>
      <t>b</t>
    </r>
    <r>
      <rPr>
        <vertAlign val="subscript"/>
        <sz val="11"/>
        <color theme="1"/>
        <rFont val="Garamond"/>
        <family val="1"/>
        <charset val="162"/>
      </rPr>
      <t>s1</t>
    </r>
  </si>
  <si>
    <r>
      <t>b</t>
    </r>
    <r>
      <rPr>
        <vertAlign val="subscript"/>
        <sz val="11"/>
        <color theme="1"/>
        <rFont val="Garamond"/>
        <family val="1"/>
        <charset val="162"/>
      </rPr>
      <t>s0</t>
    </r>
  </si>
  <si>
    <t>Induced voltage (module-ph)</t>
  </si>
  <si>
    <t>Wire specific resistance</t>
  </si>
  <si>
    <t>Tooth width</t>
  </si>
  <si>
    <t>Smooth edge</t>
  </si>
  <si>
    <r>
      <t>R</t>
    </r>
    <r>
      <rPr>
        <vertAlign val="subscript"/>
        <sz val="11"/>
        <color theme="1"/>
        <rFont val="Garamond"/>
        <family val="1"/>
        <charset val="162"/>
      </rPr>
      <t>s</t>
    </r>
  </si>
  <si>
    <r>
      <t>b</t>
    </r>
    <r>
      <rPr>
        <vertAlign val="subscript"/>
        <sz val="11"/>
        <color theme="1"/>
        <rFont val="Garamond"/>
        <family val="1"/>
        <charset val="162"/>
      </rPr>
      <t>t</t>
    </r>
  </si>
  <si>
    <t>Stator slot end pitch</t>
  </si>
  <si>
    <t>Slot area</t>
  </si>
  <si>
    <r>
      <t>A</t>
    </r>
    <r>
      <rPr>
        <vertAlign val="subscript"/>
        <sz val="11"/>
        <color theme="1"/>
        <rFont val="Garamond"/>
        <family val="1"/>
        <charset val="162"/>
      </rPr>
      <t>s</t>
    </r>
  </si>
  <si>
    <t>kcu</t>
  </si>
  <si>
    <t>Magnet embrace</t>
  </si>
  <si>
    <r>
      <t>e</t>
    </r>
    <r>
      <rPr>
        <vertAlign val="subscript"/>
        <sz val="11"/>
        <color theme="1"/>
        <rFont val="Garamond"/>
        <family val="1"/>
        <charset val="162"/>
      </rPr>
      <t>m</t>
    </r>
  </si>
  <si>
    <t>Quantity</t>
  </si>
  <si>
    <t>Result</t>
  </si>
  <si>
    <t>Scaled</t>
  </si>
  <si>
    <t>Error (%)</t>
  </si>
  <si>
    <t>Elect. Loading</t>
  </si>
  <si>
    <t>Current Density</t>
  </si>
  <si>
    <t>Loss</t>
  </si>
  <si>
    <t>Copper length</t>
  </si>
  <si>
    <r>
      <t>L</t>
    </r>
    <r>
      <rPr>
        <vertAlign val="subscript"/>
        <sz val="11"/>
        <color theme="1"/>
        <rFont val="Garamond"/>
        <family val="1"/>
        <charset val="162"/>
      </rPr>
      <t>cu</t>
    </r>
  </si>
  <si>
    <t>Phase resistance</t>
  </si>
  <si>
    <r>
      <t>R</t>
    </r>
    <r>
      <rPr>
        <vertAlign val="subscript"/>
        <sz val="11"/>
        <color theme="1"/>
        <rFont val="Garamond"/>
        <family val="1"/>
        <charset val="162"/>
      </rPr>
      <t>ph</t>
    </r>
  </si>
  <si>
    <t>mΩ</t>
  </si>
  <si>
    <r>
      <t>P</t>
    </r>
    <r>
      <rPr>
        <vertAlign val="subscript"/>
        <sz val="11"/>
        <color theme="1"/>
        <rFont val="Garamond"/>
        <family val="1"/>
        <charset val="162"/>
      </rPr>
      <t>cu-ph</t>
    </r>
  </si>
  <si>
    <t>Total loss</t>
  </si>
  <si>
    <t>Efficiency</t>
  </si>
  <si>
    <t>Analytic</t>
  </si>
  <si>
    <t>Copper loss</t>
  </si>
  <si>
    <t>Line current (m-p)</t>
  </si>
  <si>
    <t>Ind voltage (m-p)</t>
  </si>
  <si>
    <t>Arms</t>
  </si>
  <si>
    <t>Vrms</t>
  </si>
  <si>
    <t>Torque</t>
  </si>
  <si>
    <t>Fill factor</t>
  </si>
  <si>
    <t>pwt</t>
  </si>
  <si>
    <t>inh</t>
  </si>
  <si>
    <t>Core loss</t>
  </si>
  <si>
    <t>Copper loss/module/phase</t>
  </si>
  <si>
    <r>
      <t>P</t>
    </r>
    <r>
      <rPr>
        <vertAlign val="subscript"/>
        <sz val="11"/>
        <color theme="1"/>
        <rFont val="Garamond"/>
        <family val="1"/>
        <charset val="162"/>
      </rPr>
      <t>c</t>
    </r>
  </si>
  <si>
    <r>
      <t>P</t>
    </r>
    <r>
      <rPr>
        <vertAlign val="subscript"/>
        <sz val="11"/>
        <color theme="1"/>
        <rFont val="Garamond"/>
        <family val="1"/>
        <charset val="162"/>
      </rPr>
      <t>loss</t>
    </r>
  </si>
  <si>
    <t>Half turn length</t>
  </si>
  <si>
    <t>Resistance</t>
  </si>
  <si>
    <t>Magnet</t>
  </si>
  <si>
    <t>Air gap effective pole area</t>
  </si>
  <si>
    <t>Magnet effective pole area</t>
  </si>
  <si>
    <t>Magnet relative permeability</t>
  </si>
  <si>
    <t>Air permeability</t>
  </si>
  <si>
    <r>
      <t>µ</t>
    </r>
    <r>
      <rPr>
        <vertAlign val="subscript"/>
        <sz val="11"/>
        <color theme="1"/>
        <rFont val="Calibri"/>
        <family val="2"/>
        <charset val="162"/>
      </rPr>
      <t>0</t>
    </r>
  </si>
  <si>
    <t>Magnet permeability</t>
  </si>
  <si>
    <r>
      <t>A</t>
    </r>
    <r>
      <rPr>
        <vertAlign val="subscript"/>
        <sz val="11"/>
        <color theme="1"/>
        <rFont val="Garamond"/>
        <family val="1"/>
        <charset val="162"/>
      </rPr>
      <t>g</t>
    </r>
  </si>
  <si>
    <r>
      <t>A</t>
    </r>
    <r>
      <rPr>
        <vertAlign val="subscript"/>
        <sz val="11"/>
        <color theme="1"/>
        <rFont val="Garamond"/>
        <family val="1"/>
        <charset val="162"/>
      </rPr>
      <t>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</si>
  <si>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</si>
  <si>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rec</t>
    </r>
  </si>
  <si>
    <r>
      <t>η</t>
    </r>
    <r>
      <rPr>
        <vertAlign val="subscript"/>
        <sz val="11"/>
        <color theme="1"/>
        <rFont val="Calibri Light"/>
        <family val="2"/>
        <charset val="162"/>
        <scheme val="major"/>
      </rPr>
      <t>m</t>
    </r>
  </si>
  <si>
    <t>Magnet pole angle</t>
  </si>
  <si>
    <r>
      <t>θ</t>
    </r>
    <r>
      <rPr>
        <vertAlign val="subscript"/>
        <sz val="11"/>
        <color theme="1"/>
        <rFont val="Garamond"/>
        <family val="1"/>
        <charset val="162"/>
      </rPr>
      <t>m</t>
    </r>
  </si>
  <si>
    <t>rad</t>
  </si>
  <si>
    <t>deg</t>
  </si>
  <si>
    <r>
      <t>cm</t>
    </r>
    <r>
      <rPr>
        <vertAlign val="superscript"/>
        <sz val="11"/>
        <color theme="1"/>
        <rFont val="Garamond"/>
        <family val="1"/>
        <charset val="162"/>
      </rPr>
      <t>2</t>
    </r>
  </si>
  <si>
    <t>Flux concentration coefficient</t>
  </si>
  <si>
    <r>
      <t>C</t>
    </r>
    <r>
      <rPr>
        <vertAlign val="subscript"/>
        <sz val="11"/>
        <color theme="1"/>
        <rFont val="Calibri"/>
        <family val="2"/>
        <charset val="162"/>
      </rPr>
      <t>Φ</t>
    </r>
  </si>
  <si>
    <t>Permeance Coefficient</t>
  </si>
  <si>
    <t>PC</t>
  </si>
  <si>
    <t>Remanent flux density</t>
  </si>
  <si>
    <r>
      <t>B</t>
    </r>
    <r>
      <rPr>
        <vertAlign val="subscript"/>
        <sz val="11"/>
        <color theme="1"/>
        <rFont val="Garamond"/>
        <family val="1"/>
        <charset val="162"/>
      </rPr>
      <t>r</t>
    </r>
  </si>
  <si>
    <r>
      <t>B</t>
    </r>
    <r>
      <rPr>
        <vertAlign val="subscript"/>
        <sz val="11"/>
        <color theme="1"/>
        <rFont val="Garamond"/>
        <family val="1"/>
        <charset val="162"/>
      </rPr>
      <t>g</t>
    </r>
  </si>
  <si>
    <r>
      <t>k</t>
    </r>
    <r>
      <rPr>
        <vertAlign val="subscript"/>
        <sz val="11"/>
        <color theme="1"/>
        <rFont val="Garamond"/>
        <family val="1"/>
        <charset val="162"/>
      </rPr>
      <t>c</t>
    </r>
  </si>
  <si>
    <r>
      <t>β</t>
    </r>
    <r>
      <rPr>
        <vertAlign val="subscript"/>
        <sz val="11"/>
        <color theme="1"/>
        <rFont val="Garamond"/>
        <family val="1"/>
        <charset val="162"/>
      </rPr>
      <t>r1</t>
    </r>
  </si>
  <si>
    <t>Magnet leakage coefficient</t>
  </si>
  <si>
    <t>Carter's coefficient</t>
  </si>
  <si>
    <t>Slot fraction</t>
  </si>
  <si>
    <r>
      <rPr>
        <sz val="11"/>
        <color theme="1"/>
        <rFont val="Calibri"/>
        <family val="2"/>
        <charset val="162"/>
      </rPr>
      <t>α</t>
    </r>
    <r>
      <rPr>
        <vertAlign val="subscript"/>
        <sz val="11"/>
        <color theme="1"/>
        <rFont val="Garamond"/>
        <family val="1"/>
        <charset val="162"/>
      </rPr>
      <t>s</t>
    </r>
  </si>
  <si>
    <t>uyd</t>
  </si>
  <si>
    <t>Maxwell Results Comparison</t>
  </si>
  <si>
    <t>Lakage factor</t>
  </si>
  <si>
    <r>
      <t>k</t>
    </r>
    <r>
      <rPr>
        <vertAlign val="subscript"/>
        <sz val="11"/>
        <color theme="1"/>
        <rFont val="Garamond"/>
        <family val="1"/>
        <charset val="162"/>
      </rPr>
      <t>l</t>
    </r>
  </si>
  <si>
    <r>
      <t>k</t>
    </r>
    <r>
      <rPr>
        <vertAlign val="subscript"/>
        <sz val="11"/>
        <color theme="1"/>
        <rFont val="Garamond"/>
        <family val="1"/>
        <charset val="162"/>
      </rPr>
      <t>r</t>
    </r>
  </si>
  <si>
    <t>Reluctance factor</t>
  </si>
  <si>
    <t>Air gap flux density</t>
  </si>
  <si>
    <t>cns</t>
  </si>
  <si>
    <t>Definitions - Constants</t>
  </si>
  <si>
    <t>The electrical loading, magnetic loading and current density are selected as follows:</t>
  </si>
  <si>
    <t>Average air gap flux density</t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</si>
  <si>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</t>
    </r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</si>
  <si>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se</t>
    </r>
  </si>
  <si>
    <r>
      <rPr>
        <sz val="11"/>
        <color theme="1"/>
        <rFont val="Calibri"/>
        <family val="2"/>
        <charset val="162"/>
      </rPr>
      <t>B</t>
    </r>
    <r>
      <rPr>
        <vertAlign val="subscript"/>
        <sz val="11"/>
        <color theme="1"/>
        <rFont val="Garamond"/>
        <family val="1"/>
        <charset val="162"/>
      </rPr>
      <t>avg</t>
    </r>
  </si>
  <si>
    <t>Circuit schematic for drive</t>
  </si>
  <si>
    <t>Volume</t>
  </si>
  <si>
    <r>
      <t>V</t>
    </r>
    <r>
      <rPr>
        <vertAlign val="subscript"/>
        <sz val="11"/>
        <color theme="1"/>
        <rFont val="Garamond"/>
        <family val="1"/>
        <charset val="162"/>
      </rPr>
      <t>r</t>
    </r>
  </si>
  <si>
    <t>Induced voltage (all-series)</t>
  </si>
  <si>
    <r>
      <t>E</t>
    </r>
    <r>
      <rPr>
        <vertAlign val="subscript"/>
        <sz val="11"/>
        <color theme="1"/>
        <rFont val="Garamond"/>
        <family val="1"/>
        <charset val="162"/>
      </rPr>
      <t>ph</t>
    </r>
  </si>
  <si>
    <t>Peak Tooth Flux</t>
  </si>
  <si>
    <t>Constants</t>
  </si>
  <si>
    <t>Constraints</t>
  </si>
  <si>
    <t>Definitions</t>
  </si>
  <si>
    <r>
      <t>P</t>
    </r>
    <r>
      <rPr>
        <vertAlign val="subscript"/>
        <sz val="10"/>
        <color theme="1"/>
        <rFont val="Garamond"/>
        <family val="1"/>
        <charset val="162"/>
      </rPr>
      <t>out</t>
    </r>
  </si>
  <si>
    <r>
      <t>k</t>
    </r>
    <r>
      <rPr>
        <vertAlign val="subscript"/>
        <sz val="10"/>
        <color theme="1"/>
        <rFont val="Garamond"/>
        <family val="1"/>
        <charset val="162"/>
      </rPr>
      <t>cu</t>
    </r>
  </si>
  <si>
    <r>
      <t>V</t>
    </r>
    <r>
      <rPr>
        <vertAlign val="subscript"/>
        <sz val="10"/>
        <color theme="1"/>
        <rFont val="Garamond"/>
        <family val="1"/>
        <charset val="162"/>
      </rPr>
      <t>dc</t>
    </r>
  </si>
  <si>
    <r>
      <t>A</t>
    </r>
    <r>
      <rPr>
        <vertAlign val="subscript"/>
        <sz val="10"/>
        <color theme="1"/>
        <rFont val="Garamond"/>
        <family val="1"/>
        <charset val="162"/>
      </rPr>
      <t>rms</t>
    </r>
  </si>
  <si>
    <r>
      <t>n</t>
    </r>
    <r>
      <rPr>
        <vertAlign val="subscript"/>
        <sz val="10"/>
        <color theme="1"/>
        <rFont val="Garamond"/>
        <family val="1"/>
        <charset val="162"/>
      </rPr>
      <t>s</t>
    </r>
  </si>
  <si>
    <r>
      <t>A/mm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</si>
  <si>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N</t>
    </r>
    <r>
      <rPr>
        <vertAlign val="subscript"/>
        <sz val="10"/>
        <color theme="1"/>
        <rFont val="Garamond"/>
        <family val="1"/>
        <charset val="162"/>
      </rPr>
      <t>s</t>
    </r>
  </si>
  <si>
    <t>Targets</t>
  </si>
  <si>
    <t>Peak tooth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</si>
  <si>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gp</t>
    </r>
  </si>
  <si>
    <r>
      <t>B</t>
    </r>
    <r>
      <rPr>
        <vertAlign val="subscript"/>
        <sz val="10"/>
        <color theme="1"/>
        <rFont val="Garamond"/>
        <family val="1"/>
        <charset val="162"/>
      </rPr>
      <t>tp</t>
    </r>
  </si>
  <si>
    <r>
      <t>η</t>
    </r>
    <r>
      <rPr>
        <vertAlign val="subscript"/>
        <sz val="10"/>
        <color theme="1"/>
        <rFont val="Garamond"/>
        <family val="1"/>
        <charset val="162"/>
      </rPr>
      <t>m</t>
    </r>
  </si>
  <si>
    <t>Ωm</t>
  </si>
  <si>
    <r>
      <t>η</t>
    </r>
    <r>
      <rPr>
        <vertAlign val="subscript"/>
        <sz val="10"/>
        <color theme="1"/>
        <rFont val="Garamond"/>
        <family val="1"/>
        <charset val="162"/>
      </rPr>
      <t>d</t>
    </r>
  </si>
  <si>
    <t>Peak air gap flux density</t>
  </si>
  <si>
    <t>Inner volume</t>
  </si>
  <si>
    <r>
      <t>D</t>
    </r>
    <r>
      <rPr>
        <vertAlign val="subscript"/>
        <sz val="10"/>
        <color theme="1"/>
        <rFont val="Garamond"/>
        <family val="1"/>
        <charset val="162"/>
      </rPr>
      <t>is</t>
    </r>
  </si>
  <si>
    <r>
      <t>Q</t>
    </r>
    <r>
      <rPr>
        <vertAlign val="subscript"/>
        <sz val="10"/>
        <color theme="1"/>
        <rFont val="Garamond"/>
        <family val="1"/>
        <charset val="162"/>
      </rPr>
      <t>s</t>
    </r>
  </si>
  <si>
    <r>
      <t>T</t>
    </r>
    <r>
      <rPr>
        <vertAlign val="subscript"/>
        <sz val="10"/>
        <color theme="1"/>
        <rFont val="Garamond"/>
        <family val="1"/>
        <charset val="162"/>
      </rPr>
      <t>r</t>
    </r>
  </si>
  <si>
    <r>
      <t>V</t>
    </r>
    <r>
      <rPr>
        <vertAlign val="subscript"/>
        <sz val="10"/>
        <color theme="1"/>
        <rFont val="Garamond"/>
        <family val="1"/>
        <charset val="162"/>
      </rPr>
      <t>r</t>
    </r>
  </si>
  <si>
    <r>
      <t>m</t>
    </r>
    <r>
      <rPr>
        <vertAlign val="superscript"/>
        <sz val="10"/>
        <color theme="1"/>
        <rFont val="Garamond"/>
        <family val="1"/>
        <charset val="162"/>
      </rPr>
      <t>3</t>
    </r>
  </si>
  <si>
    <r>
      <t>Di</t>
    </r>
    <r>
      <rPr>
        <vertAlign val="superscript"/>
        <sz val="10"/>
        <color theme="1"/>
        <rFont val="Garamond"/>
        <family val="1"/>
        <charset val="162"/>
      </rPr>
      <t>2</t>
    </r>
    <r>
      <rPr>
        <sz val="10"/>
        <color theme="1"/>
        <rFont val="Garamond"/>
        <family val="1"/>
        <charset val="162"/>
      </rPr>
      <t>L</t>
    </r>
  </si>
  <si>
    <r>
      <t>D</t>
    </r>
    <r>
      <rPr>
        <vertAlign val="superscript"/>
        <sz val="10"/>
        <color theme="1"/>
        <rFont val="Garamond"/>
        <family val="1"/>
        <charset val="162"/>
      </rPr>
      <t>2</t>
    </r>
    <r>
      <rPr>
        <sz val="10"/>
        <color theme="1"/>
        <rFont val="Garamond"/>
        <family val="1"/>
        <charset val="162"/>
      </rPr>
      <t>L</t>
    </r>
  </si>
  <si>
    <r>
      <t>m</t>
    </r>
    <r>
      <rPr>
        <vertAlign val="superscript"/>
        <sz val="10"/>
        <color theme="1"/>
        <rFont val="Garamond"/>
        <family val="1"/>
        <charset val="162"/>
      </rPr>
      <t>4</t>
    </r>
    <r>
      <rPr>
        <sz val="11"/>
        <color theme="1"/>
        <rFont val="Calibri"/>
        <family val="2"/>
        <charset val="162"/>
        <scheme val="minor"/>
      </rPr>
      <t/>
    </r>
  </si>
  <si>
    <r>
      <t>L</t>
    </r>
    <r>
      <rPr>
        <vertAlign val="subscript"/>
        <sz val="10"/>
        <color theme="1"/>
        <rFont val="Garamond"/>
        <family val="1"/>
        <charset val="162"/>
      </rPr>
      <t>a</t>
    </r>
  </si>
  <si>
    <r>
      <t>D</t>
    </r>
    <r>
      <rPr>
        <vertAlign val="subscript"/>
        <sz val="10"/>
        <color theme="1"/>
        <rFont val="Garamond"/>
        <family val="1"/>
        <charset val="162"/>
      </rPr>
      <t>os</t>
    </r>
  </si>
  <si>
    <t>Air gap length</t>
  </si>
  <si>
    <t>Magnet design</t>
  </si>
  <si>
    <t>Peak back core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</si>
  <si>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cp</t>
    </r>
  </si>
  <si>
    <r>
      <t>l</t>
    </r>
    <r>
      <rPr>
        <vertAlign val="subscript"/>
        <sz val="10"/>
        <color theme="1"/>
        <rFont val="Garamond"/>
        <family val="1"/>
        <charset val="162"/>
      </rPr>
      <t>g</t>
    </r>
  </si>
  <si>
    <r>
      <t>B</t>
    </r>
    <r>
      <rPr>
        <vertAlign val="subscript"/>
        <sz val="10"/>
        <color theme="1"/>
        <rFont val="Garamond"/>
        <family val="1"/>
        <charset val="162"/>
      </rPr>
      <t>r</t>
    </r>
  </si>
  <si>
    <r>
      <t>µ</t>
    </r>
    <r>
      <rPr>
        <vertAlign val="subscript"/>
        <sz val="10"/>
        <color theme="1"/>
        <rFont val="Garamond"/>
        <family val="1"/>
        <charset val="162"/>
      </rPr>
      <t>rm</t>
    </r>
  </si>
  <si>
    <r>
      <t>µ</t>
    </r>
    <r>
      <rPr>
        <vertAlign val="subscript"/>
        <sz val="10"/>
        <color theme="1"/>
        <rFont val="Garamond"/>
        <family val="1"/>
        <charset val="162"/>
      </rPr>
      <t>rec</t>
    </r>
  </si>
  <si>
    <t>Magnet length</t>
  </si>
  <si>
    <r>
      <t>l</t>
    </r>
    <r>
      <rPr>
        <vertAlign val="subscript"/>
        <sz val="10"/>
        <color theme="1"/>
        <rFont val="Garamond"/>
        <family val="1"/>
        <charset val="162"/>
      </rPr>
      <t>m</t>
    </r>
  </si>
  <si>
    <t>Air gap flux density (actual)</t>
  </si>
  <si>
    <r>
      <t>B</t>
    </r>
    <r>
      <rPr>
        <vertAlign val="subscript"/>
        <sz val="10"/>
        <color theme="1"/>
        <rFont val="Garamond"/>
        <family val="1"/>
        <charset val="162"/>
      </rPr>
      <t>gap</t>
    </r>
  </si>
  <si>
    <t>Slot design</t>
  </si>
  <si>
    <r>
      <t>e</t>
    </r>
    <r>
      <rPr>
        <vertAlign val="subscript"/>
        <sz val="10"/>
        <color theme="1"/>
        <rFont val="Garamond"/>
        <family val="1"/>
        <charset val="162"/>
      </rPr>
      <t>m</t>
    </r>
  </si>
  <si>
    <r>
      <t>θ</t>
    </r>
    <r>
      <rPr>
        <vertAlign val="subscript"/>
        <sz val="10"/>
        <color theme="1"/>
        <rFont val="Garamond"/>
        <family val="1"/>
        <charset val="162"/>
      </rPr>
      <t>m</t>
    </r>
  </si>
  <si>
    <r>
      <t>A</t>
    </r>
    <r>
      <rPr>
        <vertAlign val="subscript"/>
        <sz val="10"/>
        <color theme="1"/>
        <rFont val="Garamond"/>
        <family val="1"/>
        <charset val="162"/>
      </rPr>
      <t>g</t>
    </r>
  </si>
  <si>
    <r>
      <t>cm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</si>
  <si>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A</t>
    </r>
    <r>
      <rPr>
        <vertAlign val="subscript"/>
        <sz val="10"/>
        <color theme="1"/>
        <rFont val="Garamond"/>
        <family val="1"/>
        <charset val="162"/>
      </rPr>
      <t>m</t>
    </r>
  </si>
  <si>
    <r>
      <t>τ</t>
    </r>
    <r>
      <rPr>
        <vertAlign val="subscript"/>
        <sz val="10"/>
        <color theme="1"/>
        <rFont val="Garamond"/>
        <family val="1"/>
        <charset val="162"/>
      </rPr>
      <t>s</t>
    </r>
  </si>
  <si>
    <r>
      <t>C</t>
    </r>
    <r>
      <rPr>
        <vertAlign val="subscript"/>
        <sz val="10"/>
        <color theme="1"/>
        <rFont val="Garamond"/>
        <family val="1"/>
        <charset val="162"/>
      </rPr>
      <t>Φ</t>
    </r>
  </si>
  <si>
    <t>Leakage factor</t>
  </si>
  <si>
    <t>XG196/96</t>
  </si>
  <si>
    <t>H (A/m)</t>
  </si>
  <si>
    <t>B (T)</t>
  </si>
  <si>
    <t>steel</t>
  </si>
  <si>
    <t>M19-24G</t>
  </si>
  <si>
    <t>magnet</t>
  </si>
  <si>
    <t>Tooth fraction</t>
  </si>
  <si>
    <r>
      <t>k</t>
    </r>
    <r>
      <rPr>
        <vertAlign val="subscript"/>
        <sz val="10"/>
        <color theme="1"/>
        <rFont val="Garamond"/>
        <family val="1"/>
        <charset val="162"/>
      </rPr>
      <t>w</t>
    </r>
  </si>
  <si>
    <r>
      <t>b</t>
    </r>
    <r>
      <rPr>
        <vertAlign val="subscript"/>
        <sz val="10"/>
        <color theme="1"/>
        <rFont val="Garamond"/>
        <family val="1"/>
        <charset val="162"/>
      </rPr>
      <t>t</t>
    </r>
  </si>
  <si>
    <r>
      <t>z</t>
    </r>
    <r>
      <rPr>
        <vertAlign val="subscript"/>
        <sz val="10"/>
        <color theme="1"/>
        <rFont val="Garamond"/>
        <family val="1"/>
        <charset val="162"/>
      </rPr>
      <t>Q</t>
    </r>
  </si>
  <si>
    <r>
      <t>b</t>
    </r>
    <r>
      <rPr>
        <vertAlign val="subscript"/>
        <sz val="10"/>
        <color theme="1"/>
        <rFont val="Garamond"/>
        <family val="1"/>
        <charset val="162"/>
      </rPr>
      <t>s1</t>
    </r>
  </si>
  <si>
    <r>
      <t>N</t>
    </r>
    <r>
      <rPr>
        <vertAlign val="subscript"/>
        <sz val="10"/>
        <color theme="1"/>
        <rFont val="Garamond"/>
        <family val="1"/>
        <charset val="162"/>
      </rPr>
      <t>phm</t>
    </r>
  </si>
  <si>
    <r>
      <t>b</t>
    </r>
    <r>
      <rPr>
        <vertAlign val="subscript"/>
        <sz val="10"/>
        <color theme="1"/>
        <rFont val="Garamond"/>
        <family val="1"/>
        <charset val="162"/>
      </rPr>
      <t>s0</t>
    </r>
  </si>
  <si>
    <r>
      <t>E</t>
    </r>
    <r>
      <rPr>
        <vertAlign val="subscript"/>
        <sz val="10"/>
        <color theme="1"/>
        <rFont val="Garamond"/>
        <family val="1"/>
        <charset val="162"/>
      </rPr>
      <t>phm</t>
    </r>
  </si>
  <si>
    <r>
      <t>h</t>
    </r>
    <r>
      <rPr>
        <vertAlign val="subscript"/>
        <sz val="10"/>
        <color theme="1"/>
        <rFont val="Garamond"/>
        <family val="1"/>
        <charset val="162"/>
      </rPr>
      <t>s1</t>
    </r>
  </si>
  <si>
    <r>
      <t>E</t>
    </r>
    <r>
      <rPr>
        <vertAlign val="subscript"/>
        <sz val="10"/>
        <color theme="1"/>
        <rFont val="Garamond"/>
        <family val="1"/>
        <charset val="162"/>
      </rPr>
      <t>ph</t>
    </r>
  </si>
  <si>
    <r>
      <t>h</t>
    </r>
    <r>
      <rPr>
        <vertAlign val="subscript"/>
        <sz val="10"/>
        <color theme="1"/>
        <rFont val="Garamond"/>
        <family val="1"/>
        <charset val="162"/>
      </rPr>
      <t>s0</t>
    </r>
  </si>
  <si>
    <r>
      <t>R</t>
    </r>
    <r>
      <rPr>
        <vertAlign val="subscript"/>
        <sz val="10"/>
        <color theme="1"/>
        <rFont val="Garamond"/>
        <family val="1"/>
        <charset val="162"/>
      </rPr>
      <t>s</t>
    </r>
  </si>
  <si>
    <r>
      <t>Φ</t>
    </r>
    <r>
      <rPr>
        <vertAlign val="subscript"/>
        <sz val="10"/>
        <color theme="1"/>
        <rFont val="Garamond"/>
        <family val="1"/>
        <charset val="162"/>
      </rPr>
      <t>pp</t>
    </r>
  </si>
  <si>
    <t>Slot end diameter</t>
  </si>
  <si>
    <r>
      <t>D</t>
    </r>
    <r>
      <rPr>
        <vertAlign val="subscript"/>
        <sz val="10"/>
        <color theme="1"/>
        <rFont val="Garamond"/>
        <family val="1"/>
        <charset val="162"/>
      </rPr>
      <t>ss</t>
    </r>
  </si>
  <si>
    <t>Copper area</t>
  </si>
  <si>
    <r>
      <t>h</t>
    </r>
    <r>
      <rPr>
        <vertAlign val="subscript"/>
        <sz val="10"/>
        <color theme="1"/>
        <rFont val="Garamond"/>
        <family val="1"/>
        <charset val="162"/>
      </rPr>
      <t>s2</t>
    </r>
  </si>
  <si>
    <r>
      <t>b</t>
    </r>
    <r>
      <rPr>
        <vertAlign val="subscript"/>
        <sz val="10"/>
        <color theme="1"/>
        <rFont val="Garamond"/>
        <family val="1"/>
        <charset val="162"/>
      </rPr>
      <t>s2</t>
    </r>
  </si>
  <si>
    <r>
      <t>A</t>
    </r>
    <r>
      <rPr>
        <vertAlign val="subscript"/>
        <sz val="10"/>
        <color theme="1"/>
        <rFont val="Garamond"/>
        <family val="1"/>
        <charset val="162"/>
      </rPr>
      <t>s</t>
    </r>
  </si>
  <si>
    <r>
      <t>mm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</si>
  <si>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A</t>
    </r>
    <r>
      <rPr>
        <vertAlign val="subscript"/>
        <sz val="10"/>
        <color theme="1"/>
        <rFont val="Garamond"/>
        <family val="1"/>
        <charset val="162"/>
      </rPr>
      <t>cu</t>
    </r>
  </si>
  <si>
    <r>
      <t>I</t>
    </r>
    <r>
      <rPr>
        <vertAlign val="subscript"/>
        <sz val="10"/>
        <color theme="1"/>
        <rFont val="Garamond"/>
        <family val="1"/>
        <charset val="162"/>
      </rPr>
      <t>phm</t>
    </r>
  </si>
  <si>
    <t>Induced voltage and phase current</t>
  </si>
  <si>
    <t>Back core</t>
  </si>
  <si>
    <t>Verification</t>
  </si>
  <si>
    <t>Power density</t>
  </si>
  <si>
    <r>
      <t>f</t>
    </r>
    <r>
      <rPr>
        <vertAlign val="subscript"/>
        <sz val="10"/>
        <color theme="1"/>
        <rFont val="Garamond"/>
        <family val="1"/>
        <charset val="162"/>
      </rPr>
      <t>r</t>
    </r>
  </si>
  <si>
    <r>
      <t>α</t>
    </r>
    <r>
      <rPr>
        <vertAlign val="subscript"/>
        <sz val="10"/>
        <color theme="1"/>
        <rFont val="Garamond"/>
        <family val="1"/>
        <charset val="162"/>
      </rPr>
      <t>t</t>
    </r>
  </si>
  <si>
    <r>
      <t>τ</t>
    </r>
    <r>
      <rPr>
        <vertAlign val="subscript"/>
        <sz val="10"/>
        <color theme="1"/>
        <rFont val="Garamond"/>
        <family val="1"/>
        <charset val="162"/>
      </rPr>
      <t>se</t>
    </r>
  </si>
  <si>
    <t>Outer diemeter</t>
  </si>
  <si>
    <t>Peak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</si>
  <si>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peak</t>
    </r>
  </si>
  <si>
    <t>https://www.first4magnets.com</t>
  </si>
  <si>
    <t>https://perso.uclouvain.be/ernest.matagne/ELEC2311/T2006/NOFP.pdf</t>
  </si>
  <si>
    <t>https://www.first4magnets.com/tech-centre-i61/information-and-articles-i70/neodymium-magnet-information-i82/grades-of-neodymium-magnets-i92</t>
  </si>
  <si>
    <t>Main dimensions (calculated)</t>
  </si>
  <si>
    <t>Peak induced voltage (series)</t>
  </si>
  <si>
    <t>Selected wire</t>
  </si>
  <si>
    <t>Selected wire diameter</t>
  </si>
  <si>
    <t>Required wire diameter</t>
  </si>
  <si>
    <t>Dw</t>
  </si>
  <si>
    <t>AWG</t>
  </si>
  <si>
    <t>Mean length turn</t>
  </si>
  <si>
    <t>Phase copper length</t>
  </si>
  <si>
    <t>MLT</t>
  </si>
  <si>
    <t>end winding coeff</t>
  </si>
  <si>
    <r>
      <t>L</t>
    </r>
    <r>
      <rPr>
        <vertAlign val="subscript"/>
        <sz val="10"/>
        <color theme="1"/>
        <rFont val="Garamond"/>
        <family val="1"/>
        <charset val="162"/>
      </rPr>
      <t>cu-ph</t>
    </r>
  </si>
  <si>
    <t>Ω</t>
  </si>
  <si>
    <t>Peak flux density (fund)</t>
  </si>
  <si>
    <t>Average flux density (fund)</t>
  </si>
  <si>
    <r>
      <t>B</t>
    </r>
    <r>
      <rPr>
        <vertAlign val="subscript"/>
        <sz val="10"/>
        <color theme="1"/>
        <rFont val="Garamond"/>
        <family val="1"/>
        <charset val="162"/>
      </rPr>
      <t>p-1</t>
    </r>
  </si>
  <si>
    <r>
      <t>B</t>
    </r>
    <r>
      <rPr>
        <vertAlign val="subscript"/>
        <sz val="10"/>
        <color theme="1"/>
        <rFont val="Garamond"/>
        <family val="1"/>
        <charset val="162"/>
      </rPr>
      <t>avg-1</t>
    </r>
  </si>
  <si>
    <t>B</t>
  </si>
  <si>
    <t>Applied volt</t>
  </si>
  <si>
    <t>Volume &amp; Mass</t>
  </si>
  <si>
    <t>Magnet volume</t>
  </si>
  <si>
    <t>Copper volume</t>
  </si>
  <si>
    <t>Bore volume</t>
  </si>
  <si>
    <t>Machine volume</t>
  </si>
  <si>
    <r>
      <t>cm</t>
    </r>
    <r>
      <rPr>
        <strike/>
        <vertAlign val="superscript"/>
        <sz val="10"/>
        <color theme="1"/>
        <rFont val="Garamond"/>
        <family val="1"/>
        <charset val="162"/>
      </rPr>
      <t>3</t>
    </r>
  </si>
  <si>
    <r>
      <t>V</t>
    </r>
    <r>
      <rPr>
        <vertAlign val="subscript"/>
        <sz val="10"/>
        <color theme="1"/>
        <rFont val="Garamond"/>
        <family val="1"/>
        <charset val="162"/>
      </rPr>
      <t>m</t>
    </r>
  </si>
  <si>
    <r>
      <t>V</t>
    </r>
    <r>
      <rPr>
        <vertAlign val="subscript"/>
        <sz val="10"/>
        <color theme="1"/>
        <rFont val="Garamond"/>
        <family val="1"/>
        <charset val="162"/>
      </rPr>
      <t>cu</t>
    </r>
  </si>
  <si>
    <r>
      <t>V</t>
    </r>
    <r>
      <rPr>
        <vertAlign val="subscript"/>
        <sz val="10"/>
        <color theme="1"/>
        <rFont val="Garamond"/>
        <family val="1"/>
        <charset val="162"/>
      </rPr>
      <t>is</t>
    </r>
  </si>
  <si>
    <r>
      <t>V</t>
    </r>
    <r>
      <rPr>
        <vertAlign val="subscript"/>
        <sz val="10"/>
        <color theme="1"/>
        <rFont val="Garamond"/>
        <family val="1"/>
        <charset val="162"/>
      </rPr>
      <t>os</t>
    </r>
  </si>
  <si>
    <t>Phase resistance (module)</t>
  </si>
  <si>
    <r>
      <t>R</t>
    </r>
    <r>
      <rPr>
        <vertAlign val="subscript"/>
        <sz val="10"/>
        <color theme="1"/>
        <rFont val="Garamond"/>
        <family val="1"/>
        <charset val="162"/>
      </rPr>
      <t>phm</t>
    </r>
  </si>
  <si>
    <t>Copper density</t>
  </si>
  <si>
    <t>Core density</t>
  </si>
  <si>
    <t>Magnet density</t>
  </si>
  <si>
    <r>
      <t>g/cm</t>
    </r>
    <r>
      <rPr>
        <vertAlign val="superscript"/>
        <sz val="10"/>
        <color theme="1"/>
        <rFont val="Garamond"/>
        <family val="1"/>
        <charset val="162"/>
      </rPr>
      <t>3</t>
    </r>
  </si>
  <si>
    <r>
      <t>d</t>
    </r>
    <r>
      <rPr>
        <vertAlign val="subscript"/>
        <sz val="10"/>
        <color theme="1"/>
        <rFont val="Garamond"/>
        <family val="1"/>
        <charset val="162"/>
      </rPr>
      <t>cu</t>
    </r>
  </si>
  <si>
    <r>
      <t>d</t>
    </r>
    <r>
      <rPr>
        <vertAlign val="subscript"/>
        <sz val="10"/>
        <color theme="1"/>
        <rFont val="Garamond"/>
        <family val="1"/>
        <charset val="162"/>
      </rPr>
      <t>m</t>
    </r>
  </si>
  <si>
    <r>
      <t>d</t>
    </r>
    <r>
      <rPr>
        <vertAlign val="subscript"/>
        <sz val="10"/>
        <color theme="1"/>
        <rFont val="Garamond"/>
        <family val="1"/>
        <charset val="162"/>
      </rPr>
      <t>c</t>
    </r>
  </si>
  <si>
    <t>Magnet mass</t>
  </si>
  <si>
    <t>Iron mass</t>
  </si>
  <si>
    <t>Copper mass</t>
  </si>
  <si>
    <r>
      <t>m</t>
    </r>
    <r>
      <rPr>
        <vertAlign val="subscript"/>
        <sz val="10"/>
        <color theme="1"/>
        <rFont val="Garamond"/>
        <family val="1"/>
        <charset val="162"/>
      </rPr>
      <t>m</t>
    </r>
  </si>
  <si>
    <r>
      <t>m</t>
    </r>
    <r>
      <rPr>
        <vertAlign val="subscript"/>
        <sz val="10"/>
        <color theme="1"/>
        <rFont val="Garamond"/>
        <family val="1"/>
        <charset val="162"/>
      </rPr>
      <t>c</t>
    </r>
  </si>
  <si>
    <r>
      <t>m</t>
    </r>
    <r>
      <rPr>
        <vertAlign val="subscript"/>
        <sz val="10"/>
        <color theme="1"/>
        <rFont val="Garamond"/>
        <family val="1"/>
        <charset val="162"/>
      </rPr>
      <t>cu</t>
    </r>
  </si>
  <si>
    <t>kg</t>
  </si>
  <si>
    <r>
      <t>pd</t>
    </r>
    <r>
      <rPr>
        <vertAlign val="subscript"/>
        <sz val="10"/>
        <color theme="1"/>
        <rFont val="Garamond"/>
        <family val="1"/>
        <charset val="162"/>
      </rPr>
      <t>m</t>
    </r>
  </si>
  <si>
    <r>
      <t>W/cm</t>
    </r>
    <r>
      <rPr>
        <vertAlign val="superscript"/>
        <sz val="10"/>
        <color theme="1"/>
        <rFont val="Garamond"/>
        <family val="1"/>
        <charset val="162"/>
      </rPr>
      <t>3</t>
    </r>
  </si>
  <si>
    <t>Output power (module)</t>
  </si>
  <si>
    <r>
      <t>P</t>
    </r>
    <r>
      <rPr>
        <vertAlign val="subscript"/>
        <sz val="10"/>
        <color theme="1"/>
        <rFont val="Garamond"/>
        <family val="1"/>
        <charset val="162"/>
      </rPr>
      <t>outm</t>
    </r>
  </si>
  <si>
    <t>Output power (total)</t>
  </si>
  <si>
    <t>Copper loss (module)</t>
  </si>
  <si>
    <t>Copper loss (total)</t>
  </si>
  <si>
    <t>Resistance and copper loss</t>
  </si>
  <si>
    <r>
      <t>P</t>
    </r>
    <r>
      <rPr>
        <vertAlign val="subscript"/>
        <sz val="10"/>
        <color theme="1"/>
        <rFont val="Garamond"/>
        <family val="1"/>
        <charset val="162"/>
      </rPr>
      <t>cu</t>
    </r>
  </si>
  <si>
    <r>
      <t>P</t>
    </r>
    <r>
      <rPr>
        <vertAlign val="subscript"/>
        <sz val="10"/>
        <color theme="1"/>
        <rFont val="Garamond"/>
        <family val="1"/>
        <charset val="162"/>
      </rPr>
      <t>cu-m</t>
    </r>
  </si>
  <si>
    <t>Stator core volume</t>
  </si>
  <si>
    <r>
      <t>V</t>
    </r>
    <r>
      <rPr>
        <vertAlign val="subscript"/>
        <sz val="10"/>
        <color theme="1"/>
        <rFont val="Garamond"/>
        <family val="1"/>
        <charset val="162"/>
      </rPr>
      <t>cs</t>
    </r>
  </si>
  <si>
    <t>Rotor core volume</t>
  </si>
  <si>
    <r>
      <t>V</t>
    </r>
    <r>
      <rPr>
        <vertAlign val="subscript"/>
        <sz val="10"/>
        <color theme="1"/>
        <rFont val="Garamond"/>
        <family val="1"/>
        <charset val="162"/>
      </rPr>
      <t>cr</t>
    </r>
  </si>
  <si>
    <t>Total mass</t>
  </si>
  <si>
    <r>
      <t>m</t>
    </r>
    <r>
      <rPr>
        <vertAlign val="subscript"/>
        <sz val="10"/>
        <color theme="1"/>
        <rFont val="Garamond"/>
        <family val="1"/>
        <charset val="162"/>
      </rPr>
      <t>total</t>
    </r>
  </si>
  <si>
    <t>Stator back core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</si>
  <si>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sy</t>
    </r>
  </si>
  <si>
    <t>Stator teeth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</si>
  <si>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st</t>
    </r>
  </si>
  <si>
    <t>Rotor back core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</si>
  <si>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ry</t>
    </r>
  </si>
  <si>
    <t>Coging torque</t>
  </si>
  <si>
    <r>
      <t>T</t>
    </r>
    <r>
      <rPr>
        <vertAlign val="subscript"/>
        <sz val="10"/>
        <color theme="1"/>
        <rFont val="Garamond"/>
        <family val="1"/>
        <charset val="162"/>
      </rPr>
      <t>cg</t>
    </r>
  </si>
  <si>
    <t>Stator slot fill factor</t>
  </si>
  <si>
    <t>mx</t>
  </si>
  <si>
    <t>Minimum outer diameter</t>
  </si>
  <si>
    <r>
      <t>D</t>
    </r>
    <r>
      <rPr>
        <vertAlign val="subscript"/>
        <sz val="10"/>
        <color theme="1"/>
        <rFont val="Garamond"/>
        <family val="1"/>
        <charset val="162"/>
      </rPr>
      <t>osm</t>
    </r>
  </si>
  <si>
    <r>
      <rPr>
        <sz val="10"/>
        <color theme="1"/>
        <rFont val="Calibri"/>
        <family val="2"/>
        <charset val="162"/>
      </rPr>
      <t>α</t>
    </r>
    <r>
      <rPr>
        <vertAlign val="subscript"/>
        <sz val="10"/>
        <color theme="1"/>
        <rFont val="Garamond"/>
        <family val="1"/>
        <charset val="162"/>
      </rPr>
      <t>cu</t>
    </r>
  </si>
  <si>
    <t>Copper temp coeff (20 C)</t>
  </si>
  <si>
    <r>
      <t>1/</t>
    </r>
    <r>
      <rPr>
        <vertAlign val="superscript"/>
        <sz val="10"/>
        <color theme="1"/>
        <rFont val="Garamond"/>
        <family val="1"/>
        <charset val="162"/>
      </rPr>
      <t>0</t>
    </r>
    <r>
      <rPr>
        <sz val="10"/>
        <color theme="1"/>
        <rFont val="Garamond"/>
        <family val="1"/>
        <charset val="162"/>
      </rPr>
      <t>C</t>
    </r>
  </si>
  <si>
    <t>Copper resistivity (70 C)</t>
  </si>
  <si>
    <t>Copper resistivity (20 C)</t>
  </si>
  <si>
    <r>
      <t>ρ</t>
    </r>
    <r>
      <rPr>
        <vertAlign val="subscript"/>
        <sz val="10"/>
        <color theme="1"/>
        <rFont val="Calibri Light"/>
        <family val="2"/>
        <charset val="162"/>
        <scheme val="major"/>
      </rPr>
      <t>cu</t>
    </r>
  </si>
  <si>
    <r>
      <t>µ</t>
    </r>
    <r>
      <rPr>
        <vertAlign val="subscript"/>
        <sz val="10"/>
        <color theme="1"/>
        <rFont val="Calibri Light"/>
        <family val="2"/>
        <charset val="162"/>
        <scheme val="major"/>
      </rPr>
      <t>cu</t>
    </r>
  </si>
  <si>
    <r>
      <t>µ</t>
    </r>
    <r>
      <rPr>
        <vertAlign val="subscript"/>
        <sz val="10"/>
        <color theme="1"/>
        <rFont val="Calibri Light"/>
        <family val="2"/>
        <charset val="162"/>
        <scheme val="major"/>
      </rPr>
      <t>0</t>
    </r>
  </si>
  <si>
    <t>Area of single wire</t>
  </si>
  <si>
    <t>Aw</t>
  </si>
  <si>
    <t>Slot area (with wedge)</t>
  </si>
  <si>
    <t>Stator iron mass</t>
  </si>
  <si>
    <r>
      <t>m</t>
    </r>
    <r>
      <rPr>
        <vertAlign val="subscript"/>
        <sz val="10"/>
        <color theme="1"/>
        <rFont val="Garamond"/>
        <family val="1"/>
        <charset val="162"/>
      </rPr>
      <t>sc</t>
    </r>
  </si>
  <si>
    <t>Rotor inner diameter</t>
  </si>
  <si>
    <r>
      <t>D</t>
    </r>
    <r>
      <rPr>
        <vertAlign val="subscript"/>
        <sz val="10"/>
        <color theme="1"/>
        <rFont val="Garamond"/>
        <family val="1"/>
        <charset val="162"/>
      </rPr>
      <t>ir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</si>
</sst>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"/>
    <numFmt numFmtId="165" formatCode="0.000"/>
    <numFmt numFmtId="166" formatCode="0.0"/>
    <numFmt numFmtId="167" formatCode="0.00000"/>
    <numFmt numFmtId="168" formatCode="0.00000000"/>
    <numFmt numFmtId="169" formatCode="0.0000000000"/>
    <numFmt numFmtId="170" formatCode="#,##0.000"/>
  </numFmts>
  <fonts count="2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Garamond"/>
      <family val="1"/>
      <charset val="162"/>
    </font>
    <font>
      <sz val="11"/>
      <color theme="1"/>
      <name val="Garamond"/>
      <family val="1"/>
      <charset val="162"/>
    </font>
    <font>
      <vertAlign val="subscript"/>
      <sz val="11"/>
      <color theme="1"/>
      <name val="Garamond"/>
      <family val="1"/>
      <charset val="162"/>
    </font>
    <font>
      <vertAlign val="superscript"/>
      <sz val="11"/>
      <color theme="1"/>
      <name val="Garamond"/>
      <family val="1"/>
      <charset val="162"/>
    </font>
    <font>
      <sz val="11"/>
      <color theme="1"/>
      <name val="Calibri"/>
      <family val="2"/>
      <charset val="162"/>
    </font>
    <font>
      <vertAlign val="subscript"/>
      <sz val="11"/>
      <color theme="1"/>
      <name val="Calibri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1"/>
      <color theme="1"/>
      <name val="Calibri Light"/>
      <family val="2"/>
      <charset val="162"/>
      <scheme val="major"/>
    </font>
    <font>
      <vertAlign val="subscript"/>
      <sz val="11"/>
      <color theme="1"/>
      <name val="Calibri Light"/>
      <family val="2"/>
      <charset val="162"/>
      <scheme val="major"/>
    </font>
    <font>
      <b/>
      <sz val="12"/>
      <color theme="1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  <font>
      <b/>
      <sz val="10"/>
      <color theme="1"/>
      <name val="Garamond"/>
      <family val="1"/>
      <charset val="162"/>
    </font>
    <font>
      <sz val="10"/>
      <color theme="1"/>
      <name val="Garamond"/>
      <family val="1"/>
      <charset val="162"/>
    </font>
    <font>
      <vertAlign val="subscript"/>
      <sz val="10"/>
      <color theme="1"/>
      <name val="Garamond"/>
      <family val="1"/>
      <charset val="162"/>
    </font>
    <font>
      <vertAlign val="superscript"/>
      <sz val="10"/>
      <color theme="1"/>
      <name val="Garamond"/>
      <family val="1"/>
      <charset val="162"/>
    </font>
    <font>
      <strike/>
      <vertAlign val="superscript"/>
      <sz val="10"/>
      <color theme="1"/>
      <name val="Garamond"/>
      <family val="1"/>
      <charset val="162"/>
    </font>
    <font>
      <u/>
      <sz val="11"/>
      <color theme="10"/>
      <name val="Calibri"/>
      <family val="2"/>
      <charset val="162"/>
      <scheme val="minor"/>
    </font>
    <font>
      <sz val="10"/>
      <color theme="1"/>
      <name val="Calibri"/>
      <family val="2"/>
      <charset val="162"/>
    </font>
    <font>
      <sz val="10"/>
      <color theme="1"/>
      <name val="Calibri Light"/>
      <family val="2"/>
      <charset val="162"/>
      <scheme val="major"/>
    </font>
    <font>
      <vertAlign val="subscript"/>
      <sz val="10"/>
      <color theme="1"/>
      <name val="Calibri Light"/>
      <family val="2"/>
      <charset val="16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1" fillId="0" borderId="0" xfId="0" applyFont="1"/>
    <xf numFmtId="0" fontId="0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11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64" fontId="14" fillId="0" borderId="1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16" fontId="14" fillId="0" borderId="1" xfId="0" applyNumberFormat="1" applyFont="1" applyBorder="1" applyAlignment="1">
      <alignment horizontal="center"/>
    </xf>
    <xf numFmtId="166" fontId="14" fillId="0" borderId="1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14" fillId="3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/>
    <xf numFmtId="169" fontId="0" fillId="0" borderId="0" xfId="0" applyNumberFormat="1"/>
    <xf numFmtId="2" fontId="14" fillId="0" borderId="1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" vertical="center"/>
    </xf>
    <xf numFmtId="2" fontId="14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/>
    <xf numFmtId="2" fontId="14" fillId="9" borderId="1" xfId="0" applyNumberFormat="1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3" fillId="0" borderId="1" xfId="0" applyFont="1" applyBorder="1" applyAlignment="1"/>
    <xf numFmtId="165" fontId="14" fillId="0" borderId="1" xfId="0" applyNumberFormat="1" applyFont="1" applyBorder="1" applyAlignment="1">
      <alignment horizontal="center"/>
    </xf>
    <xf numFmtId="170" fontId="14" fillId="0" borderId="1" xfId="0" applyNumberFormat="1" applyFont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4" fillId="10" borderId="1" xfId="0" applyFont="1" applyFill="1" applyBorder="1"/>
    <xf numFmtId="0" fontId="14" fillId="10" borderId="1" xfId="0" applyFont="1" applyFill="1" applyBorder="1" applyAlignment="1">
      <alignment horizontal="center"/>
    </xf>
    <xf numFmtId="165" fontId="14" fillId="10" borderId="2" xfId="0" applyNumberFormat="1" applyFont="1" applyFill="1" applyBorder="1" applyAlignment="1">
      <alignment horizontal="center"/>
    </xf>
    <xf numFmtId="165" fontId="14" fillId="10" borderId="1" xfId="0" applyNumberFormat="1" applyFont="1" applyFill="1" applyBorder="1" applyAlignment="1">
      <alignment horizontal="center"/>
    </xf>
    <xf numFmtId="0" fontId="18" fillId="0" borderId="0" xfId="1"/>
    <xf numFmtId="0" fontId="14" fillId="11" borderId="1" xfId="0" applyFont="1" applyFill="1" applyBorder="1"/>
    <xf numFmtId="0" fontId="14" fillId="11" borderId="1" xfId="0" applyFont="1" applyFill="1" applyBorder="1" applyAlignment="1">
      <alignment horizontal="center"/>
    </xf>
    <xf numFmtId="165" fontId="14" fillId="11" borderId="1" xfId="0" applyNumberFormat="1" applyFont="1" applyFill="1" applyBorder="1" applyAlignment="1">
      <alignment horizontal="center"/>
    </xf>
    <xf numFmtId="0" fontId="14" fillId="11" borderId="5" xfId="0" applyFont="1" applyFill="1" applyBorder="1"/>
    <xf numFmtId="0" fontId="14" fillId="11" borderId="5" xfId="0" applyFont="1" applyFill="1" applyBorder="1" applyAlignment="1">
      <alignment horizontal="center"/>
    </xf>
    <xf numFmtId="2" fontId="14" fillId="11" borderId="5" xfId="0" applyNumberFormat="1" applyFont="1" applyFill="1" applyBorder="1" applyAlignment="1">
      <alignment horizontal="center"/>
    </xf>
    <xf numFmtId="2" fontId="14" fillId="11" borderId="1" xfId="0" applyNumberFormat="1" applyFont="1" applyFill="1" applyBorder="1" applyAlignment="1">
      <alignment horizontal="center"/>
    </xf>
    <xf numFmtId="0" fontId="14" fillId="11" borderId="1" xfId="0" applyFont="1" applyFill="1" applyBorder="1" applyAlignment="1">
      <alignment vertical="center"/>
    </xf>
    <xf numFmtId="0" fontId="14" fillId="11" borderId="1" xfId="0" applyFont="1" applyFill="1" applyBorder="1" applyAlignment="1">
      <alignment horizontal="center" vertical="center"/>
    </xf>
    <xf numFmtId="2" fontId="14" fillId="11" borderId="1" xfId="0" applyNumberFormat="1" applyFont="1" applyFill="1" applyBorder="1" applyAlignment="1">
      <alignment horizontal="center" vertical="center"/>
    </xf>
    <xf numFmtId="2" fontId="14" fillId="3" borderId="1" xfId="0" applyNumberFormat="1" applyFont="1" applyFill="1" applyBorder="1" applyAlignment="1">
      <alignment horizontal="center"/>
    </xf>
    <xf numFmtId="0" fontId="14" fillId="0" borderId="6" xfId="0" applyFont="1" applyBorder="1"/>
    <xf numFmtId="0" fontId="14" fillId="0" borderId="6" xfId="0" applyFont="1" applyBorder="1" applyAlignment="1">
      <alignment horizontal="center"/>
    </xf>
    <xf numFmtId="0" fontId="14" fillId="0" borderId="2" xfId="0" applyFont="1" applyBorder="1"/>
    <xf numFmtId="0" fontId="14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 vertical="center"/>
    </xf>
    <xf numFmtId="11" fontId="14" fillId="0" borderId="1" xfId="0" applyNumberFormat="1" applyFont="1" applyBorder="1" applyAlignment="1">
      <alignment horizontal="center"/>
    </xf>
    <xf numFmtId="0" fontId="14" fillId="4" borderId="6" xfId="0" applyFont="1" applyFill="1" applyBorder="1" applyAlignment="1">
      <alignment vertical="center"/>
    </xf>
    <xf numFmtId="0" fontId="14" fillId="4" borderId="7" xfId="0" applyFont="1" applyFill="1" applyBorder="1" applyAlignment="1">
      <alignment vertical="center"/>
    </xf>
    <xf numFmtId="0" fontId="14" fillId="3" borderId="5" xfId="0" applyFont="1" applyFill="1" applyBorder="1" applyAlignment="1">
      <alignment vertical="center"/>
    </xf>
    <xf numFmtId="2" fontId="14" fillId="3" borderId="0" xfId="0" applyNumberFormat="1" applyFont="1" applyFill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2" fontId="14" fillId="3" borderId="1" xfId="0" applyNumberFormat="1" applyFont="1" applyFill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36634</xdr:colOff>
      <xdr:row>1</xdr:row>
      <xdr:rowOff>7327</xdr:rowOff>
    </xdr:from>
    <xdr:to>
      <xdr:col>0</xdr:col>
      <xdr:colOff>3216518</xdr:colOff>
      <xdr:row>16</xdr:row>
      <xdr:rowOff>139212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8680"/>
        <a:stretch/>
      </xdr:blipFill>
      <xdr:spPr bwMode="auto">
        <a:xfrm>
          <a:off x="36634" y="197827"/>
          <a:ext cx="3179884" cy="298938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3282461</xdr:colOff>
      <xdr:row>1</xdr:row>
      <xdr:rowOff>109904</xdr:rowOff>
    </xdr:from>
    <xdr:to>
      <xdr:col>0</xdr:col>
      <xdr:colOff>6669551</xdr:colOff>
      <xdr:row>15</xdr:row>
      <xdr:rowOff>39419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394"/>
        <a:stretch/>
      </xdr:blipFill>
      <xdr:spPr bwMode="auto">
        <a:xfrm>
          <a:off x="3282461" y="307731"/>
          <a:ext cx="3387090" cy="259651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6848475</xdr:colOff>
          <xdr:row>1</xdr:row>
          <xdr:rowOff>76200</xdr:rowOff>
        </xdr:from>
        <xdr:to>
          <xdr:col>3</xdr:col>
          <xdr:colOff>352425</xdr:colOff>
          <xdr:row>16</xdr:row>
          <xdr:rowOff>19050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16</xdr:row>
      <xdr:rowOff>161192</xdr:rowOff>
    </xdr:from>
    <xdr:to>
      <xdr:col>0</xdr:col>
      <xdr:colOff>5721378</xdr:colOff>
      <xdr:row>32</xdr:row>
      <xdr:rowOff>177202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16519"/>
          <a:ext cx="5721378" cy="3064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irst4magnets.com/" TargetMode="External"/><Relationship Id="rId1" Type="http://schemas.openxmlformats.org/officeDocument/2006/relationships/hyperlink" Target="https://perso.uclouvain.be/ernest.matagne/ELEC2311/T2006/NOFP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izimi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34"/>
  <sheetViews>
    <sheetView tabSelected="1" zoomScale="130" zoomScaleNormal="130" workbookViewId="0">
      <selection activeCell="K10" sqref="K10"/>
    </sheetView>
  </sheetViews>
  <sheetFormatPr defaultRowHeight="12.75" x14ac:dyDescent="0.2"/>
  <cols>
    <col min="1" max="1" width="22.5703125" style="70" bestFit="1" customWidth="1"/>
    <col min="2" max="2" width="4.5703125" style="69" bestFit="1" customWidth="1"/>
    <col min="3" max="3" width="7.5703125" style="69" bestFit="1" customWidth="1"/>
    <col min="4" max="4" width="5" style="69" bestFit="1" customWidth="1"/>
    <col min="5" max="5" width="3.85546875" style="69" bestFit="1" customWidth="1"/>
    <col min="6" max="6" width="21.85546875" style="70" bestFit="1" customWidth="1"/>
    <col min="7" max="7" width="4.140625" style="69" bestFit="1" customWidth="1"/>
    <col min="8" max="8" width="5.7109375" style="69" bestFit="1" customWidth="1"/>
    <col min="9" max="9" width="7" style="69" bestFit="1" customWidth="1"/>
    <col min="10" max="10" width="3.85546875" style="69" bestFit="1" customWidth="1"/>
    <col min="11" max="11" width="22.85546875" style="70" bestFit="1" customWidth="1"/>
    <col min="12" max="12" width="5" style="70" bestFit="1" customWidth="1"/>
    <col min="13" max="13" width="8.5703125" style="69" bestFit="1" customWidth="1"/>
    <col min="14" max="14" width="7" style="70" bestFit="1" customWidth="1"/>
    <col min="15" max="15" width="3.85546875" style="70" bestFit="1" customWidth="1"/>
    <col min="16" max="16" width="22" style="70" bestFit="1" customWidth="1"/>
    <col min="17" max="17" width="5.42578125" style="70" bestFit="1" customWidth="1"/>
    <col min="18" max="18" width="6.5703125" style="70" bestFit="1" customWidth="1"/>
    <col min="19" max="19" width="7" style="70" bestFit="1" customWidth="1"/>
    <col min="20" max="20" width="3.85546875" style="70" bestFit="1" customWidth="1"/>
    <col min="21" max="21" width="9.42578125" style="70" customWidth="1"/>
    <col min="22" max="22" width="9" style="70" bestFit="1" customWidth="1"/>
    <col min="23" max="16384" width="9.140625" style="70"/>
  </cols>
  <sheetData>
    <row r="1" spans="1:22" ht="15" customHeight="1" x14ac:dyDescent="0.2">
      <c r="A1" s="133" t="s">
        <v>236</v>
      </c>
      <c r="B1" s="133"/>
      <c r="C1" s="133"/>
      <c r="D1" s="133"/>
      <c r="E1" s="133"/>
      <c r="F1" s="133" t="s">
        <v>237</v>
      </c>
      <c r="G1" s="133"/>
      <c r="H1" s="133"/>
      <c r="I1" s="133"/>
      <c r="J1" s="63"/>
      <c r="K1" s="133" t="s">
        <v>238</v>
      </c>
      <c r="L1" s="133"/>
      <c r="M1" s="133"/>
      <c r="N1" s="133"/>
      <c r="O1" s="63"/>
      <c r="P1" s="133" t="s">
        <v>327</v>
      </c>
      <c r="Q1" s="133"/>
      <c r="R1" s="133"/>
      <c r="S1" s="133"/>
      <c r="T1" s="133"/>
    </row>
    <row r="2" spans="1:22" ht="15" customHeight="1" x14ac:dyDescent="0.2">
      <c r="A2" s="58" t="s">
        <v>8</v>
      </c>
      <c r="B2" s="59" t="s">
        <v>239</v>
      </c>
      <c r="C2" s="59">
        <v>8000</v>
      </c>
      <c r="D2" s="59" t="s">
        <v>7</v>
      </c>
      <c r="E2" s="59"/>
      <c r="F2" s="58" t="s">
        <v>20</v>
      </c>
      <c r="G2" s="59" t="s">
        <v>240</v>
      </c>
      <c r="H2" s="59">
        <v>0.6</v>
      </c>
      <c r="I2" s="59" t="s">
        <v>15</v>
      </c>
      <c r="J2" s="59"/>
      <c r="K2" s="58"/>
      <c r="L2" s="59" t="s">
        <v>61</v>
      </c>
      <c r="M2" s="64">
        <v>3.1415926500000002</v>
      </c>
      <c r="N2" s="59" t="s">
        <v>15</v>
      </c>
      <c r="O2" s="59"/>
      <c r="P2" s="58" t="s">
        <v>2</v>
      </c>
      <c r="Q2" s="59" t="s">
        <v>256</v>
      </c>
      <c r="R2" s="59">
        <f>C4*C8*C6</f>
        <v>24</v>
      </c>
      <c r="S2" s="59" t="s">
        <v>15</v>
      </c>
      <c r="T2" s="66"/>
    </row>
    <row r="3" spans="1:22" ht="15" customHeight="1" x14ac:dyDescent="0.2">
      <c r="A3" s="58" t="s">
        <v>32</v>
      </c>
      <c r="B3" s="59" t="s">
        <v>241</v>
      </c>
      <c r="C3" s="59">
        <v>540</v>
      </c>
      <c r="D3" s="59" t="s">
        <v>33</v>
      </c>
      <c r="E3" s="59"/>
      <c r="F3" s="58" t="s">
        <v>21</v>
      </c>
      <c r="G3" s="59" t="s">
        <v>242</v>
      </c>
      <c r="H3" s="59">
        <v>35</v>
      </c>
      <c r="I3" s="59" t="s">
        <v>23</v>
      </c>
      <c r="J3" s="59"/>
      <c r="K3" s="58" t="s">
        <v>404</v>
      </c>
      <c r="L3" s="121" t="s">
        <v>405</v>
      </c>
      <c r="M3" s="65">
        <v>1.7E-8</v>
      </c>
      <c r="N3" s="59" t="s">
        <v>251</v>
      </c>
      <c r="O3" s="59"/>
      <c r="P3" s="58" t="s">
        <v>3</v>
      </c>
      <c r="Q3" s="59" t="s">
        <v>24</v>
      </c>
      <c r="R3" s="59">
        <f>10*C8</f>
        <v>20</v>
      </c>
      <c r="S3" s="59" t="s">
        <v>15</v>
      </c>
      <c r="T3" s="66"/>
    </row>
    <row r="4" spans="1:22" ht="15" customHeight="1" x14ac:dyDescent="0.2">
      <c r="A4" s="58" t="s">
        <v>9</v>
      </c>
      <c r="B4" s="59" t="s">
        <v>13</v>
      </c>
      <c r="C4" s="59">
        <v>4</v>
      </c>
      <c r="D4" s="59" t="s">
        <v>15</v>
      </c>
      <c r="E4" s="59"/>
      <c r="F4" s="58" t="s">
        <v>253</v>
      </c>
      <c r="G4" s="59" t="s">
        <v>248</v>
      </c>
      <c r="H4" s="59">
        <v>0.9</v>
      </c>
      <c r="I4" s="59" t="s">
        <v>28</v>
      </c>
      <c r="J4" s="59"/>
      <c r="K4" s="58" t="s">
        <v>110</v>
      </c>
      <c r="L4" s="121" t="s">
        <v>406</v>
      </c>
      <c r="M4" s="65">
        <v>1.2566289999999999E-6</v>
      </c>
      <c r="N4" s="59" t="s">
        <v>113</v>
      </c>
      <c r="O4" s="59"/>
      <c r="P4" s="58" t="s">
        <v>71</v>
      </c>
      <c r="Q4" s="59" t="s">
        <v>72</v>
      </c>
      <c r="R4" s="64">
        <f>H3*H4*2/M2</f>
        <v>20.053522852493302</v>
      </c>
      <c r="S4" s="59" t="s">
        <v>73</v>
      </c>
      <c r="T4" s="66"/>
      <c r="U4" s="70">
        <f>M3*R19/((R16/2)^2*M2)*1000000*4</f>
        <v>1.0712062726797149</v>
      </c>
    </row>
    <row r="5" spans="1:22" ht="15" customHeight="1" x14ac:dyDescent="0.2">
      <c r="A5" s="58" t="s">
        <v>10</v>
      </c>
      <c r="B5" s="59" t="s">
        <v>243</v>
      </c>
      <c r="C5" s="59">
        <v>2</v>
      </c>
      <c r="D5" s="59" t="s">
        <v>15</v>
      </c>
      <c r="E5" s="62"/>
      <c r="F5" s="58" t="s">
        <v>29</v>
      </c>
      <c r="G5" s="59" t="s">
        <v>30</v>
      </c>
      <c r="H5" s="59">
        <v>4</v>
      </c>
      <c r="I5" s="59" t="s">
        <v>244</v>
      </c>
      <c r="J5" s="59"/>
      <c r="K5" s="58" t="s">
        <v>190</v>
      </c>
      <c r="L5" s="121" t="s">
        <v>407</v>
      </c>
      <c r="M5" s="65">
        <f>4*M2*0.0000001</f>
        <v>1.2566370599999999E-6</v>
      </c>
      <c r="N5" s="59" t="s">
        <v>113</v>
      </c>
      <c r="O5" s="59"/>
      <c r="P5" s="58" t="s">
        <v>59</v>
      </c>
      <c r="Q5" s="59" t="s">
        <v>257</v>
      </c>
      <c r="R5" s="64">
        <f>C2/(C7*2*M2/60)</f>
        <v>127.32395461900511</v>
      </c>
      <c r="S5" s="59" t="s">
        <v>64</v>
      </c>
      <c r="T5" s="66"/>
    </row>
    <row r="6" spans="1:22" ht="15" customHeight="1" x14ac:dyDescent="0.25">
      <c r="A6" s="58" t="s">
        <v>12</v>
      </c>
      <c r="B6" s="59" t="s">
        <v>14</v>
      </c>
      <c r="C6" s="59">
        <v>3</v>
      </c>
      <c r="D6" s="59" t="s">
        <v>15</v>
      </c>
      <c r="E6" s="62"/>
      <c r="F6" s="58" t="s">
        <v>247</v>
      </c>
      <c r="G6" s="59" t="s">
        <v>249</v>
      </c>
      <c r="H6" s="59">
        <v>1.8</v>
      </c>
      <c r="I6" s="59" t="s">
        <v>28</v>
      </c>
      <c r="J6" s="59"/>
      <c r="K6" s="60" t="s">
        <v>358</v>
      </c>
      <c r="L6" s="61" t="s">
        <v>362</v>
      </c>
      <c r="M6" s="81">
        <v>8.9600000000000009</v>
      </c>
      <c r="N6" s="61" t="s">
        <v>361</v>
      </c>
      <c r="O6" s="60"/>
      <c r="P6" s="58" t="s">
        <v>254</v>
      </c>
      <c r="Q6" s="59" t="s">
        <v>258</v>
      </c>
      <c r="R6" s="67">
        <f>R5/(2*R4)*0.001</f>
        <v>3.174603174603175E-3</v>
      </c>
      <c r="S6" s="59" t="s">
        <v>259</v>
      </c>
      <c r="T6" s="58"/>
    </row>
    <row r="7" spans="1:22" ht="15" customHeight="1" x14ac:dyDescent="0.25">
      <c r="A7" s="58" t="s">
        <v>16</v>
      </c>
      <c r="B7" s="59" t="s">
        <v>245</v>
      </c>
      <c r="C7" s="59">
        <v>600</v>
      </c>
      <c r="D7" s="59" t="s">
        <v>17</v>
      </c>
      <c r="E7" s="62"/>
      <c r="F7" s="58" t="s">
        <v>267</v>
      </c>
      <c r="G7" s="59" t="s">
        <v>268</v>
      </c>
      <c r="H7" s="59">
        <v>1.3</v>
      </c>
      <c r="I7" s="59" t="s">
        <v>28</v>
      </c>
      <c r="J7" s="59"/>
      <c r="K7" s="60" t="s">
        <v>359</v>
      </c>
      <c r="L7" s="61" t="s">
        <v>364</v>
      </c>
      <c r="M7" s="81">
        <v>7.65</v>
      </c>
      <c r="N7" s="61" t="s">
        <v>361</v>
      </c>
      <c r="O7" s="60"/>
      <c r="P7" s="58" t="s">
        <v>260</v>
      </c>
      <c r="Q7" s="59" t="s">
        <v>261</v>
      </c>
      <c r="R7" s="67">
        <f>R6*4/M2</f>
        <v>4.042030305365242E-3</v>
      </c>
      <c r="S7" s="59" t="s">
        <v>262</v>
      </c>
      <c r="T7" s="62"/>
    </row>
    <row r="8" spans="1:22" ht="15" customHeight="1" x14ac:dyDescent="0.25">
      <c r="A8" s="58" t="s">
        <v>18</v>
      </c>
      <c r="B8" s="59" t="s">
        <v>19</v>
      </c>
      <c r="C8" s="59">
        <v>2</v>
      </c>
      <c r="D8" s="59" t="s">
        <v>15</v>
      </c>
      <c r="E8" s="62"/>
      <c r="F8" s="136" t="s">
        <v>246</v>
      </c>
      <c r="G8" s="137"/>
      <c r="H8" s="137"/>
      <c r="I8" s="137"/>
      <c r="J8" s="138"/>
      <c r="K8" s="60" t="s">
        <v>360</v>
      </c>
      <c r="L8" s="61" t="s">
        <v>363</v>
      </c>
      <c r="M8" s="81">
        <v>7.4</v>
      </c>
      <c r="N8" s="61" t="s">
        <v>361</v>
      </c>
      <c r="O8" s="60"/>
      <c r="P8" s="58" t="s">
        <v>76</v>
      </c>
      <c r="Q8" s="59" t="s">
        <v>77</v>
      </c>
      <c r="R8" s="72">
        <v>0.5</v>
      </c>
      <c r="S8" s="59" t="s">
        <v>15</v>
      </c>
      <c r="T8" s="68" t="s">
        <v>178</v>
      </c>
    </row>
    <row r="9" spans="1:22" ht="15" customHeight="1" x14ac:dyDescent="0.25">
      <c r="A9" s="58" t="s">
        <v>98</v>
      </c>
      <c r="B9" s="59" t="s">
        <v>99</v>
      </c>
      <c r="C9" s="59">
        <v>2</v>
      </c>
      <c r="D9" s="59" t="s">
        <v>15</v>
      </c>
      <c r="E9" s="62"/>
      <c r="F9" s="58" t="s">
        <v>49</v>
      </c>
      <c r="G9" s="59" t="s">
        <v>250</v>
      </c>
      <c r="H9" s="59">
        <v>94</v>
      </c>
      <c r="I9" s="59" t="s">
        <v>51</v>
      </c>
      <c r="J9" s="59"/>
      <c r="K9" s="60" t="s">
        <v>401</v>
      </c>
      <c r="L9" s="61" t="s">
        <v>400</v>
      </c>
      <c r="M9" s="69">
        <v>4.0410000000000003E-3</v>
      </c>
      <c r="N9" s="61" t="s">
        <v>402</v>
      </c>
      <c r="O9" s="60"/>
      <c r="P9" s="58" t="s">
        <v>78</v>
      </c>
      <c r="Q9" s="59" t="s">
        <v>255</v>
      </c>
      <c r="R9" s="72">
        <f>1000*(R7/R8)^(1/3)</f>
        <v>200.69806577558106</v>
      </c>
      <c r="S9" s="59" t="s">
        <v>80</v>
      </c>
      <c r="T9" s="62"/>
    </row>
    <row r="10" spans="1:22" ht="15" customHeight="1" x14ac:dyDescent="0.25">
      <c r="A10" s="58"/>
      <c r="B10" s="59"/>
      <c r="C10" s="59"/>
      <c r="D10" s="59"/>
      <c r="E10" s="62"/>
      <c r="F10" s="58" t="s">
        <v>0</v>
      </c>
      <c r="G10" s="59" t="s">
        <v>52</v>
      </c>
      <c r="H10" s="59">
        <v>0.9</v>
      </c>
      <c r="I10" s="59" t="s">
        <v>15</v>
      </c>
      <c r="J10" s="59"/>
      <c r="K10" s="60" t="s">
        <v>403</v>
      </c>
      <c r="L10" s="121" t="s">
        <v>405</v>
      </c>
      <c r="M10" s="122">
        <f>(M9*(70-20)+1)*M3</f>
        <v>2.0434850000000002E-8</v>
      </c>
      <c r="N10" s="59" t="s">
        <v>251</v>
      </c>
      <c r="O10" s="60"/>
      <c r="P10" s="58" t="s">
        <v>81</v>
      </c>
      <c r="Q10" s="61" t="s">
        <v>263</v>
      </c>
      <c r="R10" s="73">
        <f>R9*R8</f>
        <v>100.34903288779053</v>
      </c>
      <c r="S10" s="61" t="s">
        <v>80</v>
      </c>
      <c r="T10" s="61"/>
      <c r="U10" s="70" t="s">
        <v>345</v>
      </c>
      <c r="V10" s="70">
        <f>M18*SQRT(3)*4</f>
        <v>688.74706159105506</v>
      </c>
    </row>
    <row r="11" spans="1:22" ht="15" customHeight="1" x14ac:dyDescent="0.2">
      <c r="A11" s="58"/>
      <c r="B11" s="59"/>
      <c r="C11" s="59"/>
      <c r="D11" s="59"/>
      <c r="E11" s="62"/>
      <c r="F11" s="58" t="s">
        <v>53</v>
      </c>
      <c r="G11" s="59" t="s">
        <v>252</v>
      </c>
      <c r="H11" s="59">
        <v>98</v>
      </c>
      <c r="I11" s="59" t="s">
        <v>51</v>
      </c>
      <c r="J11" s="59"/>
      <c r="K11" s="58"/>
      <c r="L11" s="59"/>
      <c r="M11" s="59"/>
      <c r="N11" s="59"/>
      <c r="O11" s="59"/>
      <c r="P11" s="58" t="s">
        <v>413</v>
      </c>
      <c r="Q11" s="59" t="s">
        <v>414</v>
      </c>
      <c r="R11" s="73">
        <f>75</f>
        <v>75</v>
      </c>
      <c r="S11" s="61" t="s">
        <v>80</v>
      </c>
      <c r="T11" s="61"/>
    </row>
    <row r="12" spans="1:22" ht="15" customHeight="1" x14ac:dyDescent="0.2">
      <c r="A12" s="134" t="s">
        <v>266</v>
      </c>
      <c r="B12" s="134"/>
      <c r="C12" s="134"/>
      <c r="D12" s="134"/>
      <c r="E12" s="134"/>
      <c r="F12" s="136" t="s">
        <v>277</v>
      </c>
      <c r="G12" s="137"/>
      <c r="H12" s="137"/>
      <c r="I12" s="137"/>
      <c r="J12" s="138"/>
      <c r="K12" s="130" t="s">
        <v>314</v>
      </c>
      <c r="L12" s="131"/>
      <c r="M12" s="131"/>
      <c r="N12" s="131"/>
      <c r="O12" s="132"/>
      <c r="P12" s="134" t="s">
        <v>379</v>
      </c>
      <c r="Q12" s="134"/>
      <c r="R12" s="134"/>
      <c r="S12" s="134"/>
      <c r="T12" s="134"/>
    </row>
    <row r="13" spans="1:22" ht="15" customHeight="1" x14ac:dyDescent="0.2">
      <c r="A13" s="60" t="s">
        <v>265</v>
      </c>
      <c r="B13" s="59" t="s">
        <v>269</v>
      </c>
      <c r="C13" s="59">
        <v>1</v>
      </c>
      <c r="D13" s="59" t="s">
        <v>80</v>
      </c>
      <c r="E13" s="62"/>
      <c r="F13" s="60" t="s">
        <v>92</v>
      </c>
      <c r="G13" s="59" t="s">
        <v>283</v>
      </c>
      <c r="H13" s="73">
        <f>M2*R9/R2</f>
        <v>26.271315346240922</v>
      </c>
      <c r="I13" s="61" t="s">
        <v>80</v>
      </c>
      <c r="J13" s="61"/>
      <c r="K13" s="74" t="s">
        <v>1</v>
      </c>
      <c r="L13" s="59" t="s">
        <v>293</v>
      </c>
      <c r="M13" s="59">
        <v>0.93300000000000005</v>
      </c>
      <c r="N13" s="59" t="s">
        <v>15</v>
      </c>
      <c r="O13" s="100" t="s">
        <v>179</v>
      </c>
      <c r="P13" s="74" t="s">
        <v>114</v>
      </c>
      <c r="Q13" s="59" t="s">
        <v>115</v>
      </c>
      <c r="R13" s="64">
        <f>1000*SQRT(2/(2*M2*M15*M4/M3))</f>
        <v>6.562147464226471</v>
      </c>
      <c r="S13" s="59" t="s">
        <v>80</v>
      </c>
      <c r="T13" s="61"/>
    </row>
    <row r="14" spans="1:22" ht="15" customHeight="1" x14ac:dyDescent="0.2">
      <c r="A14" s="58" t="s">
        <v>207</v>
      </c>
      <c r="B14" s="59" t="s">
        <v>270</v>
      </c>
      <c r="C14" s="64">
        <v>1.25</v>
      </c>
      <c r="D14" s="59" t="s">
        <v>28</v>
      </c>
      <c r="E14" s="61"/>
      <c r="F14" s="60" t="s">
        <v>292</v>
      </c>
      <c r="G14" s="59" t="s">
        <v>319</v>
      </c>
      <c r="H14" s="81">
        <f>C25/H6</f>
        <v>0.50170274872293841</v>
      </c>
      <c r="I14" s="61" t="s">
        <v>15</v>
      </c>
      <c r="J14" s="60"/>
      <c r="K14" s="74" t="s">
        <v>93</v>
      </c>
      <c r="L14" s="59" t="s">
        <v>304</v>
      </c>
      <c r="M14" s="83">
        <f>0.001*2*R9*R10*C26/R3</f>
        <v>1.9998309272554273</v>
      </c>
      <c r="N14" s="59" t="s">
        <v>96</v>
      </c>
      <c r="O14" s="62"/>
      <c r="P14" s="60" t="s">
        <v>331</v>
      </c>
      <c r="Q14" s="61" t="s">
        <v>332</v>
      </c>
      <c r="R14" s="98">
        <f>2*SQRT(M20/(M2*H5))</f>
        <v>1.3201611530549224</v>
      </c>
      <c r="S14" s="61" t="s">
        <v>80</v>
      </c>
      <c r="T14" s="61"/>
    </row>
    <row r="15" spans="1:22" ht="15" customHeight="1" x14ac:dyDescent="0.2">
      <c r="A15" s="74" t="s">
        <v>189</v>
      </c>
      <c r="B15" s="59" t="s">
        <v>271</v>
      </c>
      <c r="C15" s="59">
        <v>1.1000000000000001</v>
      </c>
      <c r="D15" s="59" t="s">
        <v>15</v>
      </c>
      <c r="E15" s="61"/>
      <c r="F15" s="84" t="s">
        <v>145</v>
      </c>
      <c r="G15" s="59" t="s">
        <v>294</v>
      </c>
      <c r="H15" s="85">
        <f>H14*H13</f>
        <v>13.180391121776184</v>
      </c>
      <c r="I15" s="86" t="s">
        <v>80</v>
      </c>
      <c r="J15" s="86"/>
      <c r="K15" s="70" t="s">
        <v>25</v>
      </c>
      <c r="L15" s="59" t="s">
        <v>318</v>
      </c>
      <c r="M15" s="59">
        <f>R3*C7/120</f>
        <v>100</v>
      </c>
      <c r="N15" s="59" t="s">
        <v>70</v>
      </c>
      <c r="O15" s="60"/>
      <c r="P15" s="60" t="s">
        <v>329</v>
      </c>
      <c r="Q15" s="61" t="s">
        <v>333</v>
      </c>
      <c r="R15" s="61">
        <v>14</v>
      </c>
      <c r="S15" s="61" t="s">
        <v>15</v>
      </c>
      <c r="T15" s="123" t="s">
        <v>178</v>
      </c>
    </row>
    <row r="16" spans="1:22" ht="15" customHeight="1" x14ac:dyDescent="0.2">
      <c r="A16" s="74" t="s">
        <v>192</v>
      </c>
      <c r="B16" s="59" t="s">
        <v>272</v>
      </c>
      <c r="C16" s="65">
        <f>C15*M5</f>
        <v>1.3823007660000001E-6</v>
      </c>
      <c r="D16" s="59" t="s">
        <v>113</v>
      </c>
      <c r="E16" s="61"/>
      <c r="F16" s="87" t="s">
        <v>140</v>
      </c>
      <c r="G16" s="88" t="s">
        <v>296</v>
      </c>
      <c r="H16" s="89">
        <f>H13-H15</f>
        <v>13.090924224464738</v>
      </c>
      <c r="I16" s="88" t="s">
        <v>80</v>
      </c>
      <c r="J16" s="82"/>
      <c r="K16" s="58" t="s">
        <v>97</v>
      </c>
      <c r="L16" s="90" t="s">
        <v>295</v>
      </c>
      <c r="M16" s="90">
        <v>60</v>
      </c>
      <c r="N16" s="90" t="s">
        <v>15</v>
      </c>
      <c r="O16" s="90" t="s">
        <v>178</v>
      </c>
      <c r="P16" s="60" t="s">
        <v>330</v>
      </c>
      <c r="Q16" s="61" t="s">
        <v>332</v>
      </c>
      <c r="R16" s="99">
        <v>1.6281399999999999</v>
      </c>
      <c r="S16" s="61" t="s">
        <v>80</v>
      </c>
      <c r="T16" s="124"/>
      <c r="U16" s="70" t="s">
        <v>285</v>
      </c>
      <c r="V16" s="70">
        <v>0.99</v>
      </c>
    </row>
    <row r="17" spans="1:23" ht="15" customHeight="1" x14ac:dyDescent="0.2">
      <c r="A17" s="60" t="s">
        <v>273</v>
      </c>
      <c r="B17" s="59" t="s">
        <v>274</v>
      </c>
      <c r="C17" s="59">
        <v>3</v>
      </c>
      <c r="D17" s="59" t="s">
        <v>80</v>
      </c>
      <c r="E17" s="68" t="s">
        <v>178</v>
      </c>
      <c r="F17" s="74" t="s">
        <v>137</v>
      </c>
      <c r="G17" s="59" t="s">
        <v>298</v>
      </c>
      <c r="H17" s="59">
        <v>5</v>
      </c>
      <c r="I17" s="59" t="s">
        <v>80</v>
      </c>
      <c r="J17" s="135" t="s">
        <v>178</v>
      </c>
      <c r="K17" s="58" t="s">
        <v>103</v>
      </c>
      <c r="L17" s="59" t="s">
        <v>297</v>
      </c>
      <c r="M17" s="59">
        <f>M16*C8*C9/2</f>
        <v>120</v>
      </c>
      <c r="N17" s="59" t="s">
        <v>15</v>
      </c>
      <c r="O17" s="62"/>
      <c r="P17" s="60" t="s">
        <v>408</v>
      </c>
      <c r="Q17" s="59" t="s">
        <v>409</v>
      </c>
      <c r="R17" s="81">
        <f>(R16/2)^2*M2</f>
        <v>2.0819647548115978</v>
      </c>
      <c r="S17" s="59" t="s">
        <v>311</v>
      </c>
      <c r="T17" s="125"/>
      <c r="U17" s="70" t="s">
        <v>221</v>
      </c>
      <c r="V17" s="70">
        <v>1.01</v>
      </c>
    </row>
    <row r="18" spans="1:23" ht="15" customHeight="1" x14ac:dyDescent="0.2">
      <c r="A18" s="75" t="s">
        <v>153</v>
      </c>
      <c r="B18" s="59" t="s">
        <v>278</v>
      </c>
      <c r="C18" s="59">
        <v>0.7</v>
      </c>
      <c r="D18" s="59" t="s">
        <v>15</v>
      </c>
      <c r="E18" s="68" t="s">
        <v>178</v>
      </c>
      <c r="F18" s="74" t="s">
        <v>131</v>
      </c>
      <c r="G18" s="59" t="s">
        <v>300</v>
      </c>
      <c r="H18" s="59">
        <v>1.5</v>
      </c>
      <c r="I18" s="59" t="s">
        <v>80</v>
      </c>
      <c r="J18" s="135"/>
      <c r="K18" s="91" t="s">
        <v>143</v>
      </c>
      <c r="L18" s="92" t="s">
        <v>299</v>
      </c>
      <c r="M18" s="93">
        <f>4.44*M17*M15*M14*M13/1000</f>
        <v>99.41207535328985</v>
      </c>
      <c r="N18" s="92" t="s">
        <v>33</v>
      </c>
      <c r="O18" s="94"/>
      <c r="P18" s="60" t="s">
        <v>334</v>
      </c>
      <c r="Q18" s="61" t="s">
        <v>336</v>
      </c>
      <c r="R18" s="81">
        <f>2*R10*V18+2*H13</f>
        <v>273.31050304562103</v>
      </c>
      <c r="S18" s="61" t="s">
        <v>80</v>
      </c>
      <c r="T18" s="61"/>
      <c r="U18" s="70" t="s">
        <v>337</v>
      </c>
      <c r="V18" s="70">
        <v>1.1000000000000001</v>
      </c>
    </row>
    <row r="19" spans="1:23" ht="15" customHeight="1" x14ac:dyDescent="0.25">
      <c r="A19" s="74" t="s">
        <v>198</v>
      </c>
      <c r="B19" s="59" t="s">
        <v>279</v>
      </c>
      <c r="C19" s="64">
        <f>2*M2*C18/R3</f>
        <v>0.2199114855</v>
      </c>
      <c r="D19" s="59" t="s">
        <v>200</v>
      </c>
      <c r="E19" s="61"/>
      <c r="F19" s="74" t="s">
        <v>132</v>
      </c>
      <c r="G19" s="59" t="s">
        <v>302</v>
      </c>
      <c r="H19" s="59">
        <v>1.5</v>
      </c>
      <c r="I19" s="59" t="s">
        <v>80</v>
      </c>
      <c r="J19" s="135"/>
      <c r="K19" s="58" t="s">
        <v>328</v>
      </c>
      <c r="L19" s="59" t="s">
        <v>301</v>
      </c>
      <c r="M19" s="64">
        <f>M18*C4*SQRT(3)*SQRT(2)</f>
        <v>974.03543554668749</v>
      </c>
      <c r="N19" s="59" t="s">
        <v>33</v>
      </c>
      <c r="O19" s="60"/>
      <c r="P19" s="60" t="s">
        <v>335</v>
      </c>
      <c r="Q19" s="61" t="s">
        <v>338</v>
      </c>
      <c r="R19" s="81">
        <f>R18*M17/1000</f>
        <v>32.797260365474528</v>
      </c>
      <c r="S19" s="61" t="s">
        <v>14</v>
      </c>
      <c r="T19" s="61"/>
    </row>
    <row r="20" spans="1:23" ht="15" customHeight="1" x14ac:dyDescent="0.25">
      <c r="A20" s="74" t="s">
        <v>198</v>
      </c>
      <c r="B20" s="59" t="s">
        <v>279</v>
      </c>
      <c r="C20" s="64">
        <f>C19*180/M2</f>
        <v>12.6</v>
      </c>
      <c r="D20" s="59" t="s">
        <v>201</v>
      </c>
      <c r="E20" s="61"/>
      <c r="F20" s="74" t="s">
        <v>146</v>
      </c>
      <c r="G20" s="59" t="s">
        <v>303</v>
      </c>
      <c r="H20" s="59">
        <v>1.5</v>
      </c>
      <c r="I20" s="59" t="s">
        <v>80</v>
      </c>
      <c r="J20" s="135"/>
      <c r="K20" s="94" t="s">
        <v>67</v>
      </c>
      <c r="L20" s="92" t="s">
        <v>313</v>
      </c>
      <c r="M20" s="95">
        <f>H5*H26/(2*M16)</f>
        <v>5.4752476868957016</v>
      </c>
      <c r="N20" s="96" t="s">
        <v>22</v>
      </c>
      <c r="O20" s="96"/>
      <c r="P20" s="60" t="s">
        <v>356</v>
      </c>
      <c r="Q20" s="61" t="s">
        <v>357</v>
      </c>
      <c r="R20" s="98">
        <f>M10*R19/R17*1000000</f>
        <v>0.32191087501866283</v>
      </c>
      <c r="S20" s="59" t="s">
        <v>339</v>
      </c>
      <c r="T20" s="61"/>
      <c r="U20" s="70" t="s">
        <v>289</v>
      </c>
      <c r="V20" s="70" t="s">
        <v>290</v>
      </c>
      <c r="W20" s="105" t="s">
        <v>325</v>
      </c>
    </row>
    <row r="21" spans="1:23" ht="15" customHeight="1" x14ac:dyDescent="0.25">
      <c r="A21" s="74" t="s">
        <v>187</v>
      </c>
      <c r="B21" s="59" t="s">
        <v>280</v>
      </c>
      <c r="C21" s="64">
        <f>(C19*(R9/2-C13/2)+2*C13)*(R10+2*C13)/100</f>
        <v>24.520729252821194</v>
      </c>
      <c r="D21" s="59" t="s">
        <v>281</v>
      </c>
      <c r="E21" s="61"/>
      <c r="F21" s="60" t="s">
        <v>130</v>
      </c>
      <c r="G21" s="90" t="s">
        <v>308</v>
      </c>
      <c r="H21" s="90">
        <v>20</v>
      </c>
      <c r="I21" s="90" t="s">
        <v>80</v>
      </c>
      <c r="J21" s="90" t="s">
        <v>178</v>
      </c>
      <c r="K21" s="97"/>
      <c r="L21" s="97"/>
      <c r="M21" s="97"/>
      <c r="N21" s="97"/>
      <c r="O21" s="97"/>
      <c r="P21" s="60" t="s">
        <v>377</v>
      </c>
      <c r="Q21" s="61" t="s">
        <v>381</v>
      </c>
      <c r="R21" s="81">
        <f>R20*M20^2*C6</f>
        <v>28.951058310700411</v>
      </c>
      <c r="S21" s="61" t="s">
        <v>7</v>
      </c>
      <c r="T21" s="61"/>
      <c r="U21" s="70" t="s">
        <v>291</v>
      </c>
      <c r="V21" s="70" t="s">
        <v>286</v>
      </c>
      <c r="W21" s="105" t="s">
        <v>324</v>
      </c>
    </row>
    <row r="22" spans="1:23" ht="15" customHeight="1" x14ac:dyDescent="0.25">
      <c r="A22" s="74" t="s">
        <v>188</v>
      </c>
      <c r="B22" s="59" t="s">
        <v>282</v>
      </c>
      <c r="C22" s="64">
        <f>(C19*(R9/2-C13/2)+2*C13)*(R10+2*C13)/100</f>
        <v>24.520729252821194</v>
      </c>
      <c r="D22" s="59" t="s">
        <v>281</v>
      </c>
      <c r="E22" s="61"/>
      <c r="F22" s="60" t="s">
        <v>305</v>
      </c>
      <c r="G22" s="59" t="s">
        <v>306</v>
      </c>
      <c r="H22" s="81">
        <f>R9+(H18+H19+H20+H21)*2</f>
        <v>249.69806577558106</v>
      </c>
      <c r="I22" s="61" t="s">
        <v>80</v>
      </c>
      <c r="J22" s="60"/>
      <c r="K22" s="97"/>
      <c r="L22" s="97"/>
      <c r="M22" s="97"/>
      <c r="N22" s="97"/>
      <c r="O22" s="97"/>
      <c r="P22" s="60" t="s">
        <v>378</v>
      </c>
      <c r="Q22" s="61" t="s">
        <v>380</v>
      </c>
      <c r="R22" s="81">
        <f>C4*R21</f>
        <v>115.80423324280164</v>
      </c>
      <c r="S22" s="61" t="s">
        <v>7</v>
      </c>
      <c r="T22" s="61"/>
      <c r="W22" s="105"/>
    </row>
    <row r="23" spans="1:23" ht="15" customHeight="1" x14ac:dyDescent="0.2">
      <c r="A23" s="74" t="s">
        <v>203</v>
      </c>
      <c r="B23" s="59" t="s">
        <v>284</v>
      </c>
      <c r="C23" s="64">
        <f>C22/C21</f>
        <v>1</v>
      </c>
      <c r="D23" s="59" t="s">
        <v>15</v>
      </c>
      <c r="E23" s="71"/>
      <c r="F23" s="75" t="s">
        <v>149</v>
      </c>
      <c r="G23" s="59" t="s">
        <v>320</v>
      </c>
      <c r="H23" s="64">
        <f>M2*H22/R2</f>
        <v>32.68540033999092</v>
      </c>
      <c r="I23" s="59" t="s">
        <v>80</v>
      </c>
      <c r="J23" s="60"/>
      <c r="K23" s="134" t="s">
        <v>346</v>
      </c>
      <c r="L23" s="134"/>
      <c r="M23" s="134"/>
      <c r="N23" s="134"/>
      <c r="O23" s="134"/>
      <c r="P23" s="134" t="s">
        <v>316</v>
      </c>
      <c r="Q23" s="134"/>
      <c r="R23" s="134"/>
      <c r="S23" s="134"/>
      <c r="T23" s="134"/>
      <c r="W23" s="70" t="s">
        <v>326</v>
      </c>
    </row>
    <row r="24" spans="1:23" ht="15" customHeight="1" x14ac:dyDescent="0.25">
      <c r="A24" s="74" t="s">
        <v>205</v>
      </c>
      <c r="B24" s="59" t="s">
        <v>206</v>
      </c>
      <c r="C24" s="64">
        <f>C22*C13/(C21*C17)</f>
        <v>0.33333333333333337</v>
      </c>
      <c r="D24" s="59" t="s">
        <v>15</v>
      </c>
      <c r="E24" s="61"/>
      <c r="F24" s="74" t="s">
        <v>139</v>
      </c>
      <c r="G24" s="59" t="s">
        <v>309</v>
      </c>
      <c r="H24" s="64">
        <f>H23-H15</f>
        <v>19.505009218214738</v>
      </c>
      <c r="I24" s="59" t="s">
        <v>80</v>
      </c>
      <c r="J24" s="62"/>
      <c r="K24" s="60" t="s">
        <v>347</v>
      </c>
      <c r="L24" s="61" t="s">
        <v>352</v>
      </c>
      <c r="M24" s="116">
        <f>C17*R10*C18*M2*(R9-C13)/1000</f>
        <v>132.20753767262116</v>
      </c>
      <c r="N24" s="61" t="s">
        <v>351</v>
      </c>
      <c r="O24" s="61"/>
      <c r="P24" s="106" t="s">
        <v>27</v>
      </c>
      <c r="Q24" s="107" t="s">
        <v>344</v>
      </c>
      <c r="R24" s="108">
        <f>C25*2/M2</f>
        <v>0.57490900209566576</v>
      </c>
      <c r="S24" s="107" t="s">
        <v>28</v>
      </c>
      <c r="T24" s="107"/>
    </row>
    <row r="25" spans="1:23" ht="15" customHeight="1" x14ac:dyDescent="0.25">
      <c r="A25" s="60" t="s">
        <v>275</v>
      </c>
      <c r="B25" s="61" t="s">
        <v>276</v>
      </c>
      <c r="C25" s="98">
        <f>V16*C14*C23/(1+V17*C15*C24)</f>
        <v>0.9030649477012892</v>
      </c>
      <c r="D25" s="61"/>
      <c r="E25" s="61"/>
      <c r="F25" s="60" t="s">
        <v>410</v>
      </c>
      <c r="G25" s="59" t="s">
        <v>310</v>
      </c>
      <c r="H25" s="64">
        <f>(H24+H16-3)*(H21-1.5)/2</f>
        <v>273.76238434478512</v>
      </c>
      <c r="I25" s="59" t="s">
        <v>311</v>
      </c>
      <c r="J25" s="59"/>
      <c r="K25" s="70" t="s">
        <v>382</v>
      </c>
      <c r="L25" s="61" t="s">
        <v>383</v>
      </c>
      <c r="M25" s="126">
        <f>(M2/4*(H29^2-R9^2)-R2*H21*(H16+H24)/2)*R10/1000</f>
        <v>1576.2377096665907</v>
      </c>
      <c r="N25" s="61" t="s">
        <v>351</v>
      </c>
      <c r="O25" s="61"/>
      <c r="P25" s="109" t="s">
        <v>21</v>
      </c>
      <c r="Q25" s="110" t="s">
        <v>22</v>
      </c>
      <c r="R25" s="111">
        <f>R2*M16*C9*M20/(M2*R9)</f>
        <v>25.009395752295156</v>
      </c>
      <c r="S25" s="110" t="s">
        <v>23</v>
      </c>
      <c r="T25" s="110"/>
    </row>
    <row r="26" spans="1:23" ht="15" customHeight="1" x14ac:dyDescent="0.25">
      <c r="A26" s="60" t="s">
        <v>322</v>
      </c>
      <c r="B26" s="61" t="s">
        <v>323</v>
      </c>
      <c r="C26" s="98">
        <f>C25*C18*M2/2</f>
        <v>0.99297177075985155</v>
      </c>
      <c r="D26" s="61"/>
      <c r="E26" s="61"/>
      <c r="F26" s="60" t="s">
        <v>307</v>
      </c>
      <c r="G26" s="59" t="s">
        <v>312</v>
      </c>
      <c r="H26" s="81">
        <f>H25*H2</f>
        <v>164.25743060687105</v>
      </c>
      <c r="I26" s="59" t="s">
        <v>311</v>
      </c>
      <c r="J26" s="60"/>
      <c r="K26" s="60" t="s">
        <v>384</v>
      </c>
      <c r="L26" s="61" t="s">
        <v>385</v>
      </c>
      <c r="M26" s="145">
        <f>(M2/4*((R9-2*C17-2*C13)^2-R11^2)*R10/1000)</f>
        <v>2483.2339162640374</v>
      </c>
      <c r="N26" s="59" t="s">
        <v>351</v>
      </c>
      <c r="O26" s="61"/>
      <c r="P26" s="106" t="s">
        <v>29</v>
      </c>
      <c r="Q26" s="107" t="s">
        <v>30</v>
      </c>
      <c r="R26" s="112">
        <f>M16*C9*M20/(M2*(R16/2)*M16)</f>
        <v>4.2817582518341242</v>
      </c>
      <c r="S26" s="107" t="s">
        <v>244</v>
      </c>
      <c r="T26" s="107"/>
    </row>
    <row r="27" spans="1:23" ht="15" customHeight="1" x14ac:dyDescent="0.25">
      <c r="A27" s="101" t="s">
        <v>340</v>
      </c>
      <c r="B27" s="102" t="s">
        <v>342</v>
      </c>
      <c r="C27" s="103">
        <f>4*C25/M2*(COS(M2*C18/2))</f>
        <v>0.52200645161955517</v>
      </c>
      <c r="D27" s="61"/>
      <c r="E27" s="61"/>
      <c r="F27" s="130" t="s">
        <v>315</v>
      </c>
      <c r="G27" s="131"/>
      <c r="H27" s="131"/>
      <c r="I27" s="131"/>
      <c r="J27" s="132"/>
      <c r="K27" s="60" t="s">
        <v>348</v>
      </c>
      <c r="L27" s="61" t="s">
        <v>353</v>
      </c>
      <c r="M27" s="145">
        <f>R19*C6*C4*(R16/2)^2*M2</f>
        <v>819.39288162356786</v>
      </c>
      <c r="N27" s="59" t="s">
        <v>351</v>
      </c>
      <c r="O27" s="61"/>
      <c r="P27" s="113" t="s">
        <v>317</v>
      </c>
      <c r="Q27" s="114" t="s">
        <v>372</v>
      </c>
      <c r="R27" s="115">
        <f>C2/M29</f>
        <v>95.749247573146022</v>
      </c>
      <c r="S27" s="114" t="s">
        <v>373</v>
      </c>
      <c r="T27" s="114"/>
      <c r="V27" s="70">
        <f>R17*M16*C9</f>
        <v>249.83577057739174</v>
      </c>
    </row>
    <row r="28" spans="1:23" ht="15" customHeight="1" x14ac:dyDescent="0.25">
      <c r="A28" s="101" t="s">
        <v>341</v>
      </c>
      <c r="B28" s="102" t="s">
        <v>343</v>
      </c>
      <c r="C28" s="104">
        <f>C27*2/M2</f>
        <v>0.33231962878418064</v>
      </c>
      <c r="D28" s="61"/>
      <c r="E28" s="61"/>
      <c r="F28" s="120" t="s">
        <v>135</v>
      </c>
      <c r="G28" s="20" t="s">
        <v>136</v>
      </c>
      <c r="H28" s="23">
        <f>C25*C18*R9*M2/(H7*2*R3)</f>
        <v>7.6649043754329176</v>
      </c>
      <c r="I28" s="20" t="s">
        <v>80</v>
      </c>
      <c r="J28" s="60"/>
      <c r="K28" s="60" t="s">
        <v>349</v>
      </c>
      <c r="L28" s="61" t="s">
        <v>354</v>
      </c>
      <c r="M28" s="145">
        <f>M2*R9*R10/1000</f>
        <v>63.271226104450712</v>
      </c>
      <c r="N28" s="59" t="s">
        <v>351</v>
      </c>
      <c r="O28" s="61"/>
      <c r="P28" s="113" t="s">
        <v>374</v>
      </c>
      <c r="Q28" s="114" t="s">
        <v>375</v>
      </c>
      <c r="R28" s="115">
        <f>M20*M18</f>
        <v>544.30573562760139</v>
      </c>
      <c r="S28" s="114" t="s">
        <v>7</v>
      </c>
      <c r="T28" s="114"/>
    </row>
    <row r="29" spans="1:23" ht="15" customHeight="1" x14ac:dyDescent="0.25">
      <c r="A29" s="60"/>
      <c r="B29" s="60"/>
      <c r="C29" s="60"/>
      <c r="D29" s="60"/>
      <c r="E29" s="60"/>
      <c r="F29" s="120" t="s">
        <v>321</v>
      </c>
      <c r="G29" s="61" t="s">
        <v>264</v>
      </c>
      <c r="H29" s="73">
        <f>H22+H28*2</f>
        <v>265.02787452644691</v>
      </c>
      <c r="I29" s="61" t="s">
        <v>80</v>
      </c>
      <c r="J29" s="60"/>
      <c r="K29" s="60" t="s">
        <v>350</v>
      </c>
      <c r="L29" s="61" t="s">
        <v>355</v>
      </c>
      <c r="M29" s="145">
        <f>M2*H29*R10/1000</f>
        <v>83.551570406739074</v>
      </c>
      <c r="N29" s="59" t="s">
        <v>351</v>
      </c>
      <c r="O29" s="60"/>
      <c r="P29" s="113" t="s">
        <v>376</v>
      </c>
      <c r="Q29" s="114" t="s">
        <v>239</v>
      </c>
      <c r="R29" s="115">
        <f>R28*C4*C6</f>
        <v>6531.6688275312172</v>
      </c>
      <c r="S29" s="114" t="s">
        <v>7</v>
      </c>
      <c r="T29" s="114"/>
    </row>
    <row r="30" spans="1:23" ht="15" customHeight="1" x14ac:dyDescent="0.25">
      <c r="A30" s="60"/>
      <c r="B30" s="61"/>
      <c r="C30" s="98"/>
      <c r="D30" s="61"/>
      <c r="E30" s="61"/>
      <c r="F30" s="120" t="s">
        <v>398</v>
      </c>
      <c r="G30" s="61" t="s">
        <v>399</v>
      </c>
      <c r="H30" s="73">
        <f>H22</f>
        <v>249.69806577558106</v>
      </c>
      <c r="I30" s="61" t="s">
        <v>80</v>
      </c>
      <c r="J30" s="60"/>
      <c r="K30" s="60" t="s">
        <v>365</v>
      </c>
      <c r="L30" s="61" t="s">
        <v>368</v>
      </c>
      <c r="M30" s="146">
        <f>M24*M8/1000</f>
        <v>0.97833577877739664</v>
      </c>
      <c r="N30" s="59" t="s">
        <v>371</v>
      </c>
      <c r="O30" s="60"/>
      <c r="P30" s="113" t="s">
        <v>388</v>
      </c>
      <c r="Q30" s="114" t="s">
        <v>389</v>
      </c>
      <c r="R30" s="114">
        <v>1.08</v>
      </c>
      <c r="S30" s="114" t="s">
        <v>28</v>
      </c>
      <c r="T30" s="127" t="s">
        <v>397</v>
      </c>
    </row>
    <row r="31" spans="1:23" ht="15" customHeight="1" x14ac:dyDescent="0.25">
      <c r="A31" s="60"/>
      <c r="B31" s="61"/>
      <c r="C31" s="98"/>
      <c r="D31" s="61"/>
      <c r="E31" s="61"/>
      <c r="F31" s="60"/>
      <c r="G31" s="61"/>
      <c r="H31" s="61"/>
      <c r="I31" s="61"/>
      <c r="J31" s="61"/>
      <c r="K31" s="70" t="s">
        <v>411</v>
      </c>
      <c r="L31" s="61" t="s">
        <v>412</v>
      </c>
      <c r="M31" s="146">
        <f>M7*M25/1000</f>
        <v>12.058218478949421</v>
      </c>
      <c r="N31" s="59" t="s">
        <v>371</v>
      </c>
      <c r="O31" s="60"/>
      <c r="P31" s="113" t="s">
        <v>390</v>
      </c>
      <c r="Q31" s="114" t="s">
        <v>391</v>
      </c>
      <c r="R31" s="114">
        <v>1.69</v>
      </c>
      <c r="S31" s="114" t="s">
        <v>28</v>
      </c>
      <c r="T31" s="128"/>
    </row>
    <row r="32" spans="1:23" ht="15" customHeight="1" x14ac:dyDescent="0.25">
      <c r="A32" s="60"/>
      <c r="B32" s="61"/>
      <c r="C32" s="61"/>
      <c r="D32" s="61"/>
      <c r="E32" s="61"/>
      <c r="F32" s="60"/>
      <c r="G32" s="61"/>
      <c r="H32" s="61"/>
      <c r="I32" s="61"/>
      <c r="J32" s="61"/>
      <c r="K32" s="60" t="s">
        <v>366</v>
      </c>
      <c r="L32" s="61" t="s">
        <v>369</v>
      </c>
      <c r="M32" s="146">
        <f>M26*M7/1000</f>
        <v>18.996739459419885</v>
      </c>
      <c r="N32" s="59" t="s">
        <v>371</v>
      </c>
      <c r="P32" s="113" t="s">
        <v>392</v>
      </c>
      <c r="Q32" s="114" t="s">
        <v>393</v>
      </c>
      <c r="R32" s="114">
        <v>0.18</v>
      </c>
      <c r="S32" s="114" t="s">
        <v>28</v>
      </c>
      <c r="T32" s="128"/>
    </row>
    <row r="33" spans="1:20" ht="14.25" x14ac:dyDescent="0.25">
      <c r="A33" s="60"/>
      <c r="B33" s="61"/>
      <c r="C33" s="61"/>
      <c r="D33" s="61"/>
      <c r="E33" s="61"/>
      <c r="F33" s="60"/>
      <c r="G33" s="61"/>
      <c r="H33" s="61"/>
      <c r="I33" s="61"/>
      <c r="J33" s="61"/>
      <c r="K33" s="117" t="s">
        <v>367</v>
      </c>
      <c r="L33" s="118" t="s">
        <v>370</v>
      </c>
      <c r="M33" s="146">
        <f>M27*M6/1000</f>
        <v>7.3417602193471687</v>
      </c>
      <c r="N33" s="59" t="s">
        <v>371</v>
      </c>
      <c r="O33" s="119"/>
      <c r="P33" s="106" t="s">
        <v>394</v>
      </c>
      <c r="Q33" s="107" t="s">
        <v>395</v>
      </c>
      <c r="R33" s="107">
        <v>3.97</v>
      </c>
      <c r="S33" s="107" t="s">
        <v>64</v>
      </c>
      <c r="T33" s="128"/>
    </row>
    <row r="34" spans="1:20" ht="14.25" x14ac:dyDescent="0.25">
      <c r="K34" s="60" t="s">
        <v>386</v>
      </c>
      <c r="L34" s="60" t="s">
        <v>387</v>
      </c>
      <c r="M34" s="64">
        <f>SUM(M30:M33)</f>
        <v>39.37505393649387</v>
      </c>
      <c r="N34" s="59" t="s">
        <v>371</v>
      </c>
      <c r="P34" s="60" t="s">
        <v>396</v>
      </c>
      <c r="Q34" s="59" t="s">
        <v>240</v>
      </c>
      <c r="R34" s="59"/>
      <c r="S34" s="59" t="s">
        <v>15</v>
      </c>
      <c r="T34" s="129"/>
    </row>
  </sheetData>
  <mergeCells count="14">
    <mergeCell ref="T30:T34"/>
    <mergeCell ref="F27:J27"/>
    <mergeCell ref="A1:E1"/>
    <mergeCell ref="F1:I1"/>
    <mergeCell ref="K1:N1"/>
    <mergeCell ref="P1:T1"/>
    <mergeCell ref="A12:E12"/>
    <mergeCell ref="P23:T23"/>
    <mergeCell ref="J17:J20"/>
    <mergeCell ref="K12:O12"/>
    <mergeCell ref="F8:J8"/>
    <mergeCell ref="P12:T12"/>
    <mergeCell ref="K23:O23"/>
    <mergeCell ref="F12:J12"/>
  </mergeCells>
  <hyperlinks>
    <hyperlink ref="W20" r:id="rId1"/>
    <hyperlink ref="W21" r:id="rId2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1"/>
  <sheetViews>
    <sheetView zoomScale="130" zoomScaleNormal="130" workbookViewId="0">
      <selection activeCell="B19" sqref="B19"/>
    </sheetView>
  </sheetViews>
  <sheetFormatPr defaultRowHeight="15" x14ac:dyDescent="0.25"/>
  <cols>
    <col min="1" max="1" width="103" customWidth="1"/>
    <col min="2" max="2" width="27.140625" customWidth="1"/>
  </cols>
  <sheetData>
    <row r="1" spans="1:2" ht="15.75" x14ac:dyDescent="0.25">
      <c r="A1" s="54" t="s">
        <v>225</v>
      </c>
      <c r="B1" s="54" t="s">
        <v>230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5121" r:id="rId3">
          <objectPr defaultSize="0" autoPict="0" r:id="rId4">
            <anchor moveWithCells="1" sizeWithCells="1">
              <from>
                <xdr:col>0</xdr:col>
                <xdr:colOff>6848475</xdr:colOff>
                <xdr:row>1</xdr:row>
                <xdr:rowOff>76200</xdr:rowOff>
              </from>
              <to>
                <xdr:col>3</xdr:col>
                <xdr:colOff>352425</xdr:colOff>
                <xdr:row>16</xdr:row>
                <xdr:rowOff>19050</xdr:rowOff>
              </to>
            </anchor>
          </objectPr>
        </oleObject>
      </mc:Choice>
      <mc:Fallback>
        <oleObject progId="Visio.Drawing.15" shapeId="5121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C15" sqref="C15"/>
    </sheetView>
  </sheetViews>
  <sheetFormatPr defaultRowHeight="15" x14ac:dyDescent="0.25"/>
  <cols>
    <col min="1" max="1" width="10.5703125" style="76" bestFit="1" customWidth="1"/>
    <col min="2" max="2" width="7.7109375" style="77" bestFit="1" customWidth="1"/>
    <col min="3" max="3" width="12.42578125" bestFit="1" customWidth="1"/>
    <col min="4" max="4" width="10.85546875" bestFit="1" customWidth="1"/>
    <col min="6" max="6" width="13" bestFit="1" customWidth="1"/>
  </cols>
  <sheetData>
    <row r="1" spans="1:6" x14ac:dyDescent="0.25">
      <c r="A1" s="76" t="s">
        <v>287</v>
      </c>
      <c r="B1" s="77" t="s">
        <v>288</v>
      </c>
    </row>
    <row r="2" spans="1:6" x14ac:dyDescent="0.25">
      <c r="A2" s="78">
        <v>0</v>
      </c>
      <c r="B2" s="77">
        <v>0.96</v>
      </c>
    </row>
    <row r="3" spans="1:6" x14ac:dyDescent="0.25">
      <c r="A3" s="78">
        <v>-41668.491999999998</v>
      </c>
      <c r="B3" s="77">
        <v>0.90764053175022497</v>
      </c>
      <c r="C3">
        <f>(B2-B3)/(A2-A3)</f>
        <v>1.256572190080097E-6</v>
      </c>
      <c r="D3" s="79">
        <f>1/(C3/'SH1'!M5)</f>
        <v>1.0000516245070639</v>
      </c>
    </row>
    <row r="4" spans="1:6" x14ac:dyDescent="0.25">
      <c r="A4" s="78">
        <v>-83336.985000000001</v>
      </c>
      <c r="B4" s="77">
        <v>0.85527835989871304</v>
      </c>
      <c r="C4">
        <f>(B3-B4)/(A3-A4)</f>
        <v>1.2566370435213947E-6</v>
      </c>
      <c r="D4" s="79">
        <f>1/(C4/'SH1'!M5)</f>
        <v>1.0000000131132576</v>
      </c>
    </row>
    <row r="5" spans="1:6" x14ac:dyDescent="0.25">
      <c r="A5" s="78">
        <v>-125005.477</v>
      </c>
      <c r="B5" s="77">
        <v>0.802916188047201</v>
      </c>
      <c r="C5">
        <f t="shared" ref="C5:C10" si="0">(B4-B5)/(A4-A5)</f>
        <v>1.2566370736793652E-6</v>
      </c>
      <c r="D5" s="79">
        <f>1/(C5/'SH1'!M5)</f>
        <v>0.9999999891143071</v>
      </c>
    </row>
    <row r="6" spans="1:6" x14ac:dyDescent="0.25">
      <c r="A6" s="78">
        <v>-166673.97</v>
      </c>
      <c r="B6" s="77">
        <v>0.75055401619568896</v>
      </c>
      <c r="C6">
        <f t="shared" si="0"/>
        <v>1.2566370435213972E-6</v>
      </c>
      <c r="D6" s="79">
        <f>1/(C6/'SH1'!M5)</f>
        <v>1.0000000131132556</v>
      </c>
    </row>
    <row r="7" spans="1:6" x14ac:dyDescent="0.25">
      <c r="A7" s="78">
        <v>-208342.462</v>
      </c>
      <c r="B7" s="77">
        <v>0.69819184434417803</v>
      </c>
      <c r="C7">
        <f t="shared" si="0"/>
        <v>1.2566370736793387E-6</v>
      </c>
      <c r="D7" s="79">
        <f>1/(C7/'SH1'!M5)</f>
        <v>0.99999998911432819</v>
      </c>
    </row>
    <row r="8" spans="1:6" x14ac:dyDescent="0.25">
      <c r="A8" s="78">
        <v>-250010.954</v>
      </c>
      <c r="B8" s="77">
        <v>0.64582967249266598</v>
      </c>
      <c r="C8">
        <f t="shared" si="0"/>
        <v>1.2566370736793652E-6</v>
      </c>
      <c r="D8" s="79">
        <f>1/(C8/'SH1'!M5)</f>
        <v>0.9999999891143071</v>
      </c>
      <c r="F8" s="80"/>
    </row>
    <row r="9" spans="1:6" x14ac:dyDescent="0.25">
      <c r="A9" s="78">
        <v>-291679.44699999999</v>
      </c>
      <c r="B9" s="77">
        <v>0.59346750064115605</v>
      </c>
      <c r="C9">
        <f>(B8-B9)/(A8-A9)</f>
        <v>1.2566370435213471E-6</v>
      </c>
      <c r="D9" s="79">
        <f>1/(C9/'SH1'!M5)</f>
        <v>1.0000000131132956</v>
      </c>
    </row>
    <row r="10" spans="1:6" x14ac:dyDescent="0.25">
      <c r="A10" s="78">
        <v>-333347.93900000001</v>
      </c>
      <c r="B10" s="77">
        <v>0.54110532878964401</v>
      </c>
      <c r="C10">
        <f t="shared" si="0"/>
        <v>1.2566370736793643E-6</v>
      </c>
      <c r="D10" s="79">
        <f>1/(C10/'SH1'!M5)</f>
        <v>0.99999998911430776</v>
      </c>
    </row>
    <row r="11" spans="1:6" x14ac:dyDescent="0.25">
      <c r="A11" s="78"/>
    </row>
    <row r="12" spans="1:6" x14ac:dyDescent="0.25">
      <c r="A12" s="78"/>
    </row>
    <row r="13" spans="1:6" x14ac:dyDescent="0.25">
      <c r="A13" s="78"/>
    </row>
    <row r="14" spans="1:6" x14ac:dyDescent="0.25">
      <c r="A14" s="78"/>
    </row>
    <row r="15" spans="1:6" x14ac:dyDescent="0.25">
      <c r="A15" s="78"/>
    </row>
    <row r="16" spans="1:6" x14ac:dyDescent="0.25">
      <c r="A16" s="78"/>
    </row>
    <row r="17" spans="1:1" x14ac:dyDescent="0.25">
      <c r="A17" s="78"/>
    </row>
    <row r="18" spans="1:1" x14ac:dyDescent="0.25">
      <c r="A18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6"/>
  <sheetViews>
    <sheetView zoomScale="145" zoomScaleNormal="145" workbookViewId="0">
      <selection activeCell="P12" sqref="P12"/>
    </sheetView>
  </sheetViews>
  <sheetFormatPr defaultRowHeight="15" x14ac:dyDescent="0.25"/>
  <cols>
    <col min="1" max="1" width="28" style="1" bestFit="1" customWidth="1"/>
    <col min="2" max="2" width="7.7109375" style="2" bestFit="1" customWidth="1"/>
    <col min="3" max="3" width="7.42578125" style="2" bestFit="1" customWidth="1"/>
    <col min="4" max="4" width="5.7109375" style="2" bestFit="1" customWidth="1"/>
    <col min="5" max="5" width="11.7109375" bestFit="1" customWidth="1"/>
    <col min="7" max="7" width="7.140625" bestFit="1" customWidth="1"/>
    <col min="8" max="17" width="4.7109375" bestFit="1" customWidth="1"/>
  </cols>
  <sheetData>
    <row r="1" spans="1:18" x14ac:dyDescent="0.25">
      <c r="A1" s="4" t="s">
        <v>57</v>
      </c>
      <c r="B1" s="5" t="s">
        <v>4</v>
      </c>
      <c r="C1" s="5" t="s">
        <v>5</v>
      </c>
      <c r="D1" s="5" t="s">
        <v>6</v>
      </c>
    </row>
    <row r="2" spans="1:18" ht="18" x14ac:dyDescent="0.35">
      <c r="A2" s="6" t="s">
        <v>34</v>
      </c>
      <c r="B2" s="7" t="s">
        <v>44</v>
      </c>
      <c r="C2" s="7">
        <f>OLDParameters!C4/OLDParameters!C5</f>
        <v>2</v>
      </c>
      <c r="D2" s="7" t="s">
        <v>15</v>
      </c>
    </row>
    <row r="3" spans="1:18" ht="18" x14ac:dyDescent="0.35">
      <c r="A3" s="6" t="s">
        <v>2</v>
      </c>
      <c r="B3" s="7" t="s">
        <v>45</v>
      </c>
      <c r="C3" s="7">
        <f>OLDParameters!C4*OLDParameters!C7*OLDParameters!C9</f>
        <v>24</v>
      </c>
      <c r="D3" s="7" t="s">
        <v>15</v>
      </c>
    </row>
    <row r="4" spans="1:18" x14ac:dyDescent="0.25">
      <c r="A4" s="6" t="s">
        <v>3</v>
      </c>
      <c r="B4" s="7" t="s">
        <v>24</v>
      </c>
      <c r="C4" s="7">
        <f>OLDParameters!C9*10</f>
        <v>20</v>
      </c>
      <c r="D4" s="7" t="s">
        <v>15</v>
      </c>
    </row>
    <row r="5" spans="1:18" ht="18" x14ac:dyDescent="0.35">
      <c r="A5" s="6" t="s">
        <v>31</v>
      </c>
      <c r="B5" s="7" t="s">
        <v>46</v>
      </c>
      <c r="C5" s="7">
        <f>C3/(C4*OLDParameters!C7)</f>
        <v>0.4</v>
      </c>
      <c r="D5" s="7" t="s">
        <v>15</v>
      </c>
      <c r="G5" s="12" t="s">
        <v>90</v>
      </c>
      <c r="H5" s="12">
        <v>2</v>
      </c>
      <c r="I5" s="12">
        <v>4</v>
      </c>
      <c r="J5" s="12">
        <v>6</v>
      </c>
      <c r="K5" s="12">
        <v>8</v>
      </c>
      <c r="L5" s="12">
        <v>10</v>
      </c>
      <c r="M5" s="12">
        <v>12</v>
      </c>
      <c r="N5" s="12">
        <v>14</v>
      </c>
      <c r="O5" s="12">
        <v>16</v>
      </c>
      <c r="P5" s="12">
        <v>18</v>
      </c>
      <c r="Q5" s="12">
        <v>20</v>
      </c>
    </row>
    <row r="6" spans="1:18" ht="18" x14ac:dyDescent="0.35">
      <c r="A6" s="6" t="s">
        <v>1</v>
      </c>
      <c r="B6" s="7" t="s">
        <v>47</v>
      </c>
      <c r="C6" s="7">
        <v>0.93300000000000005</v>
      </c>
      <c r="D6" s="7" t="s">
        <v>15</v>
      </c>
      <c r="E6" s="16" t="s">
        <v>58</v>
      </c>
      <c r="G6" s="13" t="s">
        <v>91</v>
      </c>
      <c r="H6" s="14">
        <v>2</v>
      </c>
      <c r="I6" s="14">
        <v>1.88</v>
      </c>
      <c r="J6" s="14">
        <v>1.78</v>
      </c>
      <c r="K6" s="14">
        <v>1.66</v>
      </c>
      <c r="L6" s="14">
        <v>1.54</v>
      </c>
      <c r="M6" s="14">
        <v>1.43</v>
      </c>
      <c r="N6" s="14"/>
      <c r="O6" s="14"/>
      <c r="P6" s="14"/>
      <c r="Q6" s="14"/>
    </row>
    <row r="7" spans="1:18" ht="18" x14ac:dyDescent="0.35">
      <c r="A7" s="6" t="s">
        <v>59</v>
      </c>
      <c r="B7" s="7" t="s">
        <v>60</v>
      </c>
      <c r="C7" s="8">
        <f>OLDParameters!C2/(OLDParameters!C8*2*OLDParameters!H8/60)</f>
        <v>127.32395461900511</v>
      </c>
      <c r="D7" s="7" t="s">
        <v>64</v>
      </c>
      <c r="G7" s="13" t="s">
        <v>91</v>
      </c>
      <c r="H7" s="14">
        <f>2-((H5)/2-1)*0.1</f>
        <v>2</v>
      </c>
      <c r="I7" s="14">
        <f>2-((I5)/2-1)*0.115</f>
        <v>1.885</v>
      </c>
      <c r="J7" s="14">
        <f t="shared" ref="J7:M7" si="0">2-((J5)/2-1)*0.115</f>
        <v>1.77</v>
      </c>
      <c r="K7" s="14">
        <f t="shared" si="0"/>
        <v>1.655</v>
      </c>
      <c r="L7" s="14">
        <f t="shared" si="0"/>
        <v>1.54</v>
      </c>
      <c r="M7" s="14">
        <f t="shared" si="0"/>
        <v>1.4249999999999998</v>
      </c>
      <c r="N7" s="14">
        <f>2-((N5)/2-1)*0.11</f>
        <v>1.3399999999999999</v>
      </c>
      <c r="O7" s="14">
        <f t="shared" ref="O7:Q7" si="1">2-((O5)/2-1)*0.11</f>
        <v>1.23</v>
      </c>
      <c r="P7" s="14">
        <f t="shared" si="1"/>
        <v>1.1200000000000001</v>
      </c>
      <c r="Q7" s="14">
        <f t="shared" si="1"/>
        <v>1.01</v>
      </c>
      <c r="R7" t="s">
        <v>105</v>
      </c>
    </row>
    <row r="8" spans="1:18" ht="18" x14ac:dyDescent="0.35">
      <c r="A8" s="6" t="s">
        <v>62</v>
      </c>
      <c r="B8" s="7" t="s">
        <v>63</v>
      </c>
      <c r="C8" s="8">
        <f>OLDParameters!C2/(OLDParameters!C4*OLDParameters!H2/100)</f>
        <v>2127.6595744680853</v>
      </c>
      <c r="D8" s="7" t="s">
        <v>7</v>
      </c>
    </row>
    <row r="9" spans="1:18" ht="18" x14ac:dyDescent="0.35">
      <c r="A9" s="6" t="s">
        <v>65</v>
      </c>
      <c r="B9" s="7" t="s">
        <v>66</v>
      </c>
      <c r="C9" s="7">
        <f>OLDParameters!C3/OLDParameters!C5</f>
        <v>270</v>
      </c>
      <c r="D9" s="7" t="s">
        <v>33</v>
      </c>
    </row>
    <row r="10" spans="1:18" ht="18" x14ac:dyDescent="0.35">
      <c r="A10" s="6" t="s">
        <v>26</v>
      </c>
      <c r="B10" s="7" t="s">
        <v>48</v>
      </c>
      <c r="C10" s="8">
        <f>0.612*OLDParameters!C6*C9/SQRT(3)</f>
        <v>81.091154708759703</v>
      </c>
      <c r="D10" s="7" t="s">
        <v>33</v>
      </c>
    </row>
    <row r="11" spans="1:18" ht="18" x14ac:dyDescent="0.35">
      <c r="A11" s="6" t="s">
        <v>67</v>
      </c>
      <c r="B11" s="7" t="s">
        <v>68</v>
      </c>
      <c r="C11" s="8">
        <f>C8/(OLDParameters!H3*OLD!C10*3)</f>
        <v>9.7177314523144265</v>
      </c>
      <c r="D11" s="7" t="s">
        <v>22</v>
      </c>
    </row>
    <row r="12" spans="1:18" ht="18" x14ac:dyDescent="0.35">
      <c r="A12" s="6" t="s">
        <v>25</v>
      </c>
      <c r="B12" s="7" t="s">
        <v>69</v>
      </c>
      <c r="C12" s="7">
        <f>OLDParameters!C8*OLD!C4/120</f>
        <v>100</v>
      </c>
      <c r="D12" s="7" t="s">
        <v>70</v>
      </c>
    </row>
    <row r="13" spans="1:18" x14ac:dyDescent="0.25">
      <c r="A13" s="6" t="s">
        <v>71</v>
      </c>
      <c r="B13" s="7" t="s">
        <v>72</v>
      </c>
      <c r="C13" s="7">
        <f>OLDParameters!C11*OLDParameters!C12</f>
        <v>45</v>
      </c>
      <c r="D13" s="7" t="s">
        <v>73</v>
      </c>
    </row>
    <row r="14" spans="1:18" ht="17.25" x14ac:dyDescent="0.25">
      <c r="A14" s="6" t="s">
        <v>74</v>
      </c>
      <c r="B14" s="7" t="s">
        <v>74</v>
      </c>
      <c r="C14" s="9">
        <f>2*C7/(C13*1000*OLDParameters!H8)</f>
        <v>1.8012654910913857E-3</v>
      </c>
      <c r="D14" s="7" t="s">
        <v>75</v>
      </c>
      <c r="J14">
        <f>0.155^2*150</f>
        <v>3.6037500000000002</v>
      </c>
      <c r="K14">
        <v>155</v>
      </c>
    </row>
    <row r="15" spans="1:18" x14ac:dyDescent="0.25">
      <c r="A15" s="6" t="s">
        <v>76</v>
      </c>
      <c r="B15" s="7" t="s">
        <v>77</v>
      </c>
      <c r="C15" s="7">
        <v>0.3</v>
      </c>
      <c r="D15" s="7" t="s">
        <v>15</v>
      </c>
      <c r="E15" s="16" t="s">
        <v>87</v>
      </c>
      <c r="K15">
        <v>150</v>
      </c>
    </row>
    <row r="16" spans="1:18" ht="18" x14ac:dyDescent="0.35">
      <c r="A16" s="6" t="s">
        <v>78</v>
      </c>
      <c r="B16" s="7" t="s">
        <v>79</v>
      </c>
      <c r="C16" s="10">
        <f>1000*(C14/C15)^(1/3)</f>
        <v>181.7546335652992</v>
      </c>
      <c r="D16" s="7" t="s">
        <v>80</v>
      </c>
    </row>
    <row r="17" spans="1:5" ht="18" x14ac:dyDescent="0.35">
      <c r="A17" s="6" t="s">
        <v>81</v>
      </c>
      <c r="B17" s="7" t="s">
        <v>82</v>
      </c>
      <c r="C17" s="10">
        <f>C16*C15</f>
        <v>54.526390069589759</v>
      </c>
      <c r="D17" s="7" t="s">
        <v>80</v>
      </c>
      <c r="E17" s="11"/>
    </row>
    <row r="18" spans="1:5" x14ac:dyDescent="0.25">
      <c r="A18" s="6" t="s">
        <v>91</v>
      </c>
      <c r="B18" s="7" t="s">
        <v>91</v>
      </c>
      <c r="C18" s="8">
        <v>1.4</v>
      </c>
      <c r="D18" s="7" t="s">
        <v>15</v>
      </c>
      <c r="E18" s="16" t="s">
        <v>87</v>
      </c>
    </row>
    <row r="19" spans="1:5" ht="18" customHeight="1" x14ac:dyDescent="0.35">
      <c r="A19" s="6" t="s">
        <v>83</v>
      </c>
      <c r="B19" s="7" t="s">
        <v>84</v>
      </c>
      <c r="C19" s="10">
        <f>C18*C16</f>
        <v>254.45648699141887</v>
      </c>
      <c r="D19" s="7" t="s">
        <v>80</v>
      </c>
    </row>
    <row r="20" spans="1:5" ht="18" customHeight="1" x14ac:dyDescent="0.35">
      <c r="A20" s="6" t="s">
        <v>85</v>
      </c>
      <c r="B20" s="7" t="s">
        <v>86</v>
      </c>
      <c r="C20" s="7">
        <f>ROUND(((0.18+0.006*(OLDParameters!C2)^0.4)*1.6),1)</f>
        <v>0.6</v>
      </c>
      <c r="D20" s="7" t="s">
        <v>80</v>
      </c>
      <c r="E20" s="17"/>
    </row>
    <row r="21" spans="1:5" ht="18" customHeight="1" x14ac:dyDescent="0.35">
      <c r="A21" s="6" t="s">
        <v>92</v>
      </c>
      <c r="B21" s="7" t="s">
        <v>94</v>
      </c>
      <c r="C21" s="8">
        <f>OLDParameters!H8*OLD!C16/OLD!C3</f>
        <v>23.791625871341139</v>
      </c>
      <c r="D21" s="7" t="s">
        <v>80</v>
      </c>
    </row>
    <row r="22" spans="1:5" ht="18" customHeight="1" x14ac:dyDescent="0.35">
      <c r="A22" s="6" t="s">
        <v>93</v>
      </c>
      <c r="B22" s="7" t="s">
        <v>95</v>
      </c>
      <c r="C22" s="15">
        <f>0.001*2*C16*C17*OLDParameters!C12/OLD!C4</f>
        <v>0.891938164206317</v>
      </c>
      <c r="D22" s="7" t="s">
        <v>96</v>
      </c>
    </row>
    <row r="23" spans="1:5" ht="18" customHeight="1" x14ac:dyDescent="0.35">
      <c r="A23" s="6" t="s">
        <v>97</v>
      </c>
      <c r="B23" s="7" t="s">
        <v>100</v>
      </c>
      <c r="C23" s="7">
        <v>100</v>
      </c>
      <c r="D23" s="7" t="s">
        <v>15</v>
      </c>
    </row>
    <row r="24" spans="1:5" ht="18" customHeight="1" x14ac:dyDescent="0.35">
      <c r="A24" s="6" t="s">
        <v>103</v>
      </c>
      <c r="B24" s="7" t="s">
        <v>104</v>
      </c>
      <c r="C24" s="7">
        <f>C23*OLDParameters!C9*OLDParameters!C15/2</f>
        <v>200</v>
      </c>
      <c r="D24" s="7" t="s">
        <v>15</v>
      </c>
    </row>
    <row r="25" spans="1:5" ht="18" customHeight="1" x14ac:dyDescent="0.35">
      <c r="A25" s="6" t="s">
        <v>101</v>
      </c>
      <c r="B25" s="7" t="s">
        <v>102</v>
      </c>
      <c r="C25" s="8">
        <f>4.44*C24*C12*C22*C6/1000</f>
        <v>73.897433679759047</v>
      </c>
      <c r="D25" s="7" t="s">
        <v>33</v>
      </c>
    </row>
    <row r="26" spans="1:5" ht="18" customHeight="1" x14ac:dyDescent="0.25">
      <c r="A26" s="6"/>
      <c r="B26" s="7"/>
      <c r="C26" s="7"/>
      <c r="D26" s="7"/>
    </row>
    <row r="27" spans="1:5" ht="18" customHeight="1" x14ac:dyDescent="0.25">
      <c r="A27" s="6"/>
      <c r="B27" s="7"/>
      <c r="C27" s="7"/>
      <c r="D27" s="7"/>
    </row>
    <row r="28" spans="1:5" ht="18" customHeight="1" x14ac:dyDescent="0.25">
      <c r="A28" s="6"/>
      <c r="B28" s="7"/>
      <c r="C28" s="7"/>
      <c r="D28" s="7"/>
    </row>
    <row r="36" spans="4:4" x14ac:dyDescent="0.25">
      <c r="D36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0"/>
  <sheetViews>
    <sheetView zoomScale="160" zoomScaleNormal="160" workbookViewId="0">
      <selection activeCell="C16" sqref="C16"/>
    </sheetView>
  </sheetViews>
  <sheetFormatPr defaultRowHeight="15" x14ac:dyDescent="0.25"/>
  <cols>
    <col min="1" max="1" width="23.85546875" style="1" bestFit="1" customWidth="1"/>
    <col min="2" max="2" width="7.7109375" style="2" bestFit="1" customWidth="1"/>
    <col min="3" max="3" width="6.140625" style="2" bestFit="1" customWidth="1"/>
    <col min="4" max="4" width="7.7109375" style="2" bestFit="1" customWidth="1"/>
    <col min="5" max="5" width="4.28515625" style="2" bestFit="1" customWidth="1"/>
    <col min="6" max="6" width="20.5703125" style="1" bestFit="1" customWidth="1"/>
    <col min="7" max="7" width="7.7109375" style="2" bestFit="1" customWidth="1"/>
    <col min="8" max="8" width="8.5703125" style="2" bestFit="1" customWidth="1"/>
    <col min="9" max="9" width="5" style="2" bestFit="1" customWidth="1"/>
    <col min="10" max="10" width="23.140625" style="1" bestFit="1" customWidth="1"/>
    <col min="11" max="11" width="5.7109375" style="1" bestFit="1" customWidth="1"/>
    <col min="12" max="12" width="13.140625" style="1" bestFit="1" customWidth="1"/>
    <col min="13" max="13" width="10.5703125" style="1" bestFit="1" customWidth="1"/>
    <col min="14" max="16384" width="9.140625" style="1"/>
  </cols>
  <sheetData>
    <row r="1" spans="1:12" ht="15" customHeight="1" x14ac:dyDescent="0.25">
      <c r="A1" s="24" t="s">
        <v>55</v>
      </c>
      <c r="B1" s="48" t="s">
        <v>4</v>
      </c>
      <c r="C1" s="48" t="s">
        <v>5</v>
      </c>
      <c r="D1" s="48" t="s">
        <v>6</v>
      </c>
      <c r="E1" s="48"/>
      <c r="F1" s="4" t="s">
        <v>54</v>
      </c>
      <c r="G1" s="5" t="s">
        <v>4</v>
      </c>
      <c r="H1" s="5" t="s">
        <v>5</v>
      </c>
      <c r="I1" s="5" t="s">
        <v>6</v>
      </c>
    </row>
    <row r="2" spans="1:12" ht="15" customHeight="1" x14ac:dyDescent="0.35">
      <c r="A2" s="28" t="s">
        <v>8</v>
      </c>
      <c r="B2" s="20" t="s">
        <v>35</v>
      </c>
      <c r="C2" s="20">
        <v>8000</v>
      </c>
      <c r="D2" s="20" t="s">
        <v>7</v>
      </c>
      <c r="E2" s="20"/>
      <c r="F2" s="6" t="s">
        <v>49</v>
      </c>
      <c r="G2" s="7" t="s">
        <v>50</v>
      </c>
      <c r="H2" s="7">
        <v>94</v>
      </c>
      <c r="I2" s="7" t="s">
        <v>51</v>
      </c>
    </row>
    <row r="3" spans="1:12" ht="15" customHeight="1" x14ac:dyDescent="0.25">
      <c r="A3" s="28" t="s">
        <v>32</v>
      </c>
      <c r="B3" s="20" t="s">
        <v>36</v>
      </c>
      <c r="C3" s="20">
        <v>540</v>
      </c>
      <c r="D3" s="20" t="s">
        <v>33</v>
      </c>
      <c r="E3" s="20"/>
      <c r="F3" s="6" t="s">
        <v>0</v>
      </c>
      <c r="G3" s="7" t="s">
        <v>52</v>
      </c>
      <c r="H3" s="7">
        <v>0.9</v>
      </c>
      <c r="I3" s="7" t="s">
        <v>15</v>
      </c>
      <c r="J3" s="2"/>
    </row>
    <row r="4" spans="1:12" ht="15" customHeight="1" x14ac:dyDescent="0.35">
      <c r="A4" s="28" t="s">
        <v>9</v>
      </c>
      <c r="B4" s="20" t="s">
        <v>13</v>
      </c>
      <c r="C4" s="20">
        <v>4</v>
      </c>
      <c r="D4" s="20" t="s">
        <v>15</v>
      </c>
      <c r="E4" s="20"/>
      <c r="F4" s="6" t="s">
        <v>53</v>
      </c>
      <c r="G4" s="7" t="s">
        <v>56</v>
      </c>
      <c r="H4" s="7">
        <v>98</v>
      </c>
      <c r="I4" s="7" t="s">
        <v>51</v>
      </c>
    </row>
    <row r="5" spans="1:12" ht="15" customHeight="1" x14ac:dyDescent="0.25">
      <c r="A5" s="28" t="s">
        <v>10</v>
      </c>
      <c r="B5" s="20" t="s">
        <v>37</v>
      </c>
      <c r="C5" s="20">
        <v>2</v>
      </c>
      <c r="D5" s="20" t="s">
        <v>15</v>
      </c>
      <c r="E5" s="20"/>
      <c r="F5" s="6"/>
      <c r="G5" s="7"/>
      <c r="H5" s="7"/>
      <c r="I5" s="7"/>
      <c r="K5" s="2"/>
      <c r="L5" s="2"/>
    </row>
    <row r="6" spans="1:12" ht="15" customHeight="1" x14ac:dyDescent="0.25">
      <c r="A6" s="28" t="s">
        <v>11</v>
      </c>
      <c r="B6" s="20" t="s">
        <v>38</v>
      </c>
      <c r="C6" s="20">
        <v>0.85</v>
      </c>
      <c r="D6" s="20" t="s">
        <v>15</v>
      </c>
      <c r="E6" s="53" t="s">
        <v>178</v>
      </c>
      <c r="F6" s="6"/>
      <c r="G6" s="7"/>
      <c r="H6" s="7"/>
      <c r="I6" s="7"/>
      <c r="K6" s="2"/>
      <c r="L6" s="2"/>
    </row>
    <row r="7" spans="1:12" ht="15" customHeight="1" x14ac:dyDescent="0.25">
      <c r="A7" s="28" t="s">
        <v>12</v>
      </c>
      <c r="B7" s="20" t="s">
        <v>14</v>
      </c>
      <c r="C7" s="20">
        <v>3</v>
      </c>
      <c r="D7" s="20" t="s">
        <v>15</v>
      </c>
      <c r="E7" s="20"/>
      <c r="F7" s="139" t="s">
        <v>224</v>
      </c>
      <c r="G7" s="139"/>
      <c r="H7" s="139"/>
      <c r="I7" s="139"/>
      <c r="K7" s="2"/>
      <c r="L7" s="2"/>
    </row>
    <row r="8" spans="1:12" ht="15" customHeight="1" x14ac:dyDescent="0.25">
      <c r="A8" s="28" t="s">
        <v>16</v>
      </c>
      <c r="B8" s="20" t="s">
        <v>39</v>
      </c>
      <c r="C8" s="20">
        <v>600</v>
      </c>
      <c r="D8" s="20" t="s">
        <v>17</v>
      </c>
      <c r="E8" s="20"/>
      <c r="F8" s="6"/>
      <c r="G8" s="7" t="s">
        <v>61</v>
      </c>
      <c r="H8" s="8">
        <v>3.1415926500000002</v>
      </c>
      <c r="I8" s="7" t="s">
        <v>15</v>
      </c>
    </row>
    <row r="9" spans="1:12" ht="15" customHeight="1" x14ac:dyDescent="0.35">
      <c r="A9" s="28" t="s">
        <v>18</v>
      </c>
      <c r="B9" s="20" t="s">
        <v>19</v>
      </c>
      <c r="C9" s="20">
        <v>2</v>
      </c>
      <c r="D9" s="20" t="s">
        <v>15</v>
      </c>
      <c r="E9" s="20"/>
      <c r="F9" s="6" t="s">
        <v>108</v>
      </c>
      <c r="G9" s="18" t="s">
        <v>111</v>
      </c>
      <c r="H9" s="19">
        <v>1.7E-8</v>
      </c>
      <c r="I9" s="7" t="s">
        <v>109</v>
      </c>
    </row>
    <row r="10" spans="1:12" ht="15" customHeight="1" x14ac:dyDescent="0.35">
      <c r="A10" s="28" t="s">
        <v>20</v>
      </c>
      <c r="B10" s="20" t="s">
        <v>40</v>
      </c>
      <c r="C10" s="20">
        <v>0.6</v>
      </c>
      <c r="D10" s="20" t="s">
        <v>15</v>
      </c>
      <c r="E10" s="52" t="s">
        <v>223</v>
      </c>
      <c r="F10" s="6" t="s">
        <v>110</v>
      </c>
      <c r="G10" s="18" t="s">
        <v>112</v>
      </c>
      <c r="H10" s="19">
        <v>1.2566289999999999E-6</v>
      </c>
      <c r="I10" s="7" t="s">
        <v>113</v>
      </c>
    </row>
    <row r="11" spans="1:12" ht="15" customHeight="1" x14ac:dyDescent="0.35">
      <c r="A11" s="28" t="s">
        <v>21</v>
      </c>
      <c r="B11" s="20" t="s">
        <v>41</v>
      </c>
      <c r="C11" s="20">
        <v>50</v>
      </c>
      <c r="D11" s="20" t="s">
        <v>23</v>
      </c>
      <c r="E11" s="20"/>
      <c r="F11" s="6" t="s">
        <v>190</v>
      </c>
      <c r="G11" s="18" t="s">
        <v>191</v>
      </c>
      <c r="H11" s="19">
        <f>4*H8*0.0000001</f>
        <v>1.2566370599999999E-6</v>
      </c>
      <c r="I11" s="7" t="s">
        <v>113</v>
      </c>
    </row>
    <row r="12" spans="1:12" ht="15" customHeight="1" x14ac:dyDescent="0.25">
      <c r="A12" s="28" t="s">
        <v>27</v>
      </c>
      <c r="B12" s="20" t="s">
        <v>42</v>
      </c>
      <c r="C12" s="20">
        <v>0.9</v>
      </c>
      <c r="D12" s="20" t="s">
        <v>28</v>
      </c>
      <c r="E12" s="20"/>
      <c r="F12" s="6"/>
      <c r="G12" s="7"/>
      <c r="H12" s="7"/>
      <c r="I12" s="7"/>
    </row>
    <row r="13" spans="1:12" ht="15" customHeight="1" x14ac:dyDescent="0.25">
      <c r="A13" s="28" t="s">
        <v>29</v>
      </c>
      <c r="B13" s="20" t="s">
        <v>30</v>
      </c>
      <c r="C13" s="20">
        <v>4</v>
      </c>
      <c r="D13" s="20" t="s">
        <v>43</v>
      </c>
      <c r="E13" s="20"/>
      <c r="F13" s="6"/>
      <c r="G13" s="7"/>
      <c r="H13" s="7"/>
      <c r="I13" s="7"/>
    </row>
    <row r="14" spans="1:12" ht="15" customHeight="1" x14ac:dyDescent="0.25">
      <c r="A14" s="28" t="s">
        <v>88</v>
      </c>
      <c r="B14" s="20" t="s">
        <v>89</v>
      </c>
      <c r="C14" s="20">
        <v>3.5</v>
      </c>
      <c r="D14" s="20" t="s">
        <v>80</v>
      </c>
      <c r="E14" s="53" t="s">
        <v>178</v>
      </c>
      <c r="F14" s="6"/>
      <c r="G14" s="7"/>
      <c r="H14" s="7"/>
      <c r="I14" s="7"/>
    </row>
    <row r="15" spans="1:12" ht="15" customHeight="1" x14ac:dyDescent="0.25">
      <c r="A15" s="28" t="s">
        <v>98</v>
      </c>
      <c r="B15" s="20" t="s">
        <v>99</v>
      </c>
      <c r="C15" s="20">
        <v>2</v>
      </c>
      <c r="D15" s="20" t="s">
        <v>15</v>
      </c>
      <c r="E15" s="21"/>
      <c r="F15" s="6"/>
      <c r="G15" s="7"/>
      <c r="H15" s="7"/>
      <c r="I15" s="7"/>
    </row>
    <row r="16" spans="1:12" ht="15" customHeight="1" x14ac:dyDescent="0.25">
      <c r="A16" s="28" t="s">
        <v>153</v>
      </c>
      <c r="B16" s="20" t="s">
        <v>154</v>
      </c>
      <c r="C16" s="20">
        <v>0.7</v>
      </c>
      <c r="D16" s="20" t="s">
        <v>15</v>
      </c>
      <c r="E16" s="21"/>
      <c r="F16" s="6"/>
      <c r="G16" s="7"/>
      <c r="H16" s="7"/>
      <c r="I16" s="7"/>
    </row>
    <row r="30" spans="4:9" x14ac:dyDescent="0.25">
      <c r="D30" s="3"/>
      <c r="E30" s="3"/>
      <c r="I30" s="3"/>
    </row>
  </sheetData>
  <mergeCells count="1">
    <mergeCell ref="F7:I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34"/>
  <sheetViews>
    <sheetView zoomScale="130" zoomScaleNormal="130" workbookViewId="0">
      <selection activeCell="G11" sqref="G11"/>
    </sheetView>
  </sheetViews>
  <sheetFormatPr defaultRowHeight="15" x14ac:dyDescent="0.25"/>
  <cols>
    <col min="1" max="1" width="24.140625" style="25" bestFit="1" customWidth="1"/>
    <col min="2" max="2" width="7.7109375" style="43" bestFit="1" customWidth="1"/>
    <col min="3" max="3" width="6.42578125" style="43" bestFit="1" customWidth="1"/>
    <col min="4" max="4" width="5" style="43" bestFit="1" customWidth="1"/>
    <col min="5" max="5" width="4.28515625" style="25" bestFit="1" customWidth="1"/>
    <col min="6" max="6" width="25.5703125" style="25" bestFit="1" customWidth="1"/>
    <col min="7" max="7" width="7.7109375" style="25" bestFit="1" customWidth="1"/>
    <col min="8" max="9" width="6.42578125" style="25" bestFit="1" customWidth="1"/>
    <col min="10" max="10" width="4.28515625" style="25" bestFit="1" customWidth="1"/>
    <col min="11" max="11" width="26.28515625" style="25" bestFit="1" customWidth="1"/>
    <col min="12" max="12" width="7.7109375" style="25" bestFit="1" customWidth="1"/>
    <col min="13" max="13" width="10" style="25" bestFit="1" customWidth="1"/>
    <col min="14" max="14" width="5.140625" style="25" bestFit="1" customWidth="1"/>
    <col min="15" max="15" width="4.28515625" style="25" bestFit="1" customWidth="1"/>
    <col min="16" max="16" width="16.28515625" style="25" bestFit="1" customWidth="1"/>
    <col min="17" max="17" width="7.42578125" style="25" bestFit="1" customWidth="1"/>
    <col min="18" max="19" width="7" style="25" bestFit="1" customWidth="1"/>
    <col min="20" max="20" width="8.42578125" style="25" bestFit="1" customWidth="1"/>
    <col min="21" max="21" width="9.7109375" style="25" bestFit="1" customWidth="1"/>
    <col min="22" max="22" width="7.42578125" style="25" bestFit="1" customWidth="1"/>
    <col min="23" max="29" width="4.7109375" style="25" bestFit="1" customWidth="1"/>
    <col min="30" max="16384" width="9.140625" style="25"/>
  </cols>
  <sheetData>
    <row r="1" spans="1:22" ht="15" customHeight="1" x14ac:dyDescent="0.25">
      <c r="A1" s="143" t="s">
        <v>106</v>
      </c>
      <c r="B1" s="143"/>
      <c r="C1" s="143"/>
      <c r="D1" s="143"/>
      <c r="E1" s="143"/>
      <c r="F1" s="143" t="s">
        <v>124</v>
      </c>
      <c r="G1" s="143"/>
      <c r="H1" s="143"/>
      <c r="I1" s="143"/>
      <c r="J1" s="143"/>
      <c r="K1" s="143" t="s">
        <v>107</v>
      </c>
      <c r="L1" s="143"/>
      <c r="M1" s="143"/>
      <c r="N1" s="143"/>
      <c r="O1" s="143"/>
      <c r="P1" s="140" t="s">
        <v>217</v>
      </c>
      <c r="Q1" s="141"/>
      <c r="R1" s="141"/>
      <c r="S1" s="141"/>
      <c r="T1" s="141"/>
      <c r="U1" s="142"/>
      <c r="V1" s="24"/>
    </row>
    <row r="2" spans="1:22" ht="15" customHeight="1" x14ac:dyDescent="0.25">
      <c r="A2" s="24" t="s">
        <v>57</v>
      </c>
      <c r="B2" s="26" t="s">
        <v>4</v>
      </c>
      <c r="C2" s="26" t="s">
        <v>5</v>
      </c>
      <c r="D2" s="26" t="s">
        <v>6</v>
      </c>
      <c r="E2" s="24"/>
      <c r="F2" s="24" t="s">
        <v>57</v>
      </c>
      <c r="G2" s="26" t="s">
        <v>4</v>
      </c>
      <c r="H2" s="26" t="s">
        <v>5</v>
      </c>
      <c r="I2" s="26" t="s">
        <v>6</v>
      </c>
      <c r="J2" s="24"/>
      <c r="K2" s="24" t="s">
        <v>57</v>
      </c>
      <c r="L2" s="26" t="s">
        <v>4</v>
      </c>
      <c r="M2" s="26" t="s">
        <v>5</v>
      </c>
      <c r="N2" s="26" t="s">
        <v>6</v>
      </c>
      <c r="O2" s="24"/>
      <c r="P2" s="27" t="s">
        <v>155</v>
      </c>
      <c r="Q2" s="27" t="s">
        <v>6</v>
      </c>
      <c r="R2" s="27" t="s">
        <v>156</v>
      </c>
      <c r="S2" s="27" t="s">
        <v>157</v>
      </c>
      <c r="T2" s="27" t="s">
        <v>170</v>
      </c>
      <c r="U2" s="27" t="s">
        <v>158</v>
      </c>
      <c r="V2" s="20"/>
    </row>
    <row r="3" spans="1:22" ht="15" customHeight="1" x14ac:dyDescent="0.25">
      <c r="A3" s="28" t="s">
        <v>2</v>
      </c>
      <c r="B3" s="20" t="s">
        <v>45</v>
      </c>
      <c r="C3" s="20">
        <f>OLDParameters!C4*OLDParameters!C7*OLDParameters!C9</f>
        <v>24</v>
      </c>
      <c r="D3" s="20" t="s">
        <v>15</v>
      </c>
      <c r="E3" s="24"/>
      <c r="F3" s="29" t="s">
        <v>114</v>
      </c>
      <c r="G3" s="20" t="s">
        <v>115</v>
      </c>
      <c r="H3" s="23">
        <f>1000*SQRT(2*OLDParameters!H9/(2*OLDParameters!H8*M8*OLDParameters!H10))</f>
        <v>6.562147464226471</v>
      </c>
      <c r="I3" s="20" t="s">
        <v>80</v>
      </c>
      <c r="J3" s="28"/>
      <c r="K3" s="28" t="s">
        <v>34</v>
      </c>
      <c r="L3" s="20" t="s">
        <v>44</v>
      </c>
      <c r="M3" s="20">
        <f>OLDParameters!C4/OLDParameters!C5</f>
        <v>2</v>
      </c>
      <c r="N3" s="20" t="s">
        <v>15</v>
      </c>
      <c r="O3" s="30"/>
      <c r="P3" s="31" t="s">
        <v>172</v>
      </c>
      <c r="Q3" s="22" t="s">
        <v>174</v>
      </c>
      <c r="R3" s="23">
        <v>15</v>
      </c>
      <c r="S3" s="23">
        <f>R3</f>
        <v>15</v>
      </c>
      <c r="T3" s="23">
        <f>M7</f>
        <v>9.7177314523144265</v>
      </c>
      <c r="U3" s="23">
        <f>100*ABS(S3-T3)/T3</f>
        <v>54.357012988124097</v>
      </c>
      <c r="V3" s="20"/>
    </row>
    <row r="4" spans="1:22" ht="15" customHeight="1" x14ac:dyDescent="0.25">
      <c r="A4" s="28" t="s">
        <v>3</v>
      </c>
      <c r="B4" s="20" t="s">
        <v>24</v>
      </c>
      <c r="C4" s="20">
        <f>OLDParameters!C9*10</f>
        <v>20</v>
      </c>
      <c r="D4" s="20" t="s">
        <v>15</v>
      </c>
      <c r="E4" s="24"/>
      <c r="F4" s="29" t="s">
        <v>116</v>
      </c>
      <c r="G4" s="20" t="s">
        <v>119</v>
      </c>
      <c r="H4" s="23">
        <f>SQRT(4*M7/(OLDParameters!H8*OLDParameters!C13))</f>
        <v>1.7587637692667544</v>
      </c>
      <c r="I4" s="20" t="s">
        <v>80</v>
      </c>
      <c r="J4" s="20"/>
      <c r="K4" s="28" t="s">
        <v>62</v>
      </c>
      <c r="L4" s="20" t="s">
        <v>63</v>
      </c>
      <c r="M4" s="32">
        <f>OLDParameters!C2/(OLDParameters!C4*OLDParameters!H2/100)</f>
        <v>2127.6595744680853</v>
      </c>
      <c r="N4" s="20" t="s">
        <v>7</v>
      </c>
      <c r="O4" s="30"/>
      <c r="P4" s="31" t="s">
        <v>173</v>
      </c>
      <c r="Q4" s="22" t="s">
        <v>175</v>
      </c>
      <c r="R4" s="23">
        <v>557</v>
      </c>
      <c r="S4" s="23">
        <f>R4/(4*SQRT(2)*SQRT(3))</f>
        <v>56.848574447092922</v>
      </c>
      <c r="T4" s="23">
        <f>H15</f>
        <v>29.956922473408429</v>
      </c>
      <c r="U4" s="23">
        <f t="shared" ref="U4:U12" si="0">100*ABS(S4-T4)/T4</f>
        <v>89.767738984387151</v>
      </c>
      <c r="V4" s="21"/>
    </row>
    <row r="5" spans="1:22" ht="15" customHeight="1" x14ac:dyDescent="0.25">
      <c r="A5" s="28" t="s">
        <v>31</v>
      </c>
      <c r="B5" s="20" t="s">
        <v>46</v>
      </c>
      <c r="C5" s="20">
        <f>C3/(C4*OLDParameters!C7)</f>
        <v>0.4</v>
      </c>
      <c r="D5" s="20" t="s">
        <v>15</v>
      </c>
      <c r="E5" s="24"/>
      <c r="F5" s="29" t="s">
        <v>118</v>
      </c>
      <c r="G5" s="20" t="s">
        <v>117</v>
      </c>
      <c r="H5" s="23">
        <v>1.8288</v>
      </c>
      <c r="I5" s="20" t="s">
        <v>80</v>
      </c>
      <c r="J5" s="144" t="s">
        <v>178</v>
      </c>
      <c r="K5" s="28" t="s">
        <v>65</v>
      </c>
      <c r="L5" s="20" t="s">
        <v>66</v>
      </c>
      <c r="M5" s="20">
        <f>OLDParameters!C3/OLDParameters!C5</f>
        <v>270</v>
      </c>
      <c r="N5" s="20" t="s">
        <v>33</v>
      </c>
      <c r="O5" s="30"/>
      <c r="P5" s="29" t="s">
        <v>159</v>
      </c>
      <c r="Q5" s="20" t="s">
        <v>23</v>
      </c>
      <c r="R5" s="23">
        <v>62.21</v>
      </c>
      <c r="S5" s="23">
        <f t="shared" ref="S5:S10" si="1">R5</f>
        <v>62.21</v>
      </c>
      <c r="T5" s="23">
        <f>OLDParameters!C11</f>
        <v>50</v>
      </c>
      <c r="U5" s="23">
        <f t="shared" si="0"/>
        <v>24.42</v>
      </c>
      <c r="V5" s="20"/>
    </row>
    <row r="6" spans="1:22" ht="15" customHeight="1" x14ac:dyDescent="0.25">
      <c r="A6" s="28" t="s">
        <v>71</v>
      </c>
      <c r="B6" s="20" t="s">
        <v>72</v>
      </c>
      <c r="C6" s="20">
        <f>OLDParameters!C11*C19</f>
        <v>28.647889789276149</v>
      </c>
      <c r="D6" s="20" t="s">
        <v>73</v>
      </c>
      <c r="E6" s="24"/>
      <c r="F6" s="29" t="s">
        <v>144</v>
      </c>
      <c r="G6" s="20" t="s">
        <v>120</v>
      </c>
      <c r="H6" s="23">
        <v>6.5698400000000001</v>
      </c>
      <c r="I6" s="20" t="s">
        <v>126</v>
      </c>
      <c r="J6" s="144"/>
      <c r="K6" s="28" t="s">
        <v>26</v>
      </c>
      <c r="L6" s="20" t="s">
        <v>48</v>
      </c>
      <c r="M6" s="23">
        <f>0.612*OLDParameters!C6*M5/SQRT(3)</f>
        <v>81.091154708759703</v>
      </c>
      <c r="N6" s="20" t="s">
        <v>33</v>
      </c>
      <c r="O6" s="21"/>
      <c r="P6" s="29" t="s">
        <v>160</v>
      </c>
      <c r="Q6" s="20" t="s">
        <v>43</v>
      </c>
      <c r="R6" s="23">
        <v>4.75</v>
      </c>
      <c r="S6" s="23">
        <f t="shared" si="1"/>
        <v>4.75</v>
      </c>
      <c r="T6" s="23">
        <f>OLDParameters!C13</f>
        <v>4</v>
      </c>
      <c r="U6" s="23">
        <f t="shared" si="0"/>
        <v>18.75</v>
      </c>
      <c r="V6" s="20"/>
    </row>
    <row r="7" spans="1:22" ht="15" customHeight="1" x14ac:dyDescent="0.25">
      <c r="A7" s="28" t="s">
        <v>59</v>
      </c>
      <c r="B7" s="20" t="s">
        <v>60</v>
      </c>
      <c r="C7" s="23">
        <f>OLDParameters!C2/(OLDParameters!C8*2*OLDParameters!H8/60)</f>
        <v>127.32395461900511</v>
      </c>
      <c r="D7" s="20" t="s">
        <v>64</v>
      </c>
      <c r="E7" s="24"/>
      <c r="F7" s="29" t="s">
        <v>121</v>
      </c>
      <c r="G7" s="20" t="s">
        <v>122</v>
      </c>
      <c r="H7" s="23">
        <f>OLDParameters!C15*H13*OLDParameters!H8*(H5/2)^2*1.25</f>
        <v>197.00786764799284</v>
      </c>
      <c r="I7" s="20" t="s">
        <v>123</v>
      </c>
      <c r="J7" s="20"/>
      <c r="K7" s="28" t="s">
        <v>67</v>
      </c>
      <c r="L7" s="20" t="s">
        <v>68</v>
      </c>
      <c r="M7" s="23">
        <f>M4/(OLDParameters!H3*'OLDGeneral Calculations'!M6*3)</f>
        <v>9.7177314523144265</v>
      </c>
      <c r="N7" s="20" t="s">
        <v>22</v>
      </c>
      <c r="O7" s="30"/>
      <c r="P7" s="29" t="s">
        <v>171</v>
      </c>
      <c r="Q7" s="20" t="s">
        <v>7</v>
      </c>
      <c r="R7" s="23">
        <v>351.3</v>
      </c>
      <c r="S7" s="23">
        <f t="shared" si="1"/>
        <v>351.3</v>
      </c>
      <c r="T7" s="23">
        <f>H22</f>
        <v>75.503284847670415</v>
      </c>
      <c r="U7" s="23">
        <f t="shared" si="0"/>
        <v>365.27776997882376</v>
      </c>
      <c r="V7" s="20"/>
    </row>
    <row r="8" spans="1:22" ht="15" customHeight="1" x14ac:dyDescent="0.25">
      <c r="A8" s="25" t="s">
        <v>231</v>
      </c>
      <c r="B8" s="20" t="s">
        <v>232</v>
      </c>
      <c r="C8" s="33">
        <f>C7/(2*C6*1000)</f>
        <v>2.2222222222222222E-3</v>
      </c>
      <c r="D8" s="20" t="s">
        <v>75</v>
      </c>
      <c r="E8" s="28"/>
      <c r="F8" s="29"/>
      <c r="G8" s="20"/>
      <c r="H8" s="20"/>
      <c r="I8" s="20"/>
      <c r="J8" s="34"/>
      <c r="K8" s="28" t="s">
        <v>25</v>
      </c>
      <c r="L8" s="20" t="s">
        <v>69</v>
      </c>
      <c r="M8" s="20">
        <f>OLDParameters!C8*'OLDGeneral Calculations'!C4/120</f>
        <v>100</v>
      </c>
      <c r="N8" s="20" t="s">
        <v>70</v>
      </c>
      <c r="O8" s="30"/>
      <c r="P8" s="29" t="s">
        <v>176</v>
      </c>
      <c r="Q8" s="20" t="s">
        <v>64</v>
      </c>
      <c r="R8" s="23">
        <f>21</f>
        <v>21</v>
      </c>
      <c r="S8" s="23">
        <f t="shared" si="1"/>
        <v>21</v>
      </c>
      <c r="T8" s="23">
        <f>C7</f>
        <v>127.32395461900511</v>
      </c>
      <c r="U8" s="23">
        <f t="shared" si="0"/>
        <v>83.506638587500007</v>
      </c>
      <c r="V8" s="20"/>
    </row>
    <row r="9" spans="1:22" ht="15" customHeight="1" x14ac:dyDescent="0.25">
      <c r="A9" s="28" t="s">
        <v>74</v>
      </c>
      <c r="B9" s="20" t="s">
        <v>74</v>
      </c>
      <c r="C9" s="33">
        <f>4*C8/OLDParameters!H8</f>
        <v>2.8294212137556689E-3</v>
      </c>
      <c r="D9" s="20" t="s">
        <v>75</v>
      </c>
      <c r="E9" s="24"/>
      <c r="F9" s="29"/>
      <c r="G9" s="20"/>
      <c r="H9" s="20"/>
      <c r="I9" s="20"/>
      <c r="J9" s="34"/>
      <c r="K9" s="28"/>
      <c r="L9" s="28"/>
      <c r="M9" s="28"/>
      <c r="N9" s="28"/>
      <c r="O9" s="30"/>
      <c r="P9" s="29" t="s">
        <v>177</v>
      </c>
      <c r="Q9" s="20" t="s">
        <v>15</v>
      </c>
      <c r="R9" s="23">
        <f>1.26</f>
        <v>1.26</v>
      </c>
      <c r="S9" s="23">
        <f t="shared" si="1"/>
        <v>1.26</v>
      </c>
      <c r="T9" s="23">
        <f>M21</f>
        <v>0.75422189569649689</v>
      </c>
      <c r="U9" s="23">
        <f t="shared" si="0"/>
        <v>67.059589119517028</v>
      </c>
      <c r="V9" s="20"/>
    </row>
    <row r="10" spans="1:22" ht="15" customHeight="1" x14ac:dyDescent="0.25">
      <c r="A10" s="28" t="s">
        <v>76</v>
      </c>
      <c r="B10" s="20" t="s">
        <v>77</v>
      </c>
      <c r="C10" s="20">
        <v>0.3</v>
      </c>
      <c r="D10" s="20" t="s">
        <v>15</v>
      </c>
      <c r="E10" s="53" t="s">
        <v>178</v>
      </c>
      <c r="F10" s="143" t="s">
        <v>128</v>
      </c>
      <c r="G10" s="143"/>
      <c r="H10" s="143"/>
      <c r="I10" s="143"/>
      <c r="J10" s="143"/>
      <c r="K10" s="143" t="s">
        <v>125</v>
      </c>
      <c r="L10" s="143"/>
      <c r="M10" s="143"/>
      <c r="N10" s="143"/>
      <c r="O10" s="143"/>
      <c r="P10" s="31" t="s">
        <v>184</v>
      </c>
      <c r="Q10" s="22" t="s">
        <v>80</v>
      </c>
      <c r="R10" s="35">
        <v>105.62</v>
      </c>
      <c r="S10" s="23">
        <f t="shared" si="1"/>
        <v>105.62</v>
      </c>
      <c r="T10" s="23">
        <f>C12+C17</f>
        <v>96.555114987268894</v>
      </c>
      <c r="U10" s="23">
        <f t="shared" si="0"/>
        <v>9.3883011934959075</v>
      </c>
    </row>
    <row r="11" spans="1:22" ht="15" customHeight="1" x14ac:dyDescent="0.25">
      <c r="A11" s="28" t="s">
        <v>78</v>
      </c>
      <c r="B11" s="20" t="s">
        <v>79</v>
      </c>
      <c r="C11" s="32">
        <f>1000*(C9/C10)^(1/3)</f>
        <v>211.2801923321104</v>
      </c>
      <c r="D11" s="20" t="s">
        <v>80</v>
      </c>
      <c r="E11" s="28"/>
      <c r="F11" s="29" t="s">
        <v>1</v>
      </c>
      <c r="G11" s="20" t="s">
        <v>47</v>
      </c>
      <c r="H11" s="20">
        <v>0.93300000000000005</v>
      </c>
      <c r="I11" s="20" t="s">
        <v>15</v>
      </c>
      <c r="J11" s="50" t="s">
        <v>179</v>
      </c>
      <c r="K11" s="29" t="s">
        <v>130</v>
      </c>
      <c r="L11" s="20" t="s">
        <v>129</v>
      </c>
      <c r="M11" s="20">
        <v>15</v>
      </c>
      <c r="N11" s="20" t="s">
        <v>80</v>
      </c>
      <c r="O11" s="144" t="s">
        <v>178</v>
      </c>
      <c r="P11" s="31" t="s">
        <v>185</v>
      </c>
      <c r="Q11" s="20" t="s">
        <v>166</v>
      </c>
      <c r="R11" s="35">
        <f>0.6986*1000</f>
        <v>698.6</v>
      </c>
      <c r="S11" s="35">
        <f>R11/4</f>
        <v>174.65</v>
      </c>
      <c r="T11" s="23">
        <f>H19</f>
        <v>66.627698821977219</v>
      </c>
      <c r="U11" s="23">
        <f t="shared" si="0"/>
        <v>162.12821857565268</v>
      </c>
    </row>
    <row r="12" spans="1:22" ht="15" customHeight="1" x14ac:dyDescent="0.25">
      <c r="A12" s="28" t="s">
        <v>81</v>
      </c>
      <c r="B12" s="20" t="s">
        <v>82</v>
      </c>
      <c r="C12" s="32">
        <f>C11*C10</f>
        <v>63.384057699633118</v>
      </c>
      <c r="D12" s="20" t="s">
        <v>80</v>
      </c>
      <c r="E12" s="36"/>
      <c r="F12" s="29" t="s">
        <v>93</v>
      </c>
      <c r="G12" s="20" t="s">
        <v>127</v>
      </c>
      <c r="H12" s="37">
        <f>0.001*2*C11*C12*OLDParameters!C12/C4</f>
        <v>1.2052616311411262</v>
      </c>
      <c r="I12" s="20" t="s">
        <v>96</v>
      </c>
      <c r="J12" s="21"/>
      <c r="K12" s="29" t="s">
        <v>131</v>
      </c>
      <c r="L12" s="20" t="s">
        <v>133</v>
      </c>
      <c r="M12" s="20">
        <v>2</v>
      </c>
      <c r="N12" s="20" t="s">
        <v>80</v>
      </c>
      <c r="O12" s="144"/>
      <c r="P12" s="22" t="s">
        <v>1</v>
      </c>
      <c r="Q12" s="22" t="s">
        <v>15</v>
      </c>
      <c r="R12" s="37">
        <v>0.93300000000000005</v>
      </c>
      <c r="S12" s="37">
        <f>R12</f>
        <v>0.93300000000000005</v>
      </c>
      <c r="T12" s="37">
        <f>H11</f>
        <v>0.93300000000000005</v>
      </c>
      <c r="U12" s="23">
        <f t="shared" si="0"/>
        <v>0</v>
      </c>
    </row>
    <row r="13" spans="1:22" ht="15" customHeight="1" x14ac:dyDescent="0.25">
      <c r="A13" s="28" t="s">
        <v>91</v>
      </c>
      <c r="B13" s="20" t="s">
        <v>91</v>
      </c>
      <c r="C13" s="23">
        <v>1.2</v>
      </c>
      <c r="D13" s="20" t="s">
        <v>15</v>
      </c>
      <c r="E13" s="53" t="s">
        <v>178</v>
      </c>
      <c r="F13" s="28" t="s">
        <v>97</v>
      </c>
      <c r="G13" s="20" t="s">
        <v>100</v>
      </c>
      <c r="H13" s="20">
        <v>30</v>
      </c>
      <c r="I13" s="20" t="s">
        <v>15</v>
      </c>
      <c r="J13" s="53" t="s">
        <v>178</v>
      </c>
      <c r="K13" s="29" t="s">
        <v>132</v>
      </c>
      <c r="L13" s="20" t="s">
        <v>134</v>
      </c>
      <c r="M13" s="20">
        <v>2</v>
      </c>
      <c r="N13" s="20" t="s">
        <v>80</v>
      </c>
      <c r="O13" s="144"/>
      <c r="R13" s="38"/>
      <c r="S13" s="38"/>
      <c r="T13" s="38"/>
      <c r="U13" s="38"/>
    </row>
    <row r="14" spans="1:22" ht="15" customHeight="1" x14ac:dyDescent="0.25">
      <c r="A14" s="28" t="s">
        <v>83</v>
      </c>
      <c r="B14" s="20" t="s">
        <v>84</v>
      </c>
      <c r="C14" s="32">
        <f>C13*C11</f>
        <v>253.53623079853247</v>
      </c>
      <c r="D14" s="20" t="s">
        <v>80</v>
      </c>
      <c r="E14" s="28"/>
      <c r="F14" s="28" t="s">
        <v>103</v>
      </c>
      <c r="G14" s="20" t="s">
        <v>104</v>
      </c>
      <c r="H14" s="20">
        <f>H13*OLDParameters!C9*OLDParameters!C15/2</f>
        <v>60</v>
      </c>
      <c r="I14" s="20" t="s">
        <v>15</v>
      </c>
      <c r="J14" s="21"/>
      <c r="K14" s="29" t="s">
        <v>135</v>
      </c>
      <c r="L14" s="20" t="s">
        <v>136</v>
      </c>
      <c r="M14" s="23">
        <f>C14/2-C11/2-M11-M12-M13-M19</f>
        <v>0.12801923321103459</v>
      </c>
      <c r="N14" s="20" t="s">
        <v>80</v>
      </c>
      <c r="O14" s="21"/>
      <c r="R14" s="38"/>
      <c r="S14" s="38"/>
      <c r="T14" s="38"/>
      <c r="U14" s="38"/>
    </row>
    <row r="15" spans="1:22" ht="15" customHeight="1" x14ac:dyDescent="0.25">
      <c r="A15" s="28" t="s">
        <v>85</v>
      </c>
      <c r="B15" s="20" t="s">
        <v>86</v>
      </c>
      <c r="C15" s="20">
        <v>1</v>
      </c>
      <c r="D15" s="20" t="s">
        <v>80</v>
      </c>
      <c r="E15" s="21"/>
      <c r="F15" s="28" t="s">
        <v>143</v>
      </c>
      <c r="G15" s="20" t="s">
        <v>102</v>
      </c>
      <c r="H15" s="23">
        <f>4.44*H12*M8*H14*H11/1000</f>
        <v>29.956922473408429</v>
      </c>
      <c r="I15" s="20" t="s">
        <v>33</v>
      </c>
      <c r="J15" s="36"/>
      <c r="K15" s="31" t="s">
        <v>145</v>
      </c>
      <c r="L15" s="20" t="s">
        <v>148</v>
      </c>
      <c r="M15" s="22">
        <v>13</v>
      </c>
      <c r="N15" s="22" t="s">
        <v>80</v>
      </c>
      <c r="O15" s="53" t="s">
        <v>178</v>
      </c>
      <c r="R15" s="38"/>
      <c r="S15" s="38"/>
      <c r="T15" s="38"/>
      <c r="U15" s="38"/>
    </row>
    <row r="16" spans="1:22" ht="15" customHeight="1" x14ac:dyDescent="0.25">
      <c r="A16" s="28" t="s">
        <v>92</v>
      </c>
      <c r="B16" s="55" t="s">
        <v>227</v>
      </c>
      <c r="C16" s="23">
        <f>OLDParameters!H8*C11/'OLDGeneral Calculations'!C3</f>
        <v>27.65651247171435</v>
      </c>
      <c r="D16" s="20" t="s">
        <v>80</v>
      </c>
      <c r="E16" s="28"/>
      <c r="F16" s="28" t="s">
        <v>233</v>
      </c>
      <c r="G16" s="20" t="s">
        <v>234</v>
      </c>
      <c r="H16" s="20">
        <f>H15*OLDParameters!C4</f>
        <v>119.82768989363372</v>
      </c>
      <c r="I16" s="20" t="s">
        <v>33</v>
      </c>
      <c r="J16" s="28"/>
      <c r="K16" s="29" t="s">
        <v>139</v>
      </c>
      <c r="L16" s="20" t="s">
        <v>138</v>
      </c>
      <c r="M16" s="23">
        <f>C17-M15</f>
        <v>20.171057287635783</v>
      </c>
      <c r="N16" s="20" t="s">
        <v>80</v>
      </c>
      <c r="O16" s="21"/>
      <c r="R16" s="38"/>
      <c r="S16" s="38"/>
      <c r="T16" s="38"/>
      <c r="U16" s="38"/>
    </row>
    <row r="17" spans="1:21" ht="15" customHeight="1" x14ac:dyDescent="0.25">
      <c r="A17" s="28" t="s">
        <v>149</v>
      </c>
      <c r="B17" s="55" t="s">
        <v>228</v>
      </c>
      <c r="C17" s="23">
        <f>OLDParameters!H8*(C14-M14)/'OLDGeneral Calculations'!C3</f>
        <v>33.171057287635783</v>
      </c>
      <c r="D17" s="20" t="s">
        <v>80</v>
      </c>
      <c r="E17" s="28"/>
      <c r="F17" s="143" t="s">
        <v>161</v>
      </c>
      <c r="G17" s="143"/>
      <c r="H17" s="143"/>
      <c r="I17" s="143"/>
      <c r="J17" s="143"/>
      <c r="K17" s="29" t="s">
        <v>140</v>
      </c>
      <c r="L17" s="20" t="s">
        <v>141</v>
      </c>
      <c r="M17" s="23">
        <f>C16-M15</f>
        <v>14.65651247171435</v>
      </c>
      <c r="N17" s="20" t="s">
        <v>80</v>
      </c>
      <c r="O17" s="21"/>
      <c r="R17" s="38"/>
      <c r="S17" s="38"/>
      <c r="T17" s="38"/>
      <c r="U17" s="38"/>
    </row>
    <row r="18" spans="1:21" ht="15" customHeight="1" x14ac:dyDescent="0.25">
      <c r="A18" s="28" t="s">
        <v>214</v>
      </c>
      <c r="B18" s="20" t="s">
        <v>215</v>
      </c>
      <c r="C18" s="37">
        <f>(M15)/C16</f>
        <v>0.47005203614503915</v>
      </c>
      <c r="D18" s="20" t="s">
        <v>15</v>
      </c>
      <c r="E18" s="28"/>
      <c r="F18" s="28" t="s">
        <v>162</v>
      </c>
      <c r="G18" s="20" t="s">
        <v>163</v>
      </c>
      <c r="H18" s="23">
        <f>2*OLDParameters!C9*C12*1.2</f>
        <v>304.24347695823894</v>
      </c>
      <c r="I18" s="20" t="s">
        <v>80</v>
      </c>
      <c r="J18" s="40"/>
      <c r="K18" s="29" t="s">
        <v>137</v>
      </c>
      <c r="L18" s="20" t="s">
        <v>142</v>
      </c>
      <c r="M18" s="20">
        <v>2.5</v>
      </c>
      <c r="N18" s="20" t="s">
        <v>80</v>
      </c>
      <c r="O18" s="20"/>
      <c r="R18" s="38">
        <f>80*4*SQRT(3)</f>
        <v>554.25625842204067</v>
      </c>
      <c r="S18" s="38"/>
      <c r="T18" s="38"/>
      <c r="U18" s="38"/>
    </row>
    <row r="19" spans="1:21" ht="15" customHeight="1" x14ac:dyDescent="0.25">
      <c r="A19" s="28" t="s">
        <v>226</v>
      </c>
      <c r="B19" s="20" t="s">
        <v>229</v>
      </c>
      <c r="C19" s="37">
        <f>OLDParameters!C12*2/OLDParameters!H8</f>
        <v>0.57295779578552297</v>
      </c>
      <c r="D19" s="20" t="s">
        <v>28</v>
      </c>
      <c r="E19" s="39"/>
      <c r="F19" s="28" t="s">
        <v>164</v>
      </c>
      <c r="G19" s="20" t="s">
        <v>165</v>
      </c>
      <c r="H19" s="23">
        <f>H18*H6/(H13)</f>
        <v>66.627698821977219</v>
      </c>
      <c r="I19" s="20" t="s">
        <v>166</v>
      </c>
      <c r="J19" s="20"/>
      <c r="K19" s="41" t="s">
        <v>146</v>
      </c>
      <c r="L19" s="20" t="s">
        <v>147</v>
      </c>
      <c r="M19" s="20">
        <v>2</v>
      </c>
      <c r="N19" s="20" t="s">
        <v>80</v>
      </c>
      <c r="O19" s="53" t="s">
        <v>178</v>
      </c>
      <c r="R19" s="38"/>
      <c r="S19" s="38"/>
      <c r="T19" s="38"/>
      <c r="U19" s="38"/>
    </row>
    <row r="20" spans="1:21" ht="15" customHeight="1" x14ac:dyDescent="0.25">
      <c r="A20" s="56" t="s">
        <v>235</v>
      </c>
      <c r="B20" s="57"/>
      <c r="C20" s="57">
        <f>C19*PI()/2/C18</f>
        <v>1.91468163484499</v>
      </c>
      <c r="D20" s="57" t="s">
        <v>28</v>
      </c>
      <c r="E20" s="39"/>
      <c r="F20" s="28" t="s">
        <v>181</v>
      </c>
      <c r="G20" s="20" t="s">
        <v>167</v>
      </c>
      <c r="H20" s="20">
        <f>M7^2*H19/1000</f>
        <v>6.2919404039725348</v>
      </c>
      <c r="I20" s="20" t="s">
        <v>7</v>
      </c>
      <c r="J20" s="20"/>
      <c r="K20" s="41" t="s">
        <v>150</v>
      </c>
      <c r="L20" s="20" t="s">
        <v>151</v>
      </c>
      <c r="M20" s="23">
        <f>(M16+M17)*M11/2</f>
        <v>261.206773195126</v>
      </c>
      <c r="N20" s="20" t="s">
        <v>123</v>
      </c>
      <c r="O20" s="20"/>
      <c r="R20" s="38"/>
      <c r="S20" s="38"/>
      <c r="T20" s="38"/>
      <c r="U20" s="38"/>
    </row>
    <row r="21" spans="1:21" ht="15" customHeight="1" x14ac:dyDescent="0.25">
      <c r="A21" s="28"/>
      <c r="B21" s="20"/>
      <c r="C21" s="32"/>
      <c r="D21" s="20"/>
      <c r="E21" s="39"/>
      <c r="F21" s="28" t="s">
        <v>180</v>
      </c>
      <c r="G21" s="20" t="s">
        <v>182</v>
      </c>
      <c r="H21" s="20">
        <v>0</v>
      </c>
      <c r="I21" s="20" t="s">
        <v>7</v>
      </c>
      <c r="J21" s="20"/>
      <c r="K21" s="42" t="s">
        <v>20</v>
      </c>
      <c r="L21" s="22" t="s">
        <v>152</v>
      </c>
      <c r="M21" s="23">
        <f>H7/M20</f>
        <v>0.75422189569649689</v>
      </c>
      <c r="N21" s="22" t="s">
        <v>15</v>
      </c>
      <c r="O21" s="20"/>
      <c r="R21" s="38"/>
      <c r="S21" s="38"/>
      <c r="T21" s="38"/>
      <c r="U21" s="38"/>
    </row>
    <row r="22" spans="1:21" ht="15" customHeight="1" x14ac:dyDescent="0.25">
      <c r="A22" s="28"/>
      <c r="B22" s="20"/>
      <c r="C22" s="32"/>
      <c r="D22" s="20"/>
      <c r="E22" s="39"/>
      <c r="F22" s="28" t="s">
        <v>168</v>
      </c>
      <c r="G22" s="20" t="s">
        <v>183</v>
      </c>
      <c r="H22" s="20">
        <f>H20*OLDParameters!C4*OLDParameters!C7+H21</f>
        <v>75.503284847670415</v>
      </c>
      <c r="I22" s="20" t="s">
        <v>7</v>
      </c>
      <c r="J22" s="20"/>
    </row>
    <row r="23" spans="1:21" ht="15" customHeight="1" x14ac:dyDescent="0.25">
      <c r="F23" s="44" t="s">
        <v>169</v>
      </c>
      <c r="G23" s="45" t="s">
        <v>197</v>
      </c>
      <c r="H23" s="20">
        <f>OLDParameters!C2/(OLDParameters!C2+'OLDGeneral Calculations'!H22)*100</f>
        <v>99.065033073674314</v>
      </c>
      <c r="I23" s="20" t="s">
        <v>15</v>
      </c>
      <c r="J23" s="46"/>
      <c r="K23" s="143" t="s">
        <v>186</v>
      </c>
      <c r="L23" s="143"/>
      <c r="M23" s="143"/>
      <c r="N23" s="143"/>
      <c r="O23" s="143"/>
    </row>
    <row r="24" spans="1:21" ht="15" customHeight="1" x14ac:dyDescent="0.25">
      <c r="F24" s="44"/>
      <c r="G24" s="45"/>
      <c r="H24" s="20"/>
      <c r="I24" s="20"/>
      <c r="J24" s="46"/>
      <c r="K24" s="29" t="s">
        <v>198</v>
      </c>
      <c r="L24" s="20" t="s">
        <v>199</v>
      </c>
      <c r="M24" s="37">
        <f>2*OLDParameters!H8*OLDParameters!C16/'OLDGeneral Calculations'!C4</f>
        <v>0.2199114855</v>
      </c>
      <c r="N24" s="20" t="s">
        <v>200</v>
      </c>
      <c r="O24" s="20"/>
    </row>
    <row r="25" spans="1:21" ht="15" customHeight="1" x14ac:dyDescent="0.25">
      <c r="F25" s="44"/>
      <c r="G25" s="45"/>
      <c r="H25" s="20"/>
      <c r="I25" s="20"/>
      <c r="J25" s="46"/>
      <c r="K25" s="29" t="s">
        <v>198</v>
      </c>
      <c r="L25" s="20" t="s">
        <v>199</v>
      </c>
      <c r="M25" s="20">
        <f>M24*180/OLDParameters!H8</f>
        <v>12.6</v>
      </c>
      <c r="N25" s="20" t="s">
        <v>201</v>
      </c>
      <c r="O25" s="20"/>
    </row>
    <row r="26" spans="1:21" ht="15" customHeight="1" x14ac:dyDescent="0.25">
      <c r="F26" s="44"/>
      <c r="G26" s="45"/>
      <c r="H26" s="20"/>
      <c r="I26" s="20"/>
      <c r="J26" s="46"/>
      <c r="K26" s="29" t="s">
        <v>187</v>
      </c>
      <c r="L26" s="20" t="s">
        <v>193</v>
      </c>
      <c r="M26" s="23">
        <f>(M24*(C11/2-C15/2)+2*C15)*(C12+2*C15)/100</f>
        <v>16.425465688366973</v>
      </c>
      <c r="N26" s="20" t="s">
        <v>202</v>
      </c>
      <c r="O26" s="26"/>
    </row>
    <row r="27" spans="1:21" ht="15" customHeight="1" x14ac:dyDescent="0.25">
      <c r="F27" s="28"/>
      <c r="G27" s="20"/>
      <c r="H27" s="20"/>
      <c r="I27" s="20"/>
      <c r="J27" s="46"/>
      <c r="K27" s="29" t="s">
        <v>188</v>
      </c>
      <c r="L27" s="20" t="s">
        <v>194</v>
      </c>
      <c r="M27" s="23">
        <f>(M24*(C11/2-C15/2-OLDParameters!C14/2)+2*C15)*(C12)/100</f>
        <v>15.679104953696651</v>
      </c>
      <c r="N27" s="20" t="s">
        <v>202</v>
      </c>
      <c r="O27" s="20"/>
    </row>
    <row r="28" spans="1:21" ht="18" customHeight="1" x14ac:dyDescent="0.25">
      <c r="K28" s="29" t="s">
        <v>203</v>
      </c>
      <c r="L28" s="20" t="s">
        <v>204</v>
      </c>
      <c r="M28" s="23">
        <f>M27/M26</f>
        <v>0.95456075652096017</v>
      </c>
      <c r="N28" s="20" t="s">
        <v>15</v>
      </c>
      <c r="O28" s="20"/>
    </row>
    <row r="29" spans="1:21" ht="18" customHeight="1" x14ac:dyDescent="0.25">
      <c r="F29" s="29" t="s">
        <v>213</v>
      </c>
      <c r="G29" s="20" t="s">
        <v>210</v>
      </c>
      <c r="H29" s="20">
        <v>1.05</v>
      </c>
      <c r="I29" s="20" t="s">
        <v>15</v>
      </c>
      <c r="J29" s="51" t="s">
        <v>216</v>
      </c>
      <c r="K29" s="29" t="s">
        <v>205</v>
      </c>
      <c r="L29" s="20" t="s">
        <v>206</v>
      </c>
      <c r="M29" s="23">
        <f>M27*C15/(M26*OLDParameters!C14)</f>
        <v>0.27273164472027434</v>
      </c>
      <c r="N29" s="20" t="s">
        <v>15</v>
      </c>
      <c r="O29" s="20"/>
      <c r="P29" s="25">
        <f>1/M29</f>
        <v>3.6666078885918951</v>
      </c>
    </row>
    <row r="30" spans="1:21" ht="18" customHeight="1" x14ac:dyDescent="0.25">
      <c r="F30" s="29" t="s">
        <v>212</v>
      </c>
      <c r="G30" s="20" t="s">
        <v>211</v>
      </c>
      <c r="H30" s="20">
        <v>0.15</v>
      </c>
      <c r="I30" s="20" t="s">
        <v>15</v>
      </c>
      <c r="J30" s="51" t="s">
        <v>216</v>
      </c>
      <c r="K30" s="29" t="s">
        <v>189</v>
      </c>
      <c r="L30" s="20" t="s">
        <v>195</v>
      </c>
      <c r="M30" s="20">
        <v>1.1000000000000001</v>
      </c>
      <c r="N30" s="20" t="s">
        <v>15</v>
      </c>
      <c r="O30" s="53" t="s">
        <v>178</v>
      </c>
    </row>
    <row r="31" spans="1:21" ht="18" customHeight="1" x14ac:dyDescent="0.25">
      <c r="F31" s="49" t="s">
        <v>218</v>
      </c>
      <c r="G31" s="20" t="s">
        <v>219</v>
      </c>
      <c r="H31" s="40">
        <v>0.95</v>
      </c>
      <c r="I31" s="40"/>
      <c r="J31" s="43"/>
      <c r="K31" s="29" t="s">
        <v>192</v>
      </c>
      <c r="L31" s="20" t="s">
        <v>196</v>
      </c>
      <c r="M31" s="47">
        <f>M30*OLDParameters!H11</f>
        <v>1.3823007660000001E-6</v>
      </c>
      <c r="N31" s="20" t="s">
        <v>113</v>
      </c>
      <c r="O31" s="20"/>
    </row>
    <row r="32" spans="1:21" ht="18" x14ac:dyDescent="0.25">
      <c r="F32" s="29" t="s">
        <v>221</v>
      </c>
      <c r="G32" s="20" t="s">
        <v>220</v>
      </c>
      <c r="H32" s="20">
        <v>1.1000000000000001</v>
      </c>
      <c r="I32" s="20"/>
      <c r="J32" s="43"/>
      <c r="K32" s="28" t="s">
        <v>207</v>
      </c>
      <c r="L32" s="20" t="s">
        <v>208</v>
      </c>
      <c r="M32" s="23">
        <v>1</v>
      </c>
      <c r="N32" s="20" t="s">
        <v>28</v>
      </c>
      <c r="O32" s="53" t="s">
        <v>178</v>
      </c>
    </row>
    <row r="33" spans="6:15" ht="18" x14ac:dyDescent="0.25">
      <c r="F33" s="29"/>
      <c r="G33" s="20"/>
      <c r="H33" s="20"/>
      <c r="I33" s="20"/>
      <c r="J33" s="43"/>
      <c r="K33" s="28" t="s">
        <v>222</v>
      </c>
      <c r="L33" s="20" t="s">
        <v>209</v>
      </c>
      <c r="M33" s="23">
        <f>M28*M32/(1+M30*M29*H29*(1+H30))</f>
        <v>0.70072063671599039</v>
      </c>
      <c r="N33" s="20" t="s">
        <v>28</v>
      </c>
      <c r="O33" s="20"/>
    </row>
    <row r="34" spans="6:15" ht="18" x14ac:dyDescent="0.25">
      <c r="F34" s="28"/>
      <c r="G34" s="28"/>
      <c r="H34" s="28"/>
      <c r="I34" s="28"/>
      <c r="K34" s="28" t="s">
        <v>222</v>
      </c>
      <c r="L34" s="20" t="s">
        <v>209</v>
      </c>
      <c r="M34" s="23">
        <f>M28*M32*H31/(1+H32*M30*M29)</f>
        <v>0.6818263998174523</v>
      </c>
      <c r="N34" s="20" t="s">
        <v>28</v>
      </c>
    </row>
  </sheetData>
  <mergeCells count="10">
    <mergeCell ref="P1:U1"/>
    <mergeCell ref="K23:O23"/>
    <mergeCell ref="F17:J17"/>
    <mergeCell ref="A1:E1"/>
    <mergeCell ref="K1:O1"/>
    <mergeCell ref="J5:J6"/>
    <mergeCell ref="F1:J1"/>
    <mergeCell ref="F10:J10"/>
    <mergeCell ref="K10:O10"/>
    <mergeCell ref="O11:O1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SH1</vt:lpstr>
      <vt:lpstr>Figures</vt:lpstr>
      <vt:lpstr>B-H magnet</vt:lpstr>
      <vt:lpstr>OLD</vt:lpstr>
      <vt:lpstr>OLDParameters</vt:lpstr>
      <vt:lpstr>OLDGeneral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2017-10-11T08:37:46Z</dcterms:created>
  <dcterms:modified xsi:type="dcterms:W3CDTF">2017-10-24T14:17:24Z</dcterms:modified>
</cp:coreProperties>
</file>