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y Documents\GitHub\MyProject\Dashboard\"/>
    </mc:Choice>
  </mc:AlternateContent>
  <xr:revisionPtr revIDLastSave="0" documentId="13_ncr:1_{E4BAEDFF-AEE5-4780-94C7-47B4524DA285}" xr6:coauthVersionLast="47" xr6:coauthVersionMax="47" xr10:uidLastSave="{00000000-0000-0000-0000-000000000000}"/>
  <bookViews>
    <workbookView xWindow="-110" yWindow="-110" windowWidth="19420" windowHeight="11500" tabRatio="736" activeTab="4" xr2:uid="{00000000-000D-0000-FFFF-FFFF00000000}"/>
  </bookViews>
  <sheets>
    <sheet name="Dashboard" sheetId="35" r:id="rId1"/>
    <sheet name="Datasumsi" sheetId="30" r:id="rId2"/>
    <sheet name="PivotTable" sheetId="34" r:id="rId3"/>
    <sheet name="Data" sheetId="33" r:id="rId4"/>
    <sheet name="Calc" sheetId="13" r:id="rId5"/>
    <sheet name="rekap keb mtt" sheetId="1" state="hidden" r:id="rId6"/>
    <sheet name="armada mtt" sheetId="2" state="hidden" r:id="rId7"/>
    <sheet name="gang mtt" sheetId="23" state="hidden" r:id="rId8"/>
    <sheet name="mttganti" sheetId="2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4">#REF!</definedName>
    <definedName name="________________div1" localSheetId="4">[1]ANALISA!#REF!</definedName>
    <definedName name="________________s1" localSheetId="4">[2]ANALISA!#REF!</definedName>
    <definedName name="________________UA1" localSheetId="4">[3]ANALISA!#REF!</definedName>
    <definedName name="________________UA10" localSheetId="4">[3]ANALISA!#REF!</definedName>
    <definedName name="________________UA2" localSheetId="4">[3]ANALISA!#REF!</definedName>
    <definedName name="________________UA3" localSheetId="4">[3]ANALISA!#REF!</definedName>
    <definedName name="________________UA4" localSheetId="4">[3]ANALISA!#REF!</definedName>
    <definedName name="________________UA5" localSheetId="4">[3]ANALISA!#REF!</definedName>
    <definedName name="________________UA6" localSheetId="4">[3]ANALISA!#REF!</definedName>
    <definedName name="________________UA7" localSheetId="4">[3]ANALISA!#REF!</definedName>
    <definedName name="________________UA8" localSheetId="4">[3]ANALISA!#REF!</definedName>
    <definedName name="________________UA9" localSheetId="4">[3]ANALISA!#REF!</definedName>
    <definedName name="_______________div1" localSheetId="4">[1]ANALISA!#REF!</definedName>
    <definedName name="_______________s1" localSheetId="4">[2]ANALISA!#REF!</definedName>
    <definedName name="_______________UA1" localSheetId="4">[3]ANALISA!#REF!</definedName>
    <definedName name="_______________UA10" localSheetId="4">[3]ANALISA!#REF!</definedName>
    <definedName name="_______________UA2" localSheetId="4">[3]ANALISA!#REF!</definedName>
    <definedName name="_______________UA3" localSheetId="4">[3]ANALISA!#REF!</definedName>
    <definedName name="_______________UA4" localSheetId="4">[3]ANALISA!#REF!</definedName>
    <definedName name="_______________UA5" localSheetId="4">[3]ANALISA!#REF!</definedName>
    <definedName name="_______________UA6" localSheetId="4">[3]ANALISA!#REF!</definedName>
    <definedName name="_______________UA7" localSheetId="4">[3]ANALISA!#REF!</definedName>
    <definedName name="_______________UA8" localSheetId="4">[3]ANALISA!#REF!</definedName>
    <definedName name="_______________UA9" localSheetId="4">[3]ANALISA!#REF!</definedName>
    <definedName name="_______div1" localSheetId="4">[4]ANALISA!#REF!</definedName>
    <definedName name="_______UA1" localSheetId="4">[3]ANALISA!#REF!</definedName>
    <definedName name="_______UA10" localSheetId="4">[3]ANALISA!#REF!</definedName>
    <definedName name="_______UA2" localSheetId="4">[3]ANALISA!#REF!</definedName>
    <definedName name="_______UA3" localSheetId="4">[3]ANALISA!#REF!</definedName>
    <definedName name="_______UA4" localSheetId="4">[3]ANALISA!#REF!</definedName>
    <definedName name="_______UA5" localSheetId="4">[3]ANALISA!#REF!</definedName>
    <definedName name="_______UA6" localSheetId="4">[3]ANALISA!#REF!</definedName>
    <definedName name="_______UA7" localSheetId="4">[3]ANALISA!#REF!</definedName>
    <definedName name="_______UA8" localSheetId="4">[3]ANALISA!#REF!</definedName>
    <definedName name="_______UA9" localSheetId="4">[3]ANALISA!#REF!</definedName>
    <definedName name="______div1" localSheetId="4">[1]ANALISA!#REF!</definedName>
    <definedName name="______s1" localSheetId="4">[2]ANALISA!#REF!</definedName>
    <definedName name="______UA1" localSheetId="4">[3]ANALISA!#REF!</definedName>
    <definedName name="______UA10" localSheetId="4">[3]ANALISA!#REF!</definedName>
    <definedName name="______UA2" localSheetId="4">[3]ANALISA!#REF!</definedName>
    <definedName name="______UA3" localSheetId="4">[3]ANALISA!#REF!</definedName>
    <definedName name="______UA4" localSheetId="4">[3]ANALISA!#REF!</definedName>
    <definedName name="______UA5" localSheetId="4">[3]ANALISA!#REF!</definedName>
    <definedName name="______UA6" localSheetId="4">[3]ANALISA!#REF!</definedName>
    <definedName name="______UA7" localSheetId="4">[3]ANALISA!#REF!</definedName>
    <definedName name="______UA8" localSheetId="4">[3]ANALISA!#REF!</definedName>
    <definedName name="______UA9" localSheetId="4">[3]ANALISA!#REF!</definedName>
    <definedName name="_____div1" localSheetId="4">[4]ANALISA!#REF!</definedName>
    <definedName name="_____UA1" localSheetId="4">[3]ANALISA!#REF!</definedName>
    <definedName name="_____UA10" localSheetId="4">[3]ANALISA!#REF!</definedName>
    <definedName name="_____UA2" localSheetId="4">[3]ANALISA!#REF!</definedName>
    <definedName name="_____UA3" localSheetId="4">[3]ANALISA!#REF!</definedName>
    <definedName name="_____UA4" localSheetId="4">[3]ANALISA!#REF!</definedName>
    <definedName name="_____UA5" localSheetId="4">[3]ANALISA!#REF!</definedName>
    <definedName name="_____UA6" localSheetId="4">[3]ANALISA!#REF!</definedName>
    <definedName name="_____UA7" localSheetId="4">[3]ANALISA!#REF!</definedName>
    <definedName name="_____UA8" localSheetId="4">[3]ANALISA!#REF!</definedName>
    <definedName name="_____UA9" localSheetId="4">[3]ANALISA!#REF!</definedName>
    <definedName name="____div1" localSheetId="4">[1]ANALISA!#REF!</definedName>
    <definedName name="____s1" localSheetId="4">[2]ANALISA!#REF!</definedName>
    <definedName name="____UA1" localSheetId="4">[3]ANALISA!#REF!</definedName>
    <definedName name="____UA10" localSheetId="4">[3]ANALISA!#REF!</definedName>
    <definedName name="____UA2" localSheetId="4">[3]ANALISA!#REF!</definedName>
    <definedName name="____UA3" localSheetId="4">[3]ANALISA!#REF!</definedName>
    <definedName name="____UA4" localSheetId="4">[3]ANALISA!#REF!</definedName>
    <definedName name="____UA5" localSheetId="4">[3]ANALISA!#REF!</definedName>
    <definedName name="____UA6" localSheetId="4">[3]ANALISA!#REF!</definedName>
    <definedName name="____UA7" localSheetId="4">[3]ANALISA!#REF!</definedName>
    <definedName name="____UA8" localSheetId="4">[3]ANALISA!#REF!</definedName>
    <definedName name="____UA9" localSheetId="4">[3]ANALISA!#REF!</definedName>
    <definedName name="___div1" localSheetId="4">[4]ANALISA!#REF!</definedName>
    <definedName name="___s1" localSheetId="4">[5]ANALISA!#REF!</definedName>
    <definedName name="___UA1" localSheetId="4">[3]ANALISA!#REF!</definedName>
    <definedName name="___UA10" localSheetId="4">[3]ANALISA!#REF!</definedName>
    <definedName name="___UA2" localSheetId="4">[3]ANALISA!#REF!</definedName>
    <definedName name="___UA3" localSheetId="4">[3]ANALISA!#REF!</definedName>
    <definedName name="___UA4" localSheetId="4">[3]ANALISA!#REF!</definedName>
    <definedName name="___UA5" localSheetId="4">[3]ANALISA!#REF!</definedName>
    <definedName name="___UA6" localSheetId="4">[3]ANALISA!#REF!</definedName>
    <definedName name="___UA7" localSheetId="4">[3]ANALISA!#REF!</definedName>
    <definedName name="___UA8" localSheetId="4">[3]ANALISA!#REF!</definedName>
    <definedName name="___UA9" localSheetId="4">[3]ANALISA!#REF!</definedName>
    <definedName name="__div1" localSheetId="4">[1]ANALISA!#REF!</definedName>
    <definedName name="__s1" localSheetId="4">[2]ANALISA!#REF!</definedName>
    <definedName name="__UA1" localSheetId="4">[3]ANALISA!#REF!</definedName>
    <definedName name="__UA10" localSheetId="4">[3]ANALISA!#REF!</definedName>
    <definedName name="__UA2" localSheetId="4">[3]ANALISA!#REF!</definedName>
    <definedName name="__UA3" localSheetId="4">[3]ANALISA!#REF!</definedName>
    <definedName name="__UA4" localSheetId="4">[3]ANALISA!#REF!</definedName>
    <definedName name="__UA5" localSheetId="4">[3]ANALISA!#REF!</definedName>
    <definedName name="__UA6" localSheetId="4">[3]ANALISA!#REF!</definedName>
    <definedName name="__UA7" localSheetId="4">[3]ANALISA!#REF!</definedName>
    <definedName name="__UA8" localSheetId="4">[3]ANALISA!#REF!</definedName>
    <definedName name="__UA9" localSheetId="4">[3]ANALISA!#REF!</definedName>
    <definedName name="_Dist_Bin" localSheetId="4" hidden="1">#REF!</definedName>
    <definedName name="_Dist_Values" localSheetId="4" hidden="1">#REF!</definedName>
    <definedName name="_div1" localSheetId="4">[6]ANALISA!#REF!</definedName>
    <definedName name="_Fill" localSheetId="4" hidden="1">#REF!</definedName>
    <definedName name="_Key1" localSheetId="4" hidden="1">#REF!</definedName>
    <definedName name="_Order1" hidden="1">255</definedName>
    <definedName name="_Order2" hidden="1">0</definedName>
    <definedName name="_Regression_Int">1</definedName>
    <definedName name="_s1" localSheetId="4">[7]ANALISA!#REF!</definedName>
    <definedName name="_s2" localSheetId="4">[2]ANALISA!#REF!</definedName>
    <definedName name="_Sort" localSheetId="4" hidden="1">#REF!</definedName>
    <definedName name="_UA1" localSheetId="4">[3]ANALISA!#REF!</definedName>
    <definedName name="_UA10" localSheetId="4">[3]ANALISA!#REF!</definedName>
    <definedName name="_UA2" localSheetId="4">[3]ANALISA!#REF!</definedName>
    <definedName name="_UA3" localSheetId="4">[3]ANALISA!#REF!</definedName>
    <definedName name="_UA4" localSheetId="4">[3]ANALISA!#REF!</definedName>
    <definedName name="_UA5" localSheetId="4">[3]ANALISA!#REF!</definedName>
    <definedName name="_UA6" localSheetId="4">[3]ANALISA!#REF!</definedName>
    <definedName name="_UA7" localSheetId="4">[3]ANALISA!#REF!</definedName>
    <definedName name="_UA8" localSheetId="4">[3]ANALISA!#REF!</definedName>
    <definedName name="_UA9" localSheetId="4">[3]ANALISA!#REF!</definedName>
    <definedName name="_xlcn.WorksheetConnection_DashboardAnalisiskelayakan7MTT2019.xlsxTable2" hidden="1">Table2[]</definedName>
    <definedName name="a" localSheetId="4">[4]ANALISA!#REF!</definedName>
    <definedName name="Annual_rate" localSheetId="4">#REF!</definedName>
    <definedName name="anscount" hidden="1">4</definedName>
    <definedName name="B10A" localSheetId="4">[3]ANALISA!#REF!</definedName>
    <definedName name="B10B" localSheetId="4">[3]ANALISA!#REF!</definedName>
    <definedName name="B10C" localSheetId="4">[3]ANALISA!#REF!</definedName>
    <definedName name="B10D" localSheetId="4">[3]ANALISA!#REF!</definedName>
    <definedName name="B10E" localSheetId="4">[3]ANALISA!#REF!</definedName>
    <definedName name="B10F" localSheetId="4">[3]ANALISA!#REF!</definedName>
    <definedName name="B10G" localSheetId="4">[3]ANALISA!#REF!</definedName>
    <definedName name="B10H" localSheetId="4">[3]ANALISA!#REF!</definedName>
    <definedName name="B10I" localSheetId="4">[3]ANALISA!#REF!</definedName>
    <definedName name="B10J" localSheetId="4">[3]ANALISA!#REF!</definedName>
    <definedName name="B10K" localSheetId="4">[3]ANALISA!#REF!</definedName>
    <definedName name="B10L" localSheetId="4">[3]ANALISA!#REF!</definedName>
    <definedName name="B10M" localSheetId="4">[3]ANALISA!#REF!</definedName>
    <definedName name="B10N" localSheetId="4">[3]ANALISA!#REF!</definedName>
    <definedName name="B10O" localSheetId="4">[3]ANALISA!#REF!</definedName>
    <definedName name="B10P" localSheetId="4">[3]ANALISA!#REF!</definedName>
    <definedName name="B10Q" localSheetId="4">[3]ANALISA!#REF!</definedName>
    <definedName name="B10R" localSheetId="4">[3]ANALISA!#REF!</definedName>
    <definedName name="B10S" localSheetId="4">[3]ANALISA!#REF!</definedName>
    <definedName name="B10T" localSheetId="4">[3]ANALISA!#REF!</definedName>
    <definedName name="B10U" localSheetId="4">[3]ANALISA!#REF!</definedName>
    <definedName name="B10V" localSheetId="4">[3]ANALISA!#REF!</definedName>
    <definedName name="B10W" localSheetId="4">[3]ANALISA!#REF!</definedName>
    <definedName name="B10X" localSheetId="4">[3]ANALISA!#REF!</definedName>
    <definedName name="B10Y" localSheetId="4">[3]ANALISA!#REF!</definedName>
    <definedName name="B11A" localSheetId="4">[3]ANALISA!#REF!</definedName>
    <definedName name="B11B" localSheetId="4">[3]ANALISA!#REF!</definedName>
    <definedName name="B11C" localSheetId="4">[3]ANALISA!#REF!</definedName>
    <definedName name="B11D" localSheetId="4">[3]ANALISA!#REF!</definedName>
    <definedName name="B11E" localSheetId="4">[3]ANALISA!#REF!</definedName>
    <definedName name="B11F" localSheetId="4">[3]ANALISA!#REF!</definedName>
    <definedName name="B11G" localSheetId="4">[3]ANALISA!#REF!</definedName>
    <definedName name="B11H" localSheetId="4">[3]ANALISA!#REF!</definedName>
    <definedName name="B11I" localSheetId="4">[3]ANALISA!#REF!</definedName>
    <definedName name="B11J" localSheetId="4">[3]ANALISA!#REF!</definedName>
    <definedName name="B11K" localSheetId="4">[3]ANALISA!#REF!</definedName>
    <definedName name="B11L" localSheetId="4">[3]ANALISA!#REF!</definedName>
    <definedName name="B11M" localSheetId="4">[3]ANALISA!#REF!</definedName>
    <definedName name="B11N" localSheetId="4">[3]ANALISA!#REF!</definedName>
    <definedName name="B11O" localSheetId="4">[3]ANALISA!#REF!</definedName>
    <definedName name="B11P" localSheetId="4">[3]ANALISA!#REF!</definedName>
    <definedName name="B11Q" localSheetId="4">[3]ANALISA!#REF!</definedName>
    <definedName name="B1A" localSheetId="4">[3]ANALISA!#REF!</definedName>
    <definedName name="B1B" localSheetId="4">[3]ANALISA!#REF!</definedName>
    <definedName name="B1C" localSheetId="4">[3]ANALISA!#REF!</definedName>
    <definedName name="B1D" localSheetId="4">[3]ANALISA!#REF!</definedName>
    <definedName name="B1E" localSheetId="4">[3]ANALISA!#REF!</definedName>
    <definedName name="B1F" localSheetId="4">[3]ANALISA!#REF!</definedName>
    <definedName name="B2A" localSheetId="4">[3]ANALISA!#REF!</definedName>
    <definedName name="B2B" localSheetId="4">[3]ANALISA!#REF!</definedName>
    <definedName name="B2C" localSheetId="4">[3]ANALISA!#REF!</definedName>
    <definedName name="B2D" localSheetId="4">[3]ANALISA!#REF!</definedName>
    <definedName name="B2E" localSheetId="4">[3]ANALISA!#REF!</definedName>
    <definedName name="B2F" localSheetId="4">[3]ANALISA!#REF!</definedName>
    <definedName name="B2G" localSheetId="4">[3]ANALISA!#REF!</definedName>
    <definedName name="B3A" localSheetId="4">[3]ANALISA!#REF!</definedName>
    <definedName name="B3B" localSheetId="4">[3]ANALISA!#REF!</definedName>
    <definedName name="B4A" localSheetId="4">[3]ANALISA!#REF!</definedName>
    <definedName name="B4B" localSheetId="4">[3]ANALISA!#REF!</definedName>
    <definedName name="B4C" localSheetId="4">[3]ANALISA!#REF!</definedName>
    <definedName name="B4D" localSheetId="4">[3]ANALISA!#REF!</definedName>
    <definedName name="B4E" localSheetId="4">[3]ANALISA!#REF!</definedName>
    <definedName name="B4F" localSheetId="4">[3]ANALISA!#REF!</definedName>
    <definedName name="B4G" localSheetId="4">[3]ANALISA!#REF!</definedName>
    <definedName name="B4H" localSheetId="4">[3]ANALISA!#REF!</definedName>
    <definedName name="B4I" localSheetId="4">[3]ANALISA!#REF!</definedName>
    <definedName name="B4J" localSheetId="4">[3]ANALISA!#REF!</definedName>
    <definedName name="B4K" localSheetId="4">[3]ANALISA!#REF!</definedName>
    <definedName name="B4L" localSheetId="4">[3]ANALISA!#REF!</definedName>
    <definedName name="B5A" localSheetId="4">[3]ANALISA!#REF!</definedName>
    <definedName name="B5B" localSheetId="4">[3]ANALISA!#REF!</definedName>
    <definedName name="B5C" localSheetId="4">[3]ANALISA!#REF!</definedName>
    <definedName name="B5D" localSheetId="4">[3]ANALISA!#REF!</definedName>
    <definedName name="B5E" localSheetId="4">[3]ANALISA!#REF!</definedName>
    <definedName name="B6A" localSheetId="4">[3]ANALISA!#REF!</definedName>
    <definedName name="B6B" localSheetId="4">[3]ANALISA!#REF!</definedName>
    <definedName name="B6C" localSheetId="4">[3]ANALISA!#REF!</definedName>
    <definedName name="B6D" localSheetId="4">[3]ANALISA!#REF!</definedName>
    <definedName name="B6E" localSheetId="4">[3]ANALISA!#REF!</definedName>
    <definedName name="B6F" localSheetId="4">[3]ANALISA!#REF!</definedName>
    <definedName name="B6G" localSheetId="4">[3]ANALISA!#REF!</definedName>
    <definedName name="B6H" localSheetId="4">[3]ANALISA!#REF!</definedName>
    <definedName name="B6I" localSheetId="4">[3]ANALISA!#REF!</definedName>
    <definedName name="B6J" localSheetId="4">[3]ANALISA!#REF!</definedName>
    <definedName name="B6K" localSheetId="4">[3]ANALISA!#REF!</definedName>
    <definedName name="B6L" localSheetId="4">[3]ANALISA!#REF!</definedName>
    <definedName name="B6M" localSheetId="4">[3]ANALISA!#REF!</definedName>
    <definedName name="B6N" localSheetId="4">[3]ANALISA!#REF!</definedName>
    <definedName name="B6O" localSheetId="4">[3]ANALISA!#REF!</definedName>
    <definedName name="B7A" localSheetId="4">[3]ANALISA!#REF!</definedName>
    <definedName name="B7B" localSheetId="4">[3]ANALISA!#REF!</definedName>
    <definedName name="B7C" localSheetId="4">[3]ANALISA!#REF!</definedName>
    <definedName name="B8A" localSheetId="4">[3]ANALISA!#REF!</definedName>
    <definedName name="B8B" localSheetId="4">[3]ANALISA!#REF!</definedName>
    <definedName name="B8C" localSheetId="4">[3]ANALISA!#REF!</definedName>
    <definedName name="B8D" localSheetId="4">[3]ANALISA!#REF!</definedName>
    <definedName name="B8E" localSheetId="4">[3]ANALISA!#REF!</definedName>
    <definedName name="B8F" localSheetId="4">[3]ANALISA!#REF!</definedName>
    <definedName name="B8G" localSheetId="4">[3]ANALISA!#REF!</definedName>
    <definedName name="B8H" localSheetId="4">[3]ANALISA!#REF!</definedName>
    <definedName name="B8I" localSheetId="4">[3]ANALISA!#REF!</definedName>
    <definedName name="B8J" localSheetId="4">[3]ANALISA!#REF!</definedName>
    <definedName name="B8K" localSheetId="4">[3]ANALISA!#REF!</definedName>
    <definedName name="B8L" localSheetId="4">[3]ANALISA!#REF!</definedName>
    <definedName name="B8M" localSheetId="4">[3]ANALISA!#REF!</definedName>
    <definedName name="B9A" localSheetId="4">[3]ANALISA!#REF!</definedName>
    <definedName name="B9B" localSheetId="4">[3]ANALISA!#REF!</definedName>
    <definedName name="B9C" localSheetId="4">[3]ANALISA!#REF!</definedName>
    <definedName name="B9D" localSheetId="4">[3]ANALISA!#REF!</definedName>
    <definedName name="B9E" localSheetId="4">[3]ANALISA!#REF!</definedName>
    <definedName name="B9F" localSheetId="4">[3]ANALISA!#REF!</definedName>
    <definedName name="B9G" localSheetId="4">[3]ANALISA!#REF!</definedName>
    <definedName name="B9H" localSheetId="4">[3]ANALISA!#REF!</definedName>
    <definedName name="Capital_value" localSheetId="4">#REF!</definedName>
    <definedName name="D" localSheetId="4" hidden="1">#REF!</definedName>
    <definedName name="ddd" localSheetId="4">[2]ANALISA!#REF!</definedName>
    <definedName name="divIIsbrt" localSheetId="4">[7]ANALISA!#REF!</definedName>
    <definedName name="G" localSheetId="4">[2]ANALISA!#REF!</definedName>
    <definedName name="interval" localSheetId="4">#REF!</definedName>
    <definedName name="ko" localSheetId="4" hidden="1">#REF!</definedName>
    <definedName name="mandor">'[8]Sheet1 (2)'!$G$5</definedName>
    <definedName name="Mgt_Test" localSheetId="4">#REF!</definedName>
    <definedName name="Minimum_NPV" localSheetId="4">#REF!</definedName>
    <definedName name="ndor">'[9]harga cuci'!$R$64</definedName>
    <definedName name="NPV" localSheetId="4">#REF!</definedName>
    <definedName name="pekerja">'[8]Sheet1 (2)'!$G$6</definedName>
    <definedName name="Periodic_cash_flow" localSheetId="4">#REF!</definedName>
    <definedName name="Periodic_int_rate" localSheetId="4">#REF!</definedName>
    <definedName name="pkj">'[9]harga cuci'!$R$65</definedName>
    <definedName name="_xlnm.Print_Area" localSheetId="4">Calc!$B$1:$R$90</definedName>
    <definedName name="_xlnm.Print_Area" localSheetId="7">#REF!</definedName>
    <definedName name="_xlnm.Print_Area" localSheetId="8">#REF!</definedName>
    <definedName name="_xlnm.Print_Area">#REF!</definedName>
    <definedName name="Print_Area_MI" localSheetId="4">#REF!</definedName>
    <definedName name="s" localSheetId="4">[4]ANALISA!#REF!</definedName>
    <definedName name="Saji" localSheetId="4">[4]ANALISA!#REF!</definedName>
    <definedName name="SDF" localSheetId="4">#REF!</definedName>
    <definedName name="sencount" hidden="1">1</definedName>
    <definedName name="skkk21" localSheetId="4" hidden="1">#REF!</definedName>
    <definedName name="so" localSheetId="4">[3]ANALISA!#REF!</definedName>
    <definedName name="SSP" localSheetId="4" hidden="1">[10]ALOKASI!#REF!</definedName>
    <definedName name="Start_Date" localSheetId="4">#REF!</definedName>
    <definedName name="V" localSheetId="4">[3]ANALISA!#REF!</definedName>
  </definedNames>
  <calcPr calcId="191029"/>
  <pivotCaches>
    <pivotCache cacheId="176" r:id="rId21"/>
    <pivotCache cacheId="177" r:id="rId22"/>
    <pivotCache cacheId="178" r:id="rId23"/>
    <pivotCache cacheId="179" r:id="rId24"/>
    <pivotCache cacheId="180" r:id="rId25"/>
    <pivotCache cacheId="181" r:id="rId26"/>
    <pivotCache cacheId="182" r:id="rId27"/>
    <pivotCache cacheId="183" r:id="rId28"/>
    <pivotCache cacheId="184" r:id="rId29"/>
    <pivotCache cacheId="185" r:id="rId30"/>
    <pivotCache cacheId="186" r:id="rId31"/>
  </pivotCaches>
  <fileRecoveryPr autoRecover="0"/>
  <extLst>
    <ext xmlns:x15="http://schemas.microsoft.com/office/spreadsheetml/2010/11/main" uri="{FCE2AD5D-F65C-4FA6-A056-5C36A1767C68}">
      <x15:dataModel>
        <x15:modelTables>
          <x15:modelTable id="Table2" name="Table2" connection="WorksheetConnection_Dashboard Analisis kelayakan 7 MTT 2019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C52" i="13"/>
  <c r="D119" i="13"/>
  <c r="E119" i="13"/>
  <c r="F119" i="13"/>
  <c r="G119" i="13"/>
  <c r="H119" i="13"/>
  <c r="I119" i="13"/>
  <c r="J119" i="13"/>
  <c r="K119" i="13"/>
  <c r="L119" i="13"/>
  <c r="M119" i="13"/>
  <c r="D120" i="13"/>
  <c r="E120" i="13"/>
  <c r="F120" i="13"/>
  <c r="G120" i="13"/>
  <c r="H120" i="13"/>
  <c r="I120" i="13"/>
  <c r="J120" i="13"/>
  <c r="K120" i="13"/>
  <c r="L120" i="13"/>
  <c r="M120" i="13"/>
  <c r="D121" i="13"/>
  <c r="E121" i="13"/>
  <c r="F121" i="13"/>
  <c r="G121" i="13"/>
  <c r="H121" i="13"/>
  <c r="I121" i="13"/>
  <c r="J121" i="13"/>
  <c r="K121" i="13"/>
  <c r="L121" i="13"/>
  <c r="M121" i="13"/>
  <c r="D122" i="13"/>
  <c r="E122" i="13"/>
  <c r="F122" i="13"/>
  <c r="G122" i="13"/>
  <c r="H122" i="13"/>
  <c r="I122" i="13"/>
  <c r="J122" i="13"/>
  <c r="K122" i="13"/>
  <c r="L122" i="13"/>
  <c r="M122" i="13"/>
  <c r="D123" i="13"/>
  <c r="E123" i="13"/>
  <c r="F123" i="13"/>
  <c r="G123" i="13"/>
  <c r="H123" i="13"/>
  <c r="I123" i="13"/>
  <c r="J123" i="13"/>
  <c r="K123" i="13"/>
  <c r="L123" i="13"/>
  <c r="M123" i="13"/>
  <c r="D124" i="13"/>
  <c r="E124" i="13"/>
  <c r="F124" i="13"/>
  <c r="G124" i="13"/>
  <c r="H124" i="13"/>
  <c r="I124" i="13"/>
  <c r="J124" i="13"/>
  <c r="K124" i="13"/>
  <c r="L124" i="13"/>
  <c r="M124" i="13"/>
  <c r="D125" i="13"/>
  <c r="E125" i="13"/>
  <c r="F125" i="13"/>
  <c r="G125" i="13"/>
  <c r="H125" i="13"/>
  <c r="I125" i="13"/>
  <c r="J125" i="13"/>
  <c r="K125" i="13"/>
  <c r="L125" i="13"/>
  <c r="M125" i="13"/>
  <c r="D126" i="13"/>
  <c r="E126" i="13"/>
  <c r="F126" i="13"/>
  <c r="G126" i="13"/>
  <c r="H126" i="13"/>
  <c r="I126" i="13"/>
  <c r="J126" i="13"/>
  <c r="K126" i="13"/>
  <c r="L126" i="13"/>
  <c r="M126" i="13"/>
  <c r="D127" i="13"/>
  <c r="E127" i="13"/>
  <c r="F127" i="13"/>
  <c r="G127" i="13"/>
  <c r="H127" i="13"/>
  <c r="I127" i="13"/>
  <c r="J127" i="13"/>
  <c r="K127" i="13"/>
  <c r="L127" i="13"/>
  <c r="M127" i="13"/>
  <c r="D128" i="13"/>
  <c r="E128" i="13"/>
  <c r="F128" i="13"/>
  <c r="G128" i="13"/>
  <c r="H128" i="13"/>
  <c r="I128" i="13"/>
  <c r="J128" i="13"/>
  <c r="K128" i="13"/>
  <c r="L128" i="13"/>
  <c r="M128" i="13"/>
  <c r="D129" i="13"/>
  <c r="E129" i="13"/>
  <c r="F129" i="13"/>
  <c r="G129" i="13"/>
  <c r="H129" i="13"/>
  <c r="I129" i="13"/>
  <c r="J129" i="13"/>
  <c r="K129" i="13"/>
  <c r="L129" i="13"/>
  <c r="M129" i="13"/>
  <c r="D130" i="13"/>
  <c r="E130" i="13"/>
  <c r="F130" i="13"/>
  <c r="G130" i="13"/>
  <c r="H130" i="13"/>
  <c r="I130" i="13"/>
  <c r="J130" i="13"/>
  <c r="K130" i="13"/>
  <c r="L130" i="13"/>
  <c r="M130" i="13"/>
  <c r="D131" i="13"/>
  <c r="E131" i="13"/>
  <c r="F131" i="13"/>
  <c r="G131" i="13"/>
  <c r="H131" i="13"/>
  <c r="I131" i="13"/>
  <c r="J131" i="13"/>
  <c r="K131" i="13"/>
  <c r="L131" i="13"/>
  <c r="M131" i="13"/>
  <c r="D132" i="13"/>
  <c r="E132" i="13"/>
  <c r="F132" i="13"/>
  <c r="G132" i="13"/>
  <c r="H132" i="13"/>
  <c r="I132" i="13"/>
  <c r="J132" i="13"/>
  <c r="K132" i="13"/>
  <c r="L132" i="13"/>
  <c r="M132" i="13"/>
  <c r="D133" i="13"/>
  <c r="E133" i="13"/>
  <c r="F133" i="13"/>
  <c r="G133" i="13"/>
  <c r="H133" i="13"/>
  <c r="I133" i="13"/>
  <c r="J133" i="13"/>
  <c r="K133" i="13"/>
  <c r="L133" i="13"/>
  <c r="M133" i="13"/>
  <c r="D134" i="13"/>
  <c r="E134" i="13"/>
  <c r="F134" i="13"/>
  <c r="G134" i="13"/>
  <c r="H134" i="13"/>
  <c r="I134" i="13"/>
  <c r="J134" i="13"/>
  <c r="K134" i="13"/>
  <c r="L134" i="13"/>
  <c r="M134" i="13"/>
  <c r="D135" i="13"/>
  <c r="E135" i="13"/>
  <c r="F135" i="13"/>
  <c r="G135" i="13"/>
  <c r="H135" i="13"/>
  <c r="I135" i="13"/>
  <c r="J135" i="13"/>
  <c r="K135" i="13"/>
  <c r="L135" i="13"/>
  <c r="M135" i="13"/>
  <c r="D136" i="13"/>
  <c r="E136" i="13"/>
  <c r="F136" i="13"/>
  <c r="G136" i="13"/>
  <c r="H136" i="13"/>
  <c r="I136" i="13"/>
  <c r="J136" i="13"/>
  <c r="K136" i="13"/>
  <c r="L136" i="13"/>
  <c r="M136" i="13"/>
  <c r="D137" i="13"/>
  <c r="E137" i="13"/>
  <c r="F137" i="13"/>
  <c r="G137" i="13"/>
  <c r="H137" i="13"/>
  <c r="I137" i="13"/>
  <c r="J137" i="13"/>
  <c r="K137" i="13"/>
  <c r="L137" i="13"/>
  <c r="M137" i="13"/>
  <c r="D138" i="13"/>
  <c r="E138" i="13"/>
  <c r="F138" i="13"/>
  <c r="G138" i="13"/>
  <c r="H138" i="13"/>
  <c r="I138" i="13"/>
  <c r="J138" i="13"/>
  <c r="K138" i="13"/>
  <c r="L138" i="13"/>
  <c r="M138" i="13"/>
  <c r="D139" i="13"/>
  <c r="E139" i="13"/>
  <c r="F139" i="13"/>
  <c r="G139" i="13"/>
  <c r="H139" i="13"/>
  <c r="I139" i="13"/>
  <c r="J139" i="13"/>
  <c r="K139" i="13"/>
  <c r="L139" i="13"/>
  <c r="M139" i="13"/>
  <c r="D140" i="13"/>
  <c r="E140" i="13"/>
  <c r="F140" i="13"/>
  <c r="G140" i="13"/>
  <c r="H140" i="13"/>
  <c r="I140" i="13"/>
  <c r="J140" i="13"/>
  <c r="K140" i="13"/>
  <c r="L140" i="13"/>
  <c r="M140" i="13"/>
  <c r="D141" i="13"/>
  <c r="E141" i="13"/>
  <c r="F141" i="13"/>
  <c r="G141" i="13"/>
  <c r="H141" i="13"/>
  <c r="I141" i="13"/>
  <c r="J141" i="13"/>
  <c r="K141" i="13"/>
  <c r="L141" i="13"/>
  <c r="M141" i="13"/>
  <c r="D142" i="13"/>
  <c r="E142" i="13"/>
  <c r="F142" i="13"/>
  <c r="G142" i="13"/>
  <c r="H142" i="13"/>
  <c r="I142" i="13"/>
  <c r="J142" i="13"/>
  <c r="K142" i="13"/>
  <c r="L142" i="13"/>
  <c r="M142" i="13"/>
  <c r="E118" i="13"/>
  <c r="F118" i="13"/>
  <c r="G118" i="13"/>
  <c r="H118" i="13"/>
  <c r="I118" i="13"/>
  <c r="J118" i="13"/>
  <c r="K118" i="13"/>
  <c r="L118" i="13"/>
  <c r="M118" i="13"/>
  <c r="D118" i="13"/>
  <c r="B34" i="30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D4" i="13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C3" i="33" l="1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2" i="33"/>
  <c r="B3" i="33" l="1"/>
  <c r="B2" i="33"/>
  <c r="D39" i="13"/>
  <c r="K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N140" i="13"/>
  <c r="O140" i="13" s="1"/>
  <c r="N135" i="13"/>
  <c r="O135" i="13" s="1"/>
  <c r="N130" i="13"/>
  <c r="O130" i="13" s="1"/>
  <c r="N125" i="13"/>
  <c r="O125" i="13" s="1"/>
  <c r="N120" i="13"/>
  <c r="O120" i="13" s="1"/>
  <c r="AF14" i="33" l="1"/>
  <c r="AF17" i="33"/>
  <c r="AF7" i="33"/>
  <c r="AF10" i="33"/>
  <c r="AF11" i="33"/>
  <c r="AF3" i="33"/>
  <c r="AF15" i="33"/>
  <c r="AF13" i="33"/>
  <c r="AF4" i="33"/>
  <c r="AF16" i="33"/>
  <c r="AF5" i="33"/>
  <c r="AF12" i="33"/>
  <c r="AF6" i="33"/>
  <c r="AF2" i="33"/>
  <c r="AF9" i="33"/>
  <c r="AF8" i="33"/>
  <c r="AG7" i="33"/>
  <c r="AG2" i="33"/>
  <c r="AG14" i="33"/>
  <c r="AG5" i="33"/>
  <c r="AG8" i="33"/>
  <c r="AG10" i="33"/>
  <c r="AG15" i="33"/>
  <c r="AG16" i="33"/>
  <c r="AG9" i="33"/>
  <c r="AG4" i="33"/>
  <c r="AG11" i="33"/>
  <c r="AG12" i="33"/>
  <c r="AG17" i="33"/>
  <c r="AG3" i="33"/>
  <c r="AG13" i="33"/>
  <c r="AG6" i="33"/>
  <c r="AH10" i="33"/>
  <c r="AH13" i="33"/>
  <c r="AH6" i="33"/>
  <c r="AH9" i="33"/>
  <c r="AH11" i="33"/>
  <c r="AH3" i="33"/>
  <c r="AH5" i="33"/>
  <c r="AH8" i="33"/>
  <c r="AH12" i="33"/>
  <c r="AH15" i="33"/>
  <c r="AH17" i="33"/>
  <c r="AH2" i="33"/>
  <c r="AH14" i="33"/>
  <c r="AH4" i="33"/>
  <c r="AH16" i="33"/>
  <c r="AH7" i="33"/>
  <c r="AI14" i="33"/>
  <c r="AI5" i="33"/>
  <c r="AI3" i="33"/>
  <c r="AI15" i="33"/>
  <c r="AI4" i="33"/>
  <c r="AI16" i="33"/>
  <c r="AI17" i="33"/>
  <c r="AI12" i="33"/>
  <c r="AI13" i="33"/>
  <c r="AI6" i="33"/>
  <c r="AI2" i="33"/>
  <c r="AI7" i="33"/>
  <c r="AI10" i="33"/>
  <c r="AI11" i="33"/>
  <c r="AI8" i="33"/>
  <c r="AI9" i="33"/>
  <c r="AE14" i="33"/>
  <c r="AE3" i="33"/>
  <c r="AE15" i="33"/>
  <c r="AE16" i="33"/>
  <c r="AE17" i="33"/>
  <c r="AE2" i="33"/>
  <c r="AE4" i="33"/>
  <c r="AE7" i="33"/>
  <c r="AE9" i="33"/>
  <c r="AE10" i="33"/>
  <c r="AE5" i="33"/>
  <c r="AE11" i="33"/>
  <c r="AE13" i="33"/>
  <c r="AE6" i="33"/>
  <c r="AE8" i="33"/>
  <c r="AE12" i="33"/>
  <c r="P138" i="13"/>
  <c r="P133" i="13"/>
  <c r="P128" i="13"/>
  <c r="P123" i="13"/>
  <c r="E153" i="13"/>
  <c r="F153" i="13" s="1"/>
  <c r="Z9" i="33" l="1"/>
  <c r="Z15" i="33"/>
  <c r="Z16" i="33"/>
  <c r="Z17" i="33"/>
  <c r="Z2" i="33"/>
  <c r="Z8" i="33"/>
  <c r="Z10" i="33"/>
  <c r="Z11" i="33"/>
  <c r="Z7" i="33"/>
  <c r="Z12" i="33"/>
  <c r="Z14" i="33"/>
  <c r="Z3" i="33"/>
  <c r="Z4" i="33"/>
  <c r="Z5" i="33"/>
  <c r="Z6" i="33"/>
  <c r="Z13" i="33"/>
  <c r="P118" i="13"/>
  <c r="E154" i="13"/>
  <c r="F154" i="13" s="1"/>
  <c r="E155" i="13"/>
  <c r="F155" i="13" s="1"/>
  <c r="E156" i="13"/>
  <c r="F156" i="13" s="1"/>
  <c r="E157" i="13"/>
  <c r="F157" i="13" s="1"/>
  <c r="G7" i="28"/>
  <c r="AK39" i="28"/>
  <c r="AK38" i="28"/>
  <c r="AK37" i="28"/>
  <c r="AK36" i="28"/>
  <c r="AK35" i="28"/>
  <c r="AK34" i="28"/>
  <c r="AA29" i="28"/>
  <c r="AA28" i="28"/>
  <c r="AA27" i="28"/>
  <c r="AA26" i="28"/>
  <c r="AA25" i="28"/>
  <c r="AA24" i="28"/>
  <c r="Q18" i="28"/>
  <c r="Q19" i="28"/>
  <c r="Q17" i="28"/>
  <c r="Q16" i="28"/>
  <c r="Q15" i="28"/>
  <c r="Q14" i="28"/>
  <c r="Q13" i="28"/>
  <c r="G4" i="28"/>
  <c r="G5" i="28"/>
  <c r="G6" i="28"/>
  <c r="G8" i="28"/>
  <c r="G3" i="28"/>
  <c r="F22" i="1"/>
  <c r="F15" i="1"/>
  <c r="S37" i="23"/>
  <c r="R37" i="23"/>
  <c r="Q37" i="23"/>
  <c r="P37" i="23"/>
  <c r="O37" i="23"/>
  <c r="E17" i="23"/>
  <c r="AD13" i="33" l="1"/>
  <c r="AD3" i="33"/>
  <c r="AD8" i="33"/>
  <c r="AD10" i="33"/>
  <c r="AD12" i="33"/>
  <c r="AD14" i="33"/>
  <c r="AD15" i="33"/>
  <c r="AD4" i="33"/>
  <c r="AD16" i="33"/>
  <c r="AD6" i="33"/>
  <c r="AD9" i="33"/>
  <c r="AD11" i="33"/>
  <c r="AD5" i="33"/>
  <c r="AD17" i="33"/>
  <c r="AD2" i="33"/>
  <c r="AD7" i="33"/>
  <c r="AB4" i="33"/>
  <c r="AB16" i="33"/>
  <c r="AB6" i="33"/>
  <c r="AB14" i="33"/>
  <c r="AB5" i="33"/>
  <c r="AB17" i="33"/>
  <c r="AB2" i="33"/>
  <c r="AB15" i="33"/>
  <c r="AB7" i="33"/>
  <c r="AB10" i="33"/>
  <c r="AB8" i="33"/>
  <c r="AB9" i="33"/>
  <c r="AB11" i="33"/>
  <c r="AB12" i="33"/>
  <c r="AB13" i="33"/>
  <c r="AB3" i="33"/>
  <c r="AA13" i="33"/>
  <c r="AA15" i="33"/>
  <c r="AA14" i="33"/>
  <c r="AA3" i="33"/>
  <c r="AA7" i="33"/>
  <c r="AA8" i="33"/>
  <c r="AA9" i="33"/>
  <c r="AA10" i="33"/>
  <c r="AA4" i="33"/>
  <c r="AA16" i="33"/>
  <c r="AA6" i="33"/>
  <c r="AA11" i="33"/>
  <c r="AA12" i="33"/>
  <c r="AA5" i="33"/>
  <c r="AA17" i="33"/>
  <c r="AA2" i="33"/>
  <c r="AC9" i="33"/>
  <c r="AC17" i="33"/>
  <c r="AC10" i="33"/>
  <c r="AC11" i="33"/>
  <c r="AC4" i="33"/>
  <c r="AC5" i="33"/>
  <c r="AC6" i="33"/>
  <c r="AC12" i="33"/>
  <c r="AC14" i="33"/>
  <c r="AC3" i="33"/>
  <c r="AC16" i="33"/>
  <c r="AC2" i="33"/>
  <c r="AC8" i="33"/>
  <c r="AC13" i="33"/>
  <c r="AC15" i="33"/>
  <c r="AC7" i="33"/>
  <c r="G153" i="13"/>
  <c r="F23" i="1"/>
  <c r="E23" i="13"/>
  <c r="E18" i="13"/>
  <c r="M11" i="13"/>
  <c r="E2" i="33" s="1"/>
  <c r="I7" i="13"/>
  <c r="AK9" i="33" l="1"/>
  <c r="AK11" i="33"/>
  <c r="AK17" i="33"/>
  <c r="AK2" i="33"/>
  <c r="AK10" i="33"/>
  <c r="AK15" i="33"/>
  <c r="AK16" i="33"/>
  <c r="AK5" i="33"/>
  <c r="AK6" i="33"/>
  <c r="AK12" i="33"/>
  <c r="AK13" i="33"/>
  <c r="AK4" i="33"/>
  <c r="AK14" i="33"/>
  <c r="AK3" i="33"/>
  <c r="AK7" i="33"/>
  <c r="AK8" i="33"/>
  <c r="H5" i="33"/>
  <c r="H17" i="33"/>
  <c r="H6" i="33"/>
  <c r="H7" i="33"/>
  <c r="H14" i="33"/>
  <c r="H16" i="33"/>
  <c r="H2" i="33"/>
  <c r="H3" i="33"/>
  <c r="H8" i="33"/>
  <c r="H15" i="33"/>
  <c r="H4" i="33"/>
  <c r="H9" i="33"/>
  <c r="H11" i="33"/>
  <c r="H12" i="33"/>
  <c r="H13" i="33"/>
  <c r="H10" i="33"/>
  <c r="E4" i="33"/>
  <c r="E16" i="33"/>
  <c r="E5" i="33"/>
  <c r="E17" i="33"/>
  <c r="E10" i="33"/>
  <c r="E6" i="33"/>
  <c r="E7" i="33"/>
  <c r="E11" i="33"/>
  <c r="E8" i="33"/>
  <c r="E9" i="33"/>
  <c r="E12" i="33"/>
  <c r="E13" i="33"/>
  <c r="E14" i="33"/>
  <c r="E3" i="33"/>
  <c r="E15" i="33"/>
  <c r="E4" i="13"/>
  <c r="E6" i="13" l="1"/>
  <c r="D2" i="33"/>
  <c r="Q46" i="13"/>
  <c r="R46" i="13" s="1"/>
  <c r="K46" i="13"/>
  <c r="L46" i="13" s="1"/>
  <c r="M46" i="13" s="1"/>
  <c r="N46" i="13" s="1"/>
  <c r="E46" i="13"/>
  <c r="F46" i="13" s="1"/>
  <c r="G46" i="13" s="1"/>
  <c r="H46" i="13" s="1"/>
  <c r="F11" i="33" l="1"/>
  <c r="F12" i="33"/>
  <c r="F13" i="33"/>
  <c r="F17" i="33"/>
  <c r="F14" i="33"/>
  <c r="F8" i="33"/>
  <c r="F2" i="33"/>
  <c r="F3" i="33"/>
  <c r="F15" i="33"/>
  <c r="F9" i="33"/>
  <c r="F4" i="33"/>
  <c r="F16" i="33"/>
  <c r="F5" i="33"/>
  <c r="F6" i="33"/>
  <c r="F7" i="33"/>
  <c r="F10" i="33"/>
  <c r="E7" i="13"/>
  <c r="D13" i="33"/>
  <c r="D7" i="33"/>
  <c r="D14" i="33"/>
  <c r="D3" i="33"/>
  <c r="D15" i="33"/>
  <c r="D8" i="33"/>
  <c r="D4" i="33"/>
  <c r="D16" i="33"/>
  <c r="D5" i="33"/>
  <c r="D17" i="33"/>
  <c r="D12" i="33"/>
  <c r="D6" i="33"/>
  <c r="D9" i="33"/>
  <c r="D10" i="33"/>
  <c r="D11" i="33"/>
  <c r="D26" i="13"/>
  <c r="G14" i="33" l="1"/>
  <c r="G16" i="33"/>
  <c r="G3" i="33"/>
  <c r="G15" i="33"/>
  <c r="G4" i="33"/>
  <c r="G8" i="33"/>
  <c r="G9" i="33"/>
  <c r="G10" i="33"/>
  <c r="G13" i="33"/>
  <c r="G5" i="33"/>
  <c r="G17" i="33"/>
  <c r="G6" i="33"/>
  <c r="G11" i="33"/>
  <c r="G2" i="33"/>
  <c r="G7" i="33"/>
  <c r="G12" i="33"/>
  <c r="D43" i="2"/>
  <c r="Z113" i="2"/>
  <c r="Z114" i="2"/>
  <c r="Z115" i="2"/>
  <c r="Z116" i="2"/>
  <c r="Z117" i="2"/>
  <c r="P75" i="2"/>
  <c r="P74" i="2"/>
  <c r="P73" i="2"/>
  <c r="P65" i="2"/>
  <c r="P64" i="2"/>
  <c r="P47" i="2"/>
  <c r="P46" i="2"/>
  <c r="P45" i="2"/>
  <c r="P49" i="2"/>
  <c r="P48" i="2"/>
  <c r="P50" i="2"/>
  <c r="P51" i="2"/>
  <c r="P60" i="2"/>
  <c r="P59" i="2"/>
  <c r="P58" i="2"/>
  <c r="P57" i="2"/>
  <c r="P56" i="2"/>
  <c r="P55" i="2"/>
  <c r="P54" i="2"/>
  <c r="P53" i="2"/>
  <c r="P52" i="2"/>
  <c r="P61" i="2"/>
  <c r="P63" i="2"/>
  <c r="P62" i="2"/>
  <c r="P72" i="2"/>
  <c r="P71" i="2"/>
  <c r="P70" i="2"/>
  <c r="P69" i="2"/>
  <c r="P68" i="2"/>
  <c r="P67" i="2"/>
  <c r="P66" i="2"/>
  <c r="P81" i="2"/>
  <c r="P80" i="2"/>
  <c r="P79" i="2"/>
  <c r="P78" i="2"/>
  <c r="P77" i="2"/>
  <c r="P76" i="2"/>
  <c r="F36" i="2"/>
  <c r="F37" i="2"/>
  <c r="F38" i="2"/>
  <c r="F39" i="2"/>
  <c r="D22" i="1" l="1"/>
  <c r="E22" i="1"/>
  <c r="E15" i="1"/>
  <c r="F5" i="2"/>
  <c r="F6" i="2"/>
  <c r="F7" i="2"/>
  <c r="F8" i="2"/>
  <c r="F9" i="2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6" i="2"/>
  <c r="F4" i="2"/>
  <c r="F3" i="2"/>
  <c r="Z119" i="2"/>
  <c r="Z120" i="2"/>
  <c r="Z121" i="2"/>
  <c r="Z122" i="2"/>
  <c r="Z123" i="2"/>
  <c r="Z118" i="2"/>
  <c r="Z106" i="2"/>
  <c r="Z94" i="2"/>
  <c r="Z95" i="2"/>
  <c r="Z96" i="2"/>
  <c r="Z97" i="2"/>
  <c r="Z98" i="2"/>
  <c r="Z99" i="2"/>
  <c r="Z100" i="2"/>
  <c r="Z101" i="2"/>
  <c r="Z102" i="2"/>
  <c r="Z107" i="2"/>
  <c r="Z108" i="2"/>
  <c r="Z104" i="2"/>
  <c r="Z105" i="2"/>
  <c r="Z109" i="2"/>
  <c r="Z110" i="2"/>
  <c r="Z111" i="2"/>
  <c r="Z112" i="2"/>
  <c r="Z103" i="2"/>
  <c r="Z88" i="2"/>
  <c r="Z89" i="2"/>
  <c r="Z90" i="2"/>
  <c r="Z91" i="2"/>
  <c r="Z92" i="2"/>
  <c r="Z93" i="2"/>
  <c r="Z87" i="2"/>
  <c r="F18" i="13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23" i="1" l="1"/>
  <c r="O51" i="13"/>
  <c r="D44" i="13" l="1"/>
  <c r="E44" i="13" s="1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D49" i="13"/>
  <c r="I17" i="23"/>
  <c r="H17" i="23"/>
  <c r="G17" i="23"/>
  <c r="F17" i="23"/>
  <c r="D17" i="23"/>
  <c r="D15" i="1" l="1"/>
  <c r="D23" i="1" l="1"/>
  <c r="D88" i="13"/>
  <c r="E49" i="13" l="1"/>
  <c r="F49" i="13" l="1"/>
  <c r="G49" i="13" l="1"/>
  <c r="H49" i="13" l="1"/>
  <c r="D34" i="13"/>
  <c r="D35" i="13"/>
  <c r="E40" i="13"/>
  <c r="F61" i="13"/>
  <c r="G61" i="13" s="1"/>
  <c r="H61" i="13" s="1"/>
  <c r="I61" i="13" s="1"/>
  <c r="J61" i="13" s="1"/>
  <c r="K61" i="13" s="1"/>
  <c r="L61" i="13" s="1"/>
  <c r="M61" i="13" s="1"/>
  <c r="N61" i="13" s="1"/>
  <c r="O61" i="13" s="1"/>
  <c r="P61" i="13" s="1"/>
  <c r="Q61" i="13" s="1"/>
  <c r="R61" i="13" s="1"/>
  <c r="F56" i="13"/>
  <c r="G56" i="13" s="1"/>
  <c r="H56" i="13" s="1"/>
  <c r="I56" i="13" s="1"/>
  <c r="J56" i="13" s="1"/>
  <c r="K56" i="13" s="1"/>
  <c r="L56" i="13" s="1"/>
  <c r="M56" i="13" s="1"/>
  <c r="N56" i="13" s="1"/>
  <c r="O56" i="13" s="1"/>
  <c r="P56" i="13" s="1"/>
  <c r="Q56" i="13" s="1"/>
  <c r="R56" i="13" s="1"/>
  <c r="P51" i="13"/>
  <c r="F51" i="13"/>
  <c r="D40" i="13"/>
  <c r="D89" i="13" s="1"/>
  <c r="E39" i="13"/>
  <c r="D30" i="13"/>
  <c r="D29" i="13"/>
  <c r="E35" i="13"/>
  <c r="F39" i="13" l="1"/>
  <c r="B4" i="33"/>
  <c r="G51" i="13"/>
  <c r="H51" i="13" s="1"/>
  <c r="I51" i="13" s="1"/>
  <c r="J51" i="13" s="1"/>
  <c r="K51" i="13" s="1"/>
  <c r="L51" i="13" s="1"/>
  <c r="M51" i="13" s="1"/>
  <c r="Q51" i="13"/>
  <c r="R51" i="13" s="1"/>
  <c r="I49" i="13"/>
  <c r="F40" i="13"/>
  <c r="F34" i="13"/>
  <c r="E34" i="13"/>
  <c r="F35" i="13"/>
  <c r="G39" i="13" l="1"/>
  <c r="B5" i="33"/>
  <c r="E52" i="13"/>
  <c r="G35" i="13"/>
  <c r="G34" i="13"/>
  <c r="G40" i="13"/>
  <c r="J49" i="13"/>
  <c r="H39" i="13" l="1"/>
  <c r="B6" i="33"/>
  <c r="D50" i="13"/>
  <c r="D52" i="13" s="1"/>
  <c r="H35" i="13"/>
  <c r="H40" i="13"/>
  <c r="H34" i="13"/>
  <c r="K49" i="13"/>
  <c r="D27" i="13"/>
  <c r="I39" i="13" l="1"/>
  <c r="B7" i="33"/>
  <c r="D28" i="13"/>
  <c r="D31" i="13" s="1"/>
  <c r="C75" i="13" s="1"/>
  <c r="N2" i="33" s="1"/>
  <c r="G89" i="13"/>
  <c r="G69" i="13" s="1"/>
  <c r="G73" i="13" s="1"/>
  <c r="D69" i="13"/>
  <c r="D73" i="13" s="1"/>
  <c r="F50" i="13"/>
  <c r="F52" i="13" s="1"/>
  <c r="I35" i="13"/>
  <c r="I34" i="13"/>
  <c r="I40" i="13"/>
  <c r="I89" i="13" s="1"/>
  <c r="I69" i="13" s="1"/>
  <c r="I73" i="13" s="1"/>
  <c r="L49" i="13"/>
  <c r="F89" i="13"/>
  <c r="F69" i="13" s="1"/>
  <c r="F73" i="13" s="1"/>
  <c r="H89" i="13"/>
  <c r="H69" i="13" s="1"/>
  <c r="H73" i="13" s="1"/>
  <c r="E89" i="13"/>
  <c r="J39" i="13" l="1"/>
  <c r="B8" i="33"/>
  <c r="C76" i="13"/>
  <c r="O2" i="33" s="1"/>
  <c r="D55" i="13"/>
  <c r="E69" i="13"/>
  <c r="E73" i="13" s="1"/>
  <c r="G50" i="13"/>
  <c r="G52" i="13" s="1"/>
  <c r="E88" i="13"/>
  <c r="F88" i="13" s="1"/>
  <c r="D90" i="13"/>
  <c r="J40" i="13"/>
  <c r="J89" i="13" s="1"/>
  <c r="J69" i="13" s="1"/>
  <c r="J73" i="13" s="1"/>
  <c r="J35" i="13"/>
  <c r="J34" i="13"/>
  <c r="M49" i="13"/>
  <c r="K39" i="13" l="1"/>
  <c r="B9" i="33"/>
  <c r="D60" i="13"/>
  <c r="E60" i="13" s="1"/>
  <c r="H50" i="13"/>
  <c r="H52" i="13" s="1"/>
  <c r="E90" i="13"/>
  <c r="K34" i="13"/>
  <c r="K35" i="13"/>
  <c r="K40" i="13"/>
  <c r="K89" i="13" s="1"/>
  <c r="K69" i="13" s="1"/>
  <c r="K73" i="13" s="1"/>
  <c r="N49" i="13"/>
  <c r="E55" i="13"/>
  <c r="F90" i="13"/>
  <c r="G88" i="13"/>
  <c r="L39" i="13" l="1"/>
  <c r="B10" i="33"/>
  <c r="I50" i="13"/>
  <c r="I52" i="13" s="1"/>
  <c r="L34" i="13"/>
  <c r="L40" i="13"/>
  <c r="L89" i="13" s="1"/>
  <c r="F60" i="13"/>
  <c r="F55" i="13"/>
  <c r="L35" i="13"/>
  <c r="O49" i="13"/>
  <c r="G90" i="13"/>
  <c r="H88" i="13"/>
  <c r="M39" i="13" l="1"/>
  <c r="B11" i="33"/>
  <c r="L69" i="13"/>
  <c r="L73" i="13" s="1"/>
  <c r="J50" i="13"/>
  <c r="J52" i="13" s="1"/>
  <c r="G60" i="13"/>
  <c r="G55" i="13"/>
  <c r="M34" i="13"/>
  <c r="M40" i="13"/>
  <c r="M89" i="13" s="1"/>
  <c r="M69" i="13" s="1"/>
  <c r="M73" i="13" s="1"/>
  <c r="P49" i="13"/>
  <c r="H90" i="13"/>
  <c r="I88" i="13"/>
  <c r="N39" i="13" l="1"/>
  <c r="B12" i="33"/>
  <c r="K50" i="13"/>
  <c r="K52" i="13" s="1"/>
  <c r="N40" i="13"/>
  <c r="N89" i="13" s="1"/>
  <c r="N69" i="13" s="1"/>
  <c r="N73" i="13" s="1"/>
  <c r="N35" i="13"/>
  <c r="H60" i="13"/>
  <c r="H55" i="13"/>
  <c r="N34" i="13"/>
  <c r="Q49" i="13"/>
  <c r="J88" i="13"/>
  <c r="I90" i="13"/>
  <c r="O39" i="13" l="1"/>
  <c r="B13" i="33"/>
  <c r="L50" i="13"/>
  <c r="L52" i="13" s="1"/>
  <c r="I60" i="13"/>
  <c r="I55" i="13"/>
  <c r="O34" i="13"/>
  <c r="O35" i="13"/>
  <c r="O40" i="13"/>
  <c r="O89" i="13" s="1"/>
  <c r="O69" i="13" s="1"/>
  <c r="O73" i="13" s="1"/>
  <c r="R49" i="13"/>
  <c r="J90" i="13"/>
  <c r="K88" i="13"/>
  <c r="P35" i="13"/>
  <c r="P39" i="13" l="1"/>
  <c r="B14" i="33"/>
  <c r="M50" i="13"/>
  <c r="M52" i="13" s="1"/>
  <c r="P34" i="13"/>
  <c r="J60" i="13"/>
  <c r="J55" i="13"/>
  <c r="P40" i="13"/>
  <c r="P89" i="13" s="1"/>
  <c r="P69" i="13" s="1"/>
  <c r="P73" i="13" s="1"/>
  <c r="L88" i="13"/>
  <c r="K90" i="13"/>
  <c r="Q39" i="13" l="1"/>
  <c r="B15" i="33"/>
  <c r="N50" i="13"/>
  <c r="N52" i="13" s="1"/>
  <c r="Q35" i="13"/>
  <c r="K60" i="13"/>
  <c r="K55" i="13"/>
  <c r="Q34" i="13"/>
  <c r="Q40" i="13"/>
  <c r="Q89" i="13" s="1"/>
  <c r="Q69" i="13" s="1"/>
  <c r="Q73" i="13" s="1"/>
  <c r="L90" i="13"/>
  <c r="M88" i="13"/>
  <c r="R39" i="13" l="1"/>
  <c r="B17" i="33" s="1"/>
  <c r="B16" i="33"/>
  <c r="O50" i="13"/>
  <c r="O52" i="13" s="1"/>
  <c r="L60" i="13"/>
  <c r="L55" i="13"/>
  <c r="R34" i="13"/>
  <c r="R40" i="13"/>
  <c r="R89" i="13" s="1"/>
  <c r="N88" i="13"/>
  <c r="M90" i="13"/>
  <c r="R69" i="13" l="1"/>
  <c r="R73" i="13" s="1"/>
  <c r="S89" i="13"/>
  <c r="S90" i="13" s="1"/>
  <c r="P50" i="13"/>
  <c r="P52" i="13" s="1"/>
  <c r="M60" i="13"/>
  <c r="M55" i="13"/>
  <c r="O88" i="13"/>
  <c r="N90" i="13"/>
  <c r="Q50" i="13" l="1"/>
  <c r="Q52" i="13" s="1"/>
  <c r="N60" i="13"/>
  <c r="N55" i="13"/>
  <c r="O90" i="13"/>
  <c r="P88" i="13"/>
  <c r="R50" i="13" l="1"/>
  <c r="R52" i="13" s="1"/>
  <c r="O60" i="13"/>
  <c r="O55" i="13"/>
  <c r="Q88" i="13"/>
  <c r="P90" i="13"/>
  <c r="P60" i="13" l="1"/>
  <c r="P55" i="13"/>
  <c r="Q90" i="13"/>
  <c r="R88" i="13"/>
  <c r="Q60" i="13" l="1"/>
  <c r="Q55" i="13"/>
  <c r="R90" i="13"/>
  <c r="R60" i="13" l="1"/>
  <c r="R55" i="13"/>
  <c r="L10" i="33" l="1"/>
  <c r="L12" i="33"/>
  <c r="L13" i="33"/>
  <c r="L8" i="33"/>
  <c r="L11" i="33"/>
  <c r="L9" i="33"/>
  <c r="L2" i="33"/>
  <c r="L14" i="33"/>
  <c r="L3" i="33"/>
  <c r="L15" i="33"/>
  <c r="L4" i="33"/>
  <c r="L16" i="33"/>
  <c r="L5" i="33"/>
  <c r="L17" i="33"/>
  <c r="L6" i="33"/>
  <c r="L7" i="33"/>
  <c r="D45" i="13"/>
  <c r="D47" i="13" s="1"/>
  <c r="D54" i="13" l="1"/>
  <c r="D62" i="13" s="1"/>
  <c r="E45" i="13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D57" i="13" l="1"/>
  <c r="D65" i="13" s="1"/>
  <c r="I3" i="33"/>
  <c r="D63" i="13"/>
  <c r="F54" i="13"/>
  <c r="F62" i="13" s="1"/>
  <c r="E54" i="13"/>
  <c r="E62" i="13" s="1"/>
  <c r="G54" i="13"/>
  <c r="J3" i="33" l="1"/>
  <c r="D58" i="13"/>
  <c r="F63" i="13"/>
  <c r="I5" i="33"/>
  <c r="E63" i="13"/>
  <c r="I4" i="33"/>
  <c r="F57" i="13"/>
  <c r="J5" i="33" s="1"/>
  <c r="E57" i="13"/>
  <c r="D74" i="13"/>
  <c r="D68" i="13"/>
  <c r="D70" i="13" s="1"/>
  <c r="D71" i="13" s="1"/>
  <c r="D72" i="13" s="1"/>
  <c r="H54" i="13"/>
  <c r="G62" i="13"/>
  <c r="G57" i="13"/>
  <c r="J4" i="33" l="1"/>
  <c r="G58" i="13"/>
  <c r="J6" i="33"/>
  <c r="G63" i="13"/>
  <c r="I6" i="33"/>
  <c r="E65" i="13"/>
  <c r="E68" i="13" s="1"/>
  <c r="E70" i="13" s="1"/>
  <c r="E71" i="13" s="1"/>
  <c r="E72" i="13" s="1"/>
  <c r="E58" i="13"/>
  <c r="F65" i="13"/>
  <c r="F68" i="13" s="1"/>
  <c r="F70" i="13" s="1"/>
  <c r="F58" i="13"/>
  <c r="D75" i="13"/>
  <c r="N3" i="33" s="1"/>
  <c r="I54" i="13"/>
  <c r="H62" i="13"/>
  <c r="H57" i="13"/>
  <c r="G65" i="13"/>
  <c r="H58" i="13" l="1"/>
  <c r="J7" i="33"/>
  <c r="H63" i="13"/>
  <c r="I7" i="33"/>
  <c r="E74" i="13"/>
  <c r="E75" i="13" s="1"/>
  <c r="N4" i="33" s="1"/>
  <c r="F74" i="13"/>
  <c r="D76" i="13"/>
  <c r="O3" i="33" s="1"/>
  <c r="F71" i="13"/>
  <c r="F72" i="13" s="1"/>
  <c r="F75" i="13" s="1"/>
  <c r="N5" i="33" s="1"/>
  <c r="G68" i="13"/>
  <c r="G70" i="13" s="1"/>
  <c r="G74" i="13"/>
  <c r="H65" i="13"/>
  <c r="J54" i="13"/>
  <c r="I57" i="13"/>
  <c r="I62" i="13"/>
  <c r="I58" i="13" l="1"/>
  <c r="J8" i="33"/>
  <c r="I63" i="13"/>
  <c r="I8" i="33"/>
  <c r="F76" i="13"/>
  <c r="O5" i="33" s="1"/>
  <c r="E76" i="13"/>
  <c r="O4" i="33" s="1"/>
  <c r="H74" i="13"/>
  <c r="H68" i="13"/>
  <c r="H70" i="13" s="1"/>
  <c r="I65" i="13"/>
  <c r="G71" i="13"/>
  <c r="G72" i="13" s="1"/>
  <c r="G75" i="13" s="1"/>
  <c r="N6" i="33" s="1"/>
  <c r="K54" i="13"/>
  <c r="J57" i="13"/>
  <c r="J62" i="13"/>
  <c r="J63" i="13" l="1"/>
  <c r="I9" i="33"/>
  <c r="J58" i="13"/>
  <c r="J9" i="33"/>
  <c r="G76" i="13"/>
  <c r="O6" i="33" s="1"/>
  <c r="L54" i="13"/>
  <c r="L62" i="13" s="1"/>
  <c r="I11" i="33" s="1"/>
  <c r="H71" i="13"/>
  <c r="H72" i="13" s="1"/>
  <c r="H75" i="13" s="1"/>
  <c r="N7" i="33" s="1"/>
  <c r="J65" i="13"/>
  <c r="K57" i="13"/>
  <c r="K62" i="13"/>
  <c r="I68" i="13"/>
  <c r="I70" i="13" s="1"/>
  <c r="I74" i="13"/>
  <c r="K63" i="13" l="1"/>
  <c r="I10" i="33"/>
  <c r="K58" i="13"/>
  <c r="J10" i="33"/>
  <c r="H76" i="13"/>
  <c r="O7" i="33" s="1"/>
  <c r="K65" i="13"/>
  <c r="J68" i="13"/>
  <c r="J70" i="13" s="1"/>
  <c r="J74" i="13"/>
  <c r="I71" i="13"/>
  <c r="I72" i="13" s="1"/>
  <c r="I75" i="13" s="1"/>
  <c r="N8" i="33" s="1"/>
  <c r="M54" i="13"/>
  <c r="M62" i="13" s="1"/>
  <c r="I12" i="33" s="1"/>
  <c r="L63" i="13"/>
  <c r="L57" i="13"/>
  <c r="L58" i="13" l="1"/>
  <c r="J11" i="33"/>
  <c r="I76" i="13"/>
  <c r="O8" i="33" s="1"/>
  <c r="N54" i="13"/>
  <c r="L65" i="13"/>
  <c r="K68" i="13"/>
  <c r="K70" i="13" s="1"/>
  <c r="K74" i="13"/>
  <c r="M63" i="13"/>
  <c r="M57" i="13"/>
  <c r="J71" i="13"/>
  <c r="J72" i="13" s="1"/>
  <c r="J75" i="13" s="1"/>
  <c r="N9" i="33" s="1"/>
  <c r="M58" i="13" l="1"/>
  <c r="J12" i="33"/>
  <c r="J76" i="13"/>
  <c r="O9" i="33" s="1"/>
  <c r="N57" i="13"/>
  <c r="N62" i="13"/>
  <c r="K71" i="13"/>
  <c r="K72" i="13" s="1"/>
  <c r="K75" i="13" s="1"/>
  <c r="O54" i="13"/>
  <c r="M65" i="13"/>
  <c r="L74" i="13"/>
  <c r="L68" i="13"/>
  <c r="L70" i="13" s="1"/>
  <c r="N63" i="13" l="1"/>
  <c r="I13" i="33"/>
  <c r="K76" i="13"/>
  <c r="O10" i="33" s="1"/>
  <c r="N10" i="33"/>
  <c r="N58" i="13"/>
  <c r="J13" i="33"/>
  <c r="P54" i="13"/>
  <c r="N65" i="13"/>
  <c r="L71" i="13"/>
  <c r="L72" i="13" s="1"/>
  <c r="L75" i="13" s="1"/>
  <c r="O57" i="13"/>
  <c r="O62" i="13"/>
  <c r="M74" i="13"/>
  <c r="M68" i="13"/>
  <c r="M70" i="13" s="1"/>
  <c r="L76" i="13" l="1"/>
  <c r="O11" i="33" s="1"/>
  <c r="N11" i="33"/>
  <c r="O63" i="13"/>
  <c r="I14" i="33"/>
  <c r="O58" i="13"/>
  <c r="J14" i="33"/>
  <c r="O65" i="13"/>
  <c r="P57" i="13"/>
  <c r="P62" i="13"/>
  <c r="M71" i="13"/>
  <c r="M72" i="13" s="1"/>
  <c r="M75" i="13" s="1"/>
  <c r="N74" i="13"/>
  <c r="N68" i="13"/>
  <c r="N70" i="13" s="1"/>
  <c r="R54" i="13"/>
  <c r="Q54" i="13"/>
  <c r="P63" i="13" l="1"/>
  <c r="I15" i="33"/>
  <c r="M76" i="13"/>
  <c r="O12" i="33" s="1"/>
  <c r="N12" i="33"/>
  <c r="P58" i="13"/>
  <c r="J15" i="33"/>
  <c r="N71" i="13"/>
  <c r="N72" i="13" s="1"/>
  <c r="N75" i="13" s="1"/>
  <c r="O68" i="13"/>
  <c r="O70" i="13" s="1"/>
  <c r="O74" i="13"/>
  <c r="P65" i="13"/>
  <c r="R62" i="13"/>
  <c r="R57" i="13"/>
  <c r="Q57" i="13"/>
  <c r="Q62" i="13"/>
  <c r="J17" i="33" l="1"/>
  <c r="S57" i="13"/>
  <c r="I17" i="33"/>
  <c r="S62" i="13"/>
  <c r="N76" i="13"/>
  <c r="N13" i="33"/>
  <c r="Q63" i="13"/>
  <c r="I16" i="33"/>
  <c r="Q58" i="13"/>
  <c r="J16" i="33"/>
  <c r="R63" i="13"/>
  <c r="E84" i="13"/>
  <c r="R58" i="13"/>
  <c r="Q65" i="13"/>
  <c r="P74" i="13"/>
  <c r="P68" i="13"/>
  <c r="P70" i="13" s="1"/>
  <c r="O71" i="13"/>
  <c r="O72" i="13" s="1"/>
  <c r="O75" i="13" s="1"/>
  <c r="R65" i="13"/>
  <c r="O76" i="13" l="1"/>
  <c r="O14" i="33" s="1"/>
  <c r="N14" i="33"/>
  <c r="E152" i="13"/>
  <c r="F152" i="13" s="1"/>
  <c r="T2" i="33"/>
  <c r="E81" i="13"/>
  <c r="O13" i="33"/>
  <c r="T4" i="33"/>
  <c r="T16" i="33"/>
  <c r="T5" i="33"/>
  <c r="T17" i="33"/>
  <c r="T6" i="33"/>
  <c r="T7" i="33"/>
  <c r="T13" i="33"/>
  <c r="T8" i="33"/>
  <c r="T9" i="33"/>
  <c r="T10" i="33"/>
  <c r="T11" i="33"/>
  <c r="T12" i="33"/>
  <c r="T14" i="33"/>
  <c r="T3" i="33"/>
  <c r="T15" i="33"/>
  <c r="R74" i="13"/>
  <c r="R35" i="13" s="1"/>
  <c r="R68" i="13"/>
  <c r="R70" i="13" s="1"/>
  <c r="Q68" i="13"/>
  <c r="Q70" i="13" s="1"/>
  <c r="Q74" i="13"/>
  <c r="M35" i="13" s="1"/>
  <c r="P71" i="13"/>
  <c r="P72" i="13" s="1"/>
  <c r="P75" i="13" s="1"/>
  <c r="Y5" i="33" l="1"/>
  <c r="Y17" i="33"/>
  <c r="Y7" i="33"/>
  <c r="Y2" i="33"/>
  <c r="Y3" i="33"/>
  <c r="Y6" i="33"/>
  <c r="Y16" i="33"/>
  <c r="Y8" i="33"/>
  <c r="Y10" i="33"/>
  <c r="Y9" i="33"/>
  <c r="Y11" i="33"/>
  <c r="Y12" i="33"/>
  <c r="Y13" i="33"/>
  <c r="Y14" i="33"/>
  <c r="Y15" i="33"/>
  <c r="Y4" i="33"/>
  <c r="P76" i="13"/>
  <c r="O15" i="33" s="1"/>
  <c r="N15" i="33"/>
  <c r="R2" i="33"/>
  <c r="E150" i="13"/>
  <c r="R12" i="33"/>
  <c r="R8" i="33"/>
  <c r="R9" i="33"/>
  <c r="R3" i="33"/>
  <c r="R15" i="33"/>
  <c r="R4" i="33"/>
  <c r="R5" i="33"/>
  <c r="R10" i="33"/>
  <c r="R6" i="33"/>
  <c r="R13" i="33"/>
  <c r="R17" i="33"/>
  <c r="R16" i="33"/>
  <c r="R7" i="33"/>
  <c r="R14" i="33"/>
  <c r="R11" i="33"/>
  <c r="R71" i="13"/>
  <c r="R72" i="13" s="1"/>
  <c r="R75" i="13" s="1"/>
  <c r="Q71" i="13"/>
  <c r="Q72" i="13" s="1"/>
  <c r="Q75" i="13" s="1"/>
  <c r="E80" i="13" l="1"/>
  <c r="G80" i="13" s="1"/>
  <c r="N17" i="33"/>
  <c r="Q76" i="13"/>
  <c r="O16" i="33" s="1"/>
  <c r="N16" i="33"/>
  <c r="E79" i="13"/>
  <c r="R76" i="13"/>
  <c r="S75" i="13"/>
  <c r="P7" i="33" l="1"/>
  <c r="P9" i="33"/>
  <c r="P17" i="33"/>
  <c r="P8" i="33"/>
  <c r="E148" i="13"/>
  <c r="F148" i="13" s="1"/>
  <c r="P13" i="33"/>
  <c r="P2" i="33"/>
  <c r="P3" i="33"/>
  <c r="P16" i="33"/>
  <c r="P10" i="33"/>
  <c r="P4" i="33"/>
  <c r="P11" i="33"/>
  <c r="P12" i="33"/>
  <c r="P14" i="33"/>
  <c r="P15" i="33"/>
  <c r="P5" i="33"/>
  <c r="P6" i="33"/>
  <c r="S76" i="13"/>
  <c r="O17" i="33"/>
  <c r="G81" i="13"/>
  <c r="G82" i="13"/>
  <c r="Q12" i="33"/>
  <c r="E149" i="13"/>
  <c r="F149" i="13" s="1"/>
  <c r="Q13" i="33"/>
  <c r="Q14" i="33"/>
  <c r="Q3" i="33"/>
  <c r="Q15" i="33"/>
  <c r="Q10" i="33"/>
  <c r="Q11" i="33"/>
  <c r="Q4" i="33"/>
  <c r="Q16" i="33"/>
  <c r="Q6" i="33"/>
  <c r="Q7" i="33"/>
  <c r="Q9" i="33"/>
  <c r="Q5" i="33"/>
  <c r="Q17" i="33"/>
  <c r="Q2" i="33"/>
  <c r="Q8" i="33"/>
  <c r="E83" i="13"/>
  <c r="E82" i="13"/>
  <c r="V4" i="33" l="1"/>
  <c r="V16" i="33"/>
  <c r="V5" i="33"/>
  <c r="V17" i="33"/>
  <c r="V6" i="33"/>
  <c r="V13" i="33"/>
  <c r="V2" i="33"/>
  <c r="V3" i="33"/>
  <c r="V7" i="33"/>
  <c r="V9" i="33"/>
  <c r="V10" i="33"/>
  <c r="V11" i="33"/>
  <c r="V8" i="33"/>
  <c r="V12" i="33"/>
  <c r="V14" i="33"/>
  <c r="V15" i="33"/>
  <c r="AO9" i="33"/>
  <c r="AO11" i="33"/>
  <c r="AO10" i="33"/>
  <c r="AO16" i="33"/>
  <c r="AO2" i="33"/>
  <c r="AO7" i="33"/>
  <c r="AO12" i="33"/>
  <c r="AO15" i="33"/>
  <c r="AO17" i="33"/>
  <c r="AO13" i="33"/>
  <c r="AO14" i="33"/>
  <c r="AO3" i="33"/>
  <c r="AO4" i="33"/>
  <c r="AO5" i="33"/>
  <c r="AO6" i="33"/>
  <c r="AO8" i="33"/>
  <c r="E151" i="13"/>
  <c r="F151" i="13" s="1"/>
  <c r="S2" i="33"/>
  <c r="U12" i="33"/>
  <c r="U14" i="33"/>
  <c r="U13" i="33"/>
  <c r="U2" i="33"/>
  <c r="U9" i="33"/>
  <c r="U10" i="33"/>
  <c r="U3" i="33"/>
  <c r="U15" i="33"/>
  <c r="U17" i="33"/>
  <c r="U8" i="33"/>
  <c r="U11" i="33"/>
  <c r="U4" i="33"/>
  <c r="U16" i="33"/>
  <c r="U5" i="33"/>
  <c r="U6" i="33"/>
  <c r="U7" i="33"/>
  <c r="AP3" i="33"/>
  <c r="AP15" i="33"/>
  <c r="AP4" i="33"/>
  <c r="AP16" i="33"/>
  <c r="AP6" i="33"/>
  <c r="AP7" i="33"/>
  <c r="AP8" i="33"/>
  <c r="AP9" i="33"/>
  <c r="AP12" i="33"/>
  <c r="AP14" i="33"/>
  <c r="AP5" i="33"/>
  <c r="AP17" i="33"/>
  <c r="AP2" i="33"/>
  <c r="AP10" i="33"/>
  <c r="AP13" i="33"/>
  <c r="AP11" i="33"/>
  <c r="F150" i="13"/>
  <c r="M13" i="33"/>
  <c r="M3" i="33"/>
  <c r="M11" i="33"/>
  <c r="M14" i="33"/>
  <c r="M15" i="33"/>
  <c r="M9" i="33"/>
  <c r="M12" i="33"/>
  <c r="M4" i="33"/>
  <c r="M16" i="33"/>
  <c r="M10" i="33"/>
  <c r="M5" i="33"/>
  <c r="M17" i="33"/>
  <c r="M7" i="33"/>
  <c r="M8" i="33"/>
  <c r="M6" i="33"/>
  <c r="M2" i="33"/>
  <c r="S13" i="33"/>
  <c r="S14" i="33"/>
  <c r="S3" i="33"/>
  <c r="S15" i="33"/>
  <c r="S4" i="33"/>
  <c r="S16" i="33"/>
  <c r="S7" i="33"/>
  <c r="S5" i="33"/>
  <c r="S17" i="33"/>
  <c r="S6" i="33"/>
  <c r="S10" i="33"/>
  <c r="S8" i="33"/>
  <c r="S9" i="33"/>
  <c r="S11" i="33"/>
  <c r="S12" i="33"/>
  <c r="X14" i="33" l="1"/>
  <c r="X16" i="33"/>
  <c r="X2" i="33"/>
  <c r="X3" i="33"/>
  <c r="X15" i="33"/>
  <c r="X4" i="33"/>
  <c r="X10" i="33"/>
  <c r="X11" i="33"/>
  <c r="X12" i="33"/>
  <c r="X5" i="33"/>
  <c r="X17" i="33"/>
  <c r="X8" i="33"/>
  <c r="X9" i="33"/>
  <c r="X13" i="33"/>
  <c r="X6" i="33"/>
  <c r="X7" i="33"/>
  <c r="G148" i="13"/>
  <c r="W11" i="33"/>
  <c r="W17" i="33"/>
  <c r="W12" i="33"/>
  <c r="W13" i="33"/>
  <c r="W5" i="33"/>
  <c r="W6" i="33"/>
  <c r="W10" i="33"/>
  <c r="W14" i="33"/>
  <c r="W4" i="33"/>
  <c r="W7" i="33"/>
  <c r="W8" i="33"/>
  <c r="W9" i="33"/>
  <c r="W3" i="33"/>
  <c r="W15" i="33"/>
  <c r="W16" i="33"/>
  <c r="W2" i="33"/>
  <c r="AJ5" i="33" l="1"/>
  <c r="AJ17" i="33"/>
  <c r="AJ3" i="33"/>
  <c r="AJ6" i="33"/>
  <c r="AJ2" i="33"/>
  <c r="AJ7" i="33"/>
  <c r="AJ15" i="33"/>
  <c r="AJ4" i="33"/>
  <c r="AJ8" i="33"/>
  <c r="AJ11" i="33"/>
  <c r="AJ9" i="33"/>
  <c r="AJ13" i="33"/>
  <c r="AJ16" i="33"/>
  <c r="AJ10" i="33"/>
  <c r="AJ12" i="33"/>
  <c r="AJ14" i="33"/>
  <c r="G158" i="13"/>
  <c r="F159" i="13" l="1"/>
  <c r="G159" i="13"/>
  <c r="AL13" i="33"/>
  <c r="AL3" i="33"/>
  <c r="AL12" i="33"/>
  <c r="AL14" i="33"/>
  <c r="AL15" i="33"/>
  <c r="AL4" i="33"/>
  <c r="AL16" i="33"/>
  <c r="AL7" i="33"/>
  <c r="AL10" i="33"/>
  <c r="AL5" i="33"/>
  <c r="AL17" i="33"/>
  <c r="AL11" i="33"/>
  <c r="AL6" i="33"/>
  <c r="AL2" i="33"/>
  <c r="AL8" i="33"/>
  <c r="AL9" i="33"/>
  <c r="AM3" i="33" l="1"/>
  <c r="AM17" i="33"/>
  <c r="AM6" i="33"/>
  <c r="AM2" i="33"/>
  <c r="AM7" i="33"/>
  <c r="AM8" i="33"/>
  <c r="AM9" i="33"/>
  <c r="AM10" i="33"/>
  <c r="AM11" i="33"/>
  <c r="AM12" i="33"/>
  <c r="AM13" i="33"/>
  <c r="AM14" i="33"/>
  <c r="AM15" i="33"/>
  <c r="AM16" i="33"/>
  <c r="AM5" i="33"/>
  <c r="AM4" i="33"/>
  <c r="AN5" i="33"/>
  <c r="AQ5" i="33" s="1"/>
  <c r="AN17" i="33"/>
  <c r="AQ17" i="33" s="1"/>
  <c r="AN7" i="33"/>
  <c r="AQ7" i="33" s="1"/>
  <c r="AN6" i="33"/>
  <c r="AQ6" i="33" s="1"/>
  <c r="AN2" i="33"/>
  <c r="AQ2" i="33" s="1"/>
  <c r="AN11" i="33"/>
  <c r="AQ11" i="33" s="1"/>
  <c r="AN12" i="33"/>
  <c r="AQ12" i="33" s="1"/>
  <c r="AN13" i="33"/>
  <c r="AQ13" i="33" s="1"/>
  <c r="AN8" i="33"/>
  <c r="AQ8" i="33" s="1"/>
  <c r="AN15" i="33"/>
  <c r="AQ15" i="33" s="1"/>
  <c r="AN4" i="33"/>
  <c r="AQ4" i="33" s="1"/>
  <c r="AN9" i="33"/>
  <c r="AQ9" i="33" s="1"/>
  <c r="AN14" i="33"/>
  <c r="AQ14" i="33" s="1"/>
  <c r="AN16" i="33"/>
  <c r="AQ16" i="33" s="1"/>
  <c r="AN10" i="33"/>
  <c r="AQ10" i="33" s="1"/>
  <c r="AN3" i="33"/>
  <c r="AQ3" i="3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A3237-6A27-4C5F-A93A-C2E41C4760B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2F57CA-5268-4875-AF82-24B0BAEB5B79}" name="WorksheetConnection_Dashboard Analisis kelayakan 7 MTT 2019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DashboardAnalisiskelayakan7MTT2019.xlsxTable2"/>
        </x15:connection>
      </ext>
    </extLst>
  </connection>
</connections>
</file>

<file path=xl/sharedStrings.xml><?xml version="1.0" encoding="utf-8"?>
<sst xmlns="http://schemas.openxmlformats.org/spreadsheetml/2006/main" count="686" uniqueCount="296">
  <si>
    <t>NO</t>
  </si>
  <si>
    <t>DAOP / DIVRE</t>
  </si>
  <si>
    <t>Daop 2 Bd</t>
  </si>
  <si>
    <t>Daop 3 Cn</t>
  </si>
  <si>
    <t>Daop 4 Sm</t>
  </si>
  <si>
    <t>Daop 5 Pwt</t>
  </si>
  <si>
    <t>Daop 6 Yk</t>
  </si>
  <si>
    <t>Daop 7 Mn</t>
  </si>
  <si>
    <t>Daop 8 Sb</t>
  </si>
  <si>
    <t>Daop 9 Jr</t>
  </si>
  <si>
    <t>JENIS MTT</t>
  </si>
  <si>
    <t>NOMOR MESIN</t>
  </si>
  <si>
    <t>TAHUN PEMBUATAN</t>
  </si>
  <si>
    <t>07-16 G</t>
  </si>
  <si>
    <t>08-16 GS</t>
  </si>
  <si>
    <t>B40-UE MATTISA</t>
  </si>
  <si>
    <t>08-16 GS UN</t>
  </si>
  <si>
    <t>08-16 GS UM</t>
  </si>
  <si>
    <t>08-32 DE MATTISA</t>
  </si>
  <si>
    <t>08-32 U</t>
  </si>
  <si>
    <t>09-16 CAT</t>
  </si>
  <si>
    <t>09-16 CSM</t>
  </si>
  <si>
    <t>09-32 CSM</t>
  </si>
  <si>
    <t>WILAYAH</t>
  </si>
  <si>
    <t>UTILITAS MTT (JAM)</t>
  </si>
  <si>
    <t>TARGET</t>
  </si>
  <si>
    <t>(JAM)</t>
  </si>
  <si>
    <t xml:space="preserve">PROSENTASE </t>
  </si>
  <si>
    <t>(%)</t>
  </si>
  <si>
    <t>RATA-RATA</t>
  </si>
  <si>
    <t>Daop 1 Jak</t>
  </si>
  <si>
    <t>Jumlah</t>
  </si>
  <si>
    <t>URAIAN</t>
  </si>
  <si>
    <t>INITIAL INVESTMENT</t>
  </si>
  <si>
    <t>CASHFLOW DETAILS</t>
  </si>
  <si>
    <t>DISCOUNT RATE</t>
  </si>
  <si>
    <t>Approach (1:Direct;2:CAPM)</t>
  </si>
  <si>
    <t>Opportunity cost (if any)</t>
  </si>
  <si>
    <t>expenses</t>
  </si>
  <si>
    <t>-</t>
  </si>
  <si>
    <t xml:space="preserve">1. Discount rate </t>
  </si>
  <si>
    <t>Lifetime of the investment</t>
  </si>
  <si>
    <t>2a. Beta</t>
  </si>
  <si>
    <t>Salvage Value at end of project</t>
  </si>
  <si>
    <t>Tax rate on net income</t>
  </si>
  <si>
    <t xml:space="preserve"> b. Riskless rate</t>
  </si>
  <si>
    <t>Deprec. Method (1:St.line;2:DDB)</t>
  </si>
  <si>
    <t xml:space="preserve"> c. Market risk premium </t>
  </si>
  <si>
    <t>Tax Credit (if any )</t>
  </si>
  <si>
    <t xml:space="preserve"> d. Debt Ratio </t>
  </si>
  <si>
    <t>Other invest.(non-depreciable)</t>
  </si>
  <si>
    <t xml:space="preserve"> e. Cost of Borrowing </t>
  </si>
  <si>
    <t>Discount rate used</t>
  </si>
  <si>
    <t>WORKING CAPITAL</t>
  </si>
  <si>
    <t>WACC korporat</t>
  </si>
  <si>
    <t>Initial Investment in Work. Cap</t>
  </si>
  <si>
    <t>Working Capital as % of Rev</t>
  </si>
  <si>
    <t>Salvageable fraction at end</t>
  </si>
  <si>
    <t>GROWTH RATES</t>
  </si>
  <si>
    <t>Cost Savings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</si>
  <si>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</si>
  <si>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</si>
  <si>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</si>
  <si>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</si>
  <si>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</si>
  <si>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</si>
  <si>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>Initial Investment</t>
  </si>
  <si>
    <t>SALVAGE VALUE</t>
  </si>
  <si>
    <t>Equipment</t>
  </si>
  <si>
    <t>Working Capital</t>
  </si>
  <si>
    <t>OPERATING CASHFLOWS</t>
  </si>
  <si>
    <t>Year</t>
  </si>
  <si>
    <t>Lifetime Index</t>
  </si>
  <si>
    <t>Penurunan kapasitas produksi mesin (%)</t>
  </si>
  <si>
    <t>Biaya pekerjaan pemecokan per tahun (Milyar Rp)</t>
  </si>
  <si>
    <t>EBITDA</t>
  </si>
  <si>
    <t>Depreciation</t>
  </si>
  <si>
    <t>EBIT</t>
  </si>
  <si>
    <t>Tax</t>
  </si>
  <si>
    <t>EBIT(1-t)</t>
  </si>
  <si>
    <t xml:space="preserve"> + Depreciation</t>
  </si>
  <si>
    <t xml:space="preserve"> - ∂ Work. Cap</t>
  </si>
  <si>
    <t>After-tax NCF</t>
  </si>
  <si>
    <t>Investment Measures</t>
  </si>
  <si>
    <t>NPV =</t>
  </si>
  <si>
    <t>Milyar Rp</t>
  </si>
  <si>
    <t>IRR =</t>
  </si>
  <si>
    <t>BOOK VALUE &amp; DEPRECIATION</t>
  </si>
  <si>
    <t>Book Value (beginning)</t>
  </si>
  <si>
    <t>BV (ending)</t>
  </si>
  <si>
    <t>IRR</t>
  </si>
  <si>
    <t>Kapasitas produksi 1 unit MTT baru per tahun  (M'Sp)</t>
  </si>
  <si>
    <t>Tahun</t>
  </si>
  <si>
    <t>Divre I Su</t>
  </si>
  <si>
    <t>Divre II Sumbar</t>
  </si>
  <si>
    <t>Divre IV Tnk</t>
  </si>
  <si>
    <t>Divre III Pg</t>
  </si>
  <si>
    <t>UMUR MESIN (TH)</t>
  </si>
  <si>
    <t>KEPEMILIKAN</t>
  </si>
  <si>
    <t>MILIK PT.KAI</t>
  </si>
  <si>
    <t>RENTANG UMUR (TH)</t>
  </si>
  <si>
    <t>&gt; 30</t>
  </si>
  <si>
    <t>15 - 30</t>
  </si>
  <si>
    <t>0 - 15</t>
  </si>
  <si>
    <t>JENIS GANGGUAN</t>
  </si>
  <si>
    <t>ELEKTRIK</t>
  </si>
  <si>
    <t>ENGINE</t>
  </si>
  <si>
    <t>MEKANIK</t>
  </si>
  <si>
    <t>PNEUMATIK</t>
  </si>
  <si>
    <t>HIDROLIK</t>
  </si>
  <si>
    <t>LAINNYA</t>
  </si>
  <si>
    <t>TOTAL</t>
  </si>
  <si>
    <t>KET</t>
  </si>
  <si>
    <t>KEBUTUHAN PEMECOKAN</t>
  </si>
  <si>
    <t>Kebutuhan pemecokan per tahun  (M'Sp)</t>
  </si>
  <si>
    <t>Biaya pekerjaan pemecokan per m'sp (Rp)</t>
  </si>
  <si>
    <t>Kenaikan biaya pemecokan per tahun (%)</t>
  </si>
  <si>
    <t>Biaya pekerjaan pemecokan per M'Sp (Rp)</t>
  </si>
  <si>
    <t>Kenaikan biaya pemecokan (%)</t>
  </si>
  <si>
    <t>Jumlah total</t>
  </si>
  <si>
    <t>I</t>
  </si>
  <si>
    <t>JAWA</t>
  </si>
  <si>
    <t>II</t>
  </si>
  <si>
    <t>SUMATERA</t>
  </si>
  <si>
    <t>Kenaikan kebutuhan pemecokan per tahun  (M'Sp)</t>
  </si>
  <si>
    <t>Beban pemecokan (M'Sp)</t>
  </si>
  <si>
    <t>SO</t>
  </si>
  <si>
    <t>DAFTAR MTT EKSISTING TH.2018</t>
  </si>
  <si>
    <t>KEBUTUHAN MESIN TURN OUT</t>
  </si>
  <si>
    <t>CATATAN</t>
  </si>
  <si>
    <t>DAFTAR KEBUTUHAN TAMBAHAN MTT BARU</t>
  </si>
  <si>
    <t>INVESTASI</t>
  </si>
  <si>
    <t>08-75 GS</t>
  </si>
  <si>
    <t>TSO</t>
  </si>
  <si>
    <t>JML TOTAL</t>
  </si>
  <si>
    <t xml:space="preserve">DAFTAR MTT EKSISTING PT.KAI (PERSERO) TAHUN 2018 BERDASARKAN UMUR </t>
  </si>
  <si>
    <t>MTT YANG AKAN DIREMAJAKAN PADA TAHUN 2019</t>
  </si>
  <si>
    <t xml:space="preserve">                                            </t>
  </si>
  <si>
    <t>Kapasitas produksi 7 unit MTT baru per tahun (M'Sp)</t>
  </si>
  <si>
    <t>KAPASITAS PRODUKSI MESIN (M'SP/JAM)</t>
  </si>
  <si>
    <t>DATA MTT EKSISTING MILIK PT. KAI (PERSERO)  TH.2018</t>
  </si>
  <si>
    <t>Harga 1 unit MTT</t>
  </si>
  <si>
    <t>Inflasi per tahun</t>
  </si>
  <si>
    <t>Pajak badan per tahun</t>
  </si>
  <si>
    <t>WACC Corporate</t>
  </si>
  <si>
    <t>Initial Investment (Rp Milyar)</t>
  </si>
  <si>
    <t>NILAI</t>
  </si>
  <si>
    <t>GANGGUAN PADA MTT TAHUN 2018</t>
  </si>
  <si>
    <t>Divre 3.SS</t>
  </si>
  <si>
    <t>Divre 4 Tnk</t>
  </si>
  <si>
    <t>Divre 2 SB</t>
  </si>
  <si>
    <t>Divre 1 SU</t>
  </si>
  <si>
    <t>PROGRAM DAN REALISASI JAM KERJA BERDASARKAN WINDOW TIME TH.2018</t>
  </si>
  <si>
    <t>JUNI</t>
  </si>
  <si>
    <t>JULI</t>
  </si>
  <si>
    <t>AGUSTUS</t>
  </si>
  <si>
    <t>KEBUTUHAN MESIN GONGSOL</t>
  </si>
  <si>
    <t>Rencana pengadaan tahun 2018 MTT Plain track 6 unit dan MTT Wesel 4 unit</t>
  </si>
  <si>
    <t>Sisa kebutuhan mesin Plain Track = 21 unit ; Turn Out = 4 unit ; Gongsol = 4 unit</t>
  </si>
  <si>
    <t>KEBUTUHAN MESIN PLAIN TRACK</t>
  </si>
  <si>
    <t>BIAYA PEMECOKAN DENGAN HTT</t>
  </si>
  <si>
    <t>BIAYA PEMECOKAN DENGAN MTT</t>
  </si>
  <si>
    <t>===&gt;</t>
  </si>
  <si>
    <t>PRODUKTIFITAS MESIN (M'SP/JAM)</t>
  </si>
  <si>
    <t>MTT YANG AKAN DIREMAJAKAN PADA TAHUN 2020</t>
  </si>
  <si>
    <t>07-18 GS</t>
  </si>
  <si>
    <t>MTT YANG AKAN DIREMAJAKAN PADA TAHUN 2021</t>
  </si>
  <si>
    <t>MTT YANG AKAN DIREMAJAKAN PADA TAHUN 2022</t>
  </si>
  <si>
    <t>PP=</t>
  </si>
  <si>
    <t>PI=</t>
  </si>
  <si>
    <t>BCR=</t>
  </si>
  <si>
    <t>ROI=</t>
  </si>
  <si>
    <t>Accumulated NCF</t>
  </si>
  <si>
    <t>Present Value Benefit</t>
  </si>
  <si>
    <t>No</t>
  </si>
  <si>
    <t>Title</t>
  </si>
  <si>
    <t>Cost of Capital</t>
  </si>
  <si>
    <t>Life Time Investment</t>
  </si>
  <si>
    <t>Salvage Value</t>
  </si>
  <si>
    <t>Revenue</t>
  </si>
  <si>
    <t>OPEX</t>
  </si>
  <si>
    <t>Inflasi</t>
  </si>
  <si>
    <t>Kebutuhan Pemecokan Tahun 2019</t>
  </si>
  <si>
    <t>Net Cashflow</t>
  </si>
  <si>
    <t>Accumulated Net Cashflow</t>
  </si>
  <si>
    <t>Hasil NPV</t>
  </si>
  <si>
    <t>Hasil IRR</t>
  </si>
  <si>
    <t>Hasil PP</t>
  </si>
  <si>
    <t>Hasil PI</t>
  </si>
  <si>
    <t>Hasil BCR</t>
  </si>
  <si>
    <t>Hasil Financial</t>
  </si>
  <si>
    <t>Hasil Safety</t>
  </si>
  <si>
    <t>Jumlah Skor</t>
  </si>
  <si>
    <t>Project Feasibility</t>
  </si>
  <si>
    <t>Financial Feasibility</t>
  </si>
  <si>
    <t>Investment Decision</t>
  </si>
  <si>
    <t>Biop MTT</t>
  </si>
  <si>
    <t>ANALISIS KELAYAKAN KESELAMATAN | INVESTASI PENGADAAN 7 UNIT MTT 09-32</t>
  </si>
  <si>
    <t>Kriteria</t>
  </si>
  <si>
    <t>Pernyataan</t>
  </si>
  <si>
    <t>Panelis 1</t>
  </si>
  <si>
    <t>Panelis 2</t>
  </si>
  <si>
    <t>Panelis 3</t>
  </si>
  <si>
    <t>Panelis 4</t>
  </si>
  <si>
    <t>Panelis 5</t>
  </si>
  <si>
    <t>Keterangan</t>
  </si>
  <si>
    <t>Policy</t>
  </si>
  <si>
    <t>Plan</t>
  </si>
  <si>
    <t>Do</t>
  </si>
  <si>
    <t>Check</t>
  </si>
  <si>
    <t>Action</t>
  </si>
  <si>
    <t>KRITERIA KELAYAKAN INVESTASI</t>
  </si>
  <si>
    <t>BIDANG</t>
  </si>
  <si>
    <t>Bobot</t>
  </si>
  <si>
    <t>Fungsi SK1</t>
  </si>
  <si>
    <t>Hasil SK1</t>
  </si>
  <si>
    <t>Sum</t>
  </si>
  <si>
    <t>FINANCIAL</t>
  </si>
  <si>
    <t>NPV</t>
  </si>
  <si>
    <t>PP</t>
  </si>
  <si>
    <t>PI</t>
  </si>
  <si>
    <t>BCR</t>
  </si>
  <si>
    <t>SAFETY</t>
  </si>
  <si>
    <t>Total Nilai Keputusan Investasi</t>
  </si>
  <si>
    <t>Hasil Keputusan Investasi</t>
  </si>
  <si>
    <t>Panelis 6</t>
  </si>
  <si>
    <t>Panelis 7</t>
  </si>
  <si>
    <t>Panelis 8</t>
  </si>
  <si>
    <t>Panelis 9</t>
  </si>
  <si>
    <t>Panelis 10</t>
  </si>
  <si>
    <t>Median</t>
  </si>
  <si>
    <t>ROI</t>
  </si>
  <si>
    <t>Row Labels</t>
  </si>
  <si>
    <t>Grand Total</t>
  </si>
  <si>
    <t>Sum of Revenue</t>
  </si>
  <si>
    <t>Sum of OPEX</t>
  </si>
  <si>
    <t>Average of Cost of Capital</t>
  </si>
  <si>
    <t>Average of Initial Investment</t>
  </si>
  <si>
    <t>Average of Salvage Value</t>
  </si>
  <si>
    <t>Average of Tax rate on net income</t>
  </si>
  <si>
    <t>Average of Inflasi</t>
  </si>
  <si>
    <t>Average of Life Time Investment</t>
  </si>
  <si>
    <t>Present Value Cost</t>
  </si>
  <si>
    <t>VERY FEASIBLE</t>
  </si>
  <si>
    <t>INVESTMENT IS FEASIBLE, IRR &gt; 9.35%</t>
  </si>
  <si>
    <t>Average of Jumlah Skor</t>
  </si>
  <si>
    <t>Average of Hasil Safety</t>
  </si>
  <si>
    <t>Average of Hasil Financial</t>
  </si>
  <si>
    <t>Interpretasi Financial</t>
  </si>
  <si>
    <t>Proyek investasi tersebut Layak secara Aspek Finansial</t>
  </si>
  <si>
    <t>Values</t>
  </si>
  <si>
    <t>Financial</t>
  </si>
  <si>
    <t>Safety</t>
  </si>
  <si>
    <t>Average of Hasil NPV</t>
  </si>
  <si>
    <t>Average of Hasil IRR</t>
  </si>
  <si>
    <t>Average of Hasil PP</t>
  </si>
  <si>
    <t>Average of Hasil PI</t>
  </si>
  <si>
    <t>Average of Hasil BCR</t>
  </si>
  <si>
    <t>Score NPV</t>
  </si>
  <si>
    <t>Score IRR</t>
  </si>
  <si>
    <t>Score PP</t>
  </si>
  <si>
    <t>Score PI</t>
  </si>
  <si>
    <t>Score BCR</t>
  </si>
  <si>
    <t>Score Policy</t>
  </si>
  <si>
    <t>Score Plan</t>
  </si>
  <si>
    <t>Score Check</t>
  </si>
  <si>
    <t>Score Action</t>
  </si>
  <si>
    <t>Score Do</t>
  </si>
  <si>
    <t>Kategori</t>
  </si>
  <si>
    <t>Kategori Policy</t>
  </si>
  <si>
    <t>Kategori Plan</t>
  </si>
  <si>
    <t>Kategori Do</t>
  </si>
  <si>
    <t>Kategori Check</t>
  </si>
  <si>
    <t>Kategori Action</t>
  </si>
  <si>
    <t>High</t>
  </si>
  <si>
    <t>Very High</t>
  </si>
  <si>
    <t>Jumlah Unit (Invest)</t>
  </si>
  <si>
    <t>Net Cash Flow</t>
  </si>
  <si>
    <t>Category Score Invest</t>
  </si>
  <si>
    <t>Moderate</t>
  </si>
  <si>
    <t>INVESTMENT | STUDI KASUS XX</t>
  </si>
  <si>
    <t>Nilai sisa</t>
  </si>
  <si>
    <t>Kebutuhan TH.2019</t>
  </si>
  <si>
    <t xml:space="preserve">Penurunan kapasitas produksi setelah 10 tahun sebesar </t>
  </si>
  <si>
    <t>Kenaikan kebutuhan per tahun</t>
  </si>
  <si>
    <t>Kapasitas produksi M per jam</t>
  </si>
  <si>
    <t>Jam kerja efektif M per hari</t>
  </si>
  <si>
    <t>Hari kerja efektif M per tahun</t>
  </si>
  <si>
    <t>Kapasitas produksi M per tahun</t>
  </si>
  <si>
    <t>Biaya pemecokan dg M</t>
  </si>
  <si>
    <t>Harga 1 unit H</t>
  </si>
  <si>
    <t>Kapasitas produksi H per jam</t>
  </si>
  <si>
    <t>Jam kerja efektif H per hari</t>
  </si>
  <si>
    <t>Hari kerja efektif H per tahun</t>
  </si>
  <si>
    <t>Kapasitas produksi H per tahun</t>
  </si>
  <si>
    <t>Biaya pemecokan dg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</si>
</sst>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p&quot;* #,##0.00_-;\-&quot;Rp&quot;* #,##0.00_-;_-&quot;Rp&quot;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_);\(&quot;$&quot;#,##0.00\)"/>
    <numFmt numFmtId="167" formatCode="_(* #,##0.00_);_(* \(#,##0.00\);_(* &quot;-&quot;_);_(@_)"/>
    <numFmt numFmtId="168" formatCode="_(* #,##0.000_);_(* \(#,##0.000\);_(* &quot;-&quot;_);_(@_)"/>
    <numFmt numFmtId="169" formatCode="0.00_)"/>
    <numFmt numFmtId="170" formatCode="0.0%"/>
    <numFmt numFmtId="171" formatCode="_([$$-409]* #,##0.00_);_([$$-409]* \(#,##0.00\);_([$$-409]* &quot;-&quot;??_);_(@_)"/>
    <numFmt numFmtId="172" formatCode="_-* #,##0.00_-;\-* #,##0.00_-;_-* &quot;-&quot;??_-;_-@"/>
    <numFmt numFmtId="173" formatCode="#,##0_ ;\-#,##0\ "/>
  </numFmts>
  <fonts count="71">
    <font>
      <sz val="12"/>
      <color theme="1"/>
      <name val="Times New Roman"/>
      <family val="2"/>
      <charset val="1"/>
    </font>
    <font>
      <sz val="11"/>
      <color theme="1"/>
      <name val="Times New Roman"/>
      <family val="2"/>
      <charset val="1"/>
    </font>
    <font>
      <sz val="11"/>
      <color theme="1"/>
      <name val="Times New Roman"/>
      <family val="2"/>
      <charset val="1"/>
    </font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Geneva"/>
    </font>
    <font>
      <sz val="10"/>
      <name val="Arial"/>
      <family val="2"/>
    </font>
    <font>
      <sz val="11"/>
      <color theme="1"/>
      <name val="Calibri"/>
      <family val="2"/>
      <charset val="1"/>
    </font>
    <font>
      <sz val="10"/>
      <name val="Tahoma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2"/>
      <name val="Helv"/>
    </font>
    <font>
      <sz val="10"/>
      <color indexed="8"/>
      <name val="Arial"/>
      <family val="2"/>
      <charset val="1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b/>
      <sz val="12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i/>
      <sz val="16"/>
      <name val="Helv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color indexed="8"/>
      <name val="Arial Narrow"/>
      <family val="2"/>
      <charset val="134"/>
    </font>
    <font>
      <sz val="12"/>
      <color theme="1"/>
      <name val="Arial"/>
      <family val="2"/>
      <charset val="1"/>
    </font>
    <font>
      <sz val="10"/>
      <name val="Arial"/>
      <family val="2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2"/>
      <charset val="1"/>
    </font>
    <font>
      <sz val="11"/>
      <color theme="1"/>
      <name val="Times New Roman"/>
      <family val="2"/>
      <charset val="1"/>
    </font>
    <font>
      <b/>
      <sz val="14"/>
      <color theme="1"/>
      <name val="Times New Roman"/>
      <family val="2"/>
      <charset val="1"/>
    </font>
    <font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0"/>
      <name val="Bahnschrift"/>
      <family val="2"/>
    </font>
    <font>
      <sz val="10"/>
      <color theme="1"/>
      <name val="Bahnschrift"/>
      <family val="2"/>
    </font>
    <font>
      <b/>
      <sz val="11"/>
      <name val="Bahnschrift"/>
      <family val="2"/>
    </font>
    <font>
      <sz val="11"/>
      <name val="Bahnschrift"/>
      <family val="2"/>
    </font>
    <font>
      <sz val="11"/>
      <color theme="1"/>
      <name val="Bahnschrift"/>
      <family val="2"/>
    </font>
    <font>
      <sz val="8"/>
      <name val="Times New Roman"/>
      <family val="2"/>
      <charset val="1"/>
    </font>
    <font>
      <b/>
      <sz val="16"/>
      <name val="Bahnschrift"/>
      <family val="2"/>
    </font>
    <font>
      <b/>
      <i/>
      <sz val="11"/>
      <name val="Bahnschrift"/>
      <family val="2"/>
    </font>
    <font>
      <i/>
      <sz val="11"/>
      <name val="Bahnschrift"/>
      <family val="2"/>
    </font>
    <font>
      <b/>
      <sz val="12"/>
      <name val="Bahnschrift"/>
      <family val="2"/>
    </font>
    <font>
      <b/>
      <sz val="14"/>
      <name val="Bahnschrift"/>
      <family val="2"/>
    </font>
    <font>
      <sz val="12"/>
      <name val="Bahnschrift"/>
      <family val="2"/>
    </font>
    <font>
      <b/>
      <u/>
      <sz val="14"/>
      <name val="Bahnschrift"/>
      <family val="2"/>
    </font>
    <font>
      <sz val="12"/>
      <color theme="1"/>
      <name val="Bahnschrift"/>
      <family val="2"/>
    </font>
    <font>
      <sz val="10"/>
      <name val="Bahnschrift"/>
      <family val="2"/>
    </font>
    <font>
      <sz val="12"/>
      <color theme="0"/>
      <name val="Bahnschrift"/>
      <family val="2"/>
    </font>
    <font>
      <sz val="12"/>
      <color theme="0"/>
      <name val="Times New Roman"/>
      <family val="2"/>
      <charset val="1"/>
    </font>
    <font>
      <sz val="12"/>
      <color theme="0"/>
      <name val="Times New Roman"/>
      <family val="1"/>
    </font>
    <font>
      <b/>
      <sz val="14"/>
      <color theme="0"/>
      <name val="Bahnschrift"/>
      <family val="2"/>
    </font>
    <font>
      <b/>
      <sz val="14"/>
      <color rgb="FFFFC000"/>
      <name val="Bahnschrift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Bahnschrift"/>
      <family val="2"/>
    </font>
    <font>
      <sz val="9"/>
      <name val="Bahnschrift"/>
      <family val="2"/>
    </font>
    <font>
      <sz val="9"/>
      <color theme="1"/>
      <name val="Bahnschrift"/>
      <family val="2"/>
    </font>
    <font>
      <b/>
      <sz val="10"/>
      <color theme="0"/>
      <name val="Bahnschrift"/>
      <family val="2"/>
    </font>
  </fonts>
  <fills count="4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BCE29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1FF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0B1A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E1414"/>
        <bgColor indexed="64"/>
      </patternFill>
    </fill>
    <fill>
      <patternFill patternType="solid">
        <fgColor rgb="FF69111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91B1B"/>
        <bgColor indexed="64"/>
      </patternFill>
    </fill>
  </fills>
  <borders count="10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5F5F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359">
    <xf numFmtId="0" fontId="0" fillId="0" borderId="0"/>
    <xf numFmtId="164" fontId="3" fillId="0" borderId="0" applyFont="0" applyFill="0" applyBorder="0" applyAlignment="0" applyProtection="0"/>
    <xf numFmtId="0" fontId="6" fillId="0" borderId="0"/>
    <xf numFmtId="164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4" borderId="6">
      <alignment horizontal="left"/>
    </xf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23" borderId="24" applyNumberFormat="0" applyAlignment="0" applyProtection="0"/>
    <xf numFmtId="0" fontId="13" fillId="23" borderId="24" applyNumberFormat="0" applyAlignment="0" applyProtection="0"/>
    <xf numFmtId="0" fontId="13" fillId="23" borderId="24" applyNumberFormat="0" applyAlignment="0" applyProtection="0"/>
    <xf numFmtId="0" fontId="13" fillId="23" borderId="24" applyNumberFormat="0" applyAlignment="0" applyProtection="0"/>
    <xf numFmtId="0" fontId="13" fillId="23" borderId="24" applyNumberFormat="0" applyAlignment="0" applyProtection="0"/>
    <xf numFmtId="0" fontId="14" fillId="24" borderId="25" applyNumberFormat="0" applyAlignment="0" applyProtection="0"/>
    <xf numFmtId="0" fontId="14" fillId="24" borderId="25" applyNumberFormat="0" applyAlignment="0" applyProtection="0"/>
    <xf numFmtId="0" fontId="14" fillId="24" borderId="25" applyNumberFormat="0" applyAlignment="0" applyProtection="0"/>
    <xf numFmtId="0" fontId="14" fillId="24" borderId="25" applyNumberFormat="0" applyAlignment="0" applyProtection="0"/>
    <xf numFmtId="0" fontId="14" fillId="24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26" applyNumberFormat="0" applyAlignment="0" applyProtection="0">
      <alignment horizontal="left" vertical="center"/>
    </xf>
    <xf numFmtId="0" fontId="21" fillId="0" borderId="27">
      <alignment horizontal="left" vertical="center"/>
    </xf>
    <xf numFmtId="0" fontId="22" fillId="0" borderId="28" applyNumberFormat="0" applyFill="0" applyAlignment="0" applyProtection="0"/>
    <xf numFmtId="0" fontId="22" fillId="0" borderId="28" applyNumberFormat="0" applyFill="0" applyAlignment="0" applyProtection="0"/>
    <xf numFmtId="0" fontId="22" fillId="0" borderId="28" applyNumberFormat="0" applyFill="0" applyAlignment="0" applyProtection="0"/>
    <xf numFmtId="0" fontId="22" fillId="0" borderId="28" applyNumberFormat="0" applyFill="0" applyAlignment="0" applyProtection="0"/>
    <xf numFmtId="0" fontId="22" fillId="0" borderId="28" applyNumberFormat="0" applyFill="0" applyAlignment="0" applyProtection="0"/>
    <xf numFmtId="0" fontId="23" fillId="0" borderId="29" applyNumberFormat="0" applyFill="0" applyAlignment="0" applyProtection="0"/>
    <xf numFmtId="0" fontId="23" fillId="0" borderId="29" applyNumberFormat="0" applyFill="0" applyAlignment="0" applyProtection="0"/>
    <xf numFmtId="0" fontId="23" fillId="0" borderId="29" applyNumberFormat="0" applyFill="0" applyAlignment="0" applyProtection="0"/>
    <xf numFmtId="0" fontId="23" fillId="0" borderId="29" applyNumberFormat="0" applyFill="0" applyAlignment="0" applyProtection="0"/>
    <xf numFmtId="0" fontId="23" fillId="0" borderId="29" applyNumberFormat="0" applyFill="0" applyAlignment="0" applyProtection="0"/>
    <xf numFmtId="0" fontId="24" fillId="0" borderId="30" applyNumberFormat="0" applyFill="0" applyAlignment="0" applyProtection="0"/>
    <xf numFmtId="0" fontId="24" fillId="0" borderId="30" applyNumberFormat="0" applyFill="0" applyAlignment="0" applyProtection="0"/>
    <xf numFmtId="0" fontId="24" fillId="0" borderId="30" applyNumberFormat="0" applyFill="0" applyAlignment="0" applyProtection="0"/>
    <xf numFmtId="0" fontId="24" fillId="0" borderId="30" applyNumberFormat="0" applyFill="0" applyAlignment="0" applyProtection="0"/>
    <xf numFmtId="0" fontId="24" fillId="0" borderId="30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10" borderId="24" applyNumberFormat="0" applyAlignment="0" applyProtection="0"/>
    <xf numFmtId="0" fontId="25" fillId="10" borderId="24" applyNumberFormat="0" applyAlignment="0" applyProtection="0"/>
    <xf numFmtId="0" fontId="25" fillId="10" borderId="24" applyNumberFormat="0" applyAlignment="0" applyProtection="0"/>
    <xf numFmtId="0" fontId="25" fillId="10" borderId="24" applyNumberFormat="0" applyAlignment="0" applyProtection="0"/>
    <xf numFmtId="0" fontId="25" fillId="10" borderId="24" applyNumberFormat="0" applyAlignment="0" applyProtection="0"/>
    <xf numFmtId="0" fontId="26" fillId="0" borderId="31" applyNumberFormat="0" applyFill="0" applyAlignment="0" applyProtection="0"/>
    <xf numFmtId="0" fontId="26" fillId="0" borderId="31" applyNumberFormat="0" applyFill="0" applyAlignment="0" applyProtection="0"/>
    <xf numFmtId="0" fontId="26" fillId="0" borderId="31" applyNumberFormat="0" applyFill="0" applyAlignment="0" applyProtection="0"/>
    <xf numFmtId="0" fontId="26" fillId="0" borderId="31" applyNumberFormat="0" applyFill="0" applyAlignment="0" applyProtection="0"/>
    <xf numFmtId="0" fontId="26" fillId="0" borderId="31" applyNumberFormat="0" applyFill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169" fontId="28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30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7" fillId="0" borderId="0"/>
    <xf numFmtId="0" fontId="3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26" borderId="32" applyNumberFormat="0" applyFont="0" applyAlignment="0" applyProtection="0"/>
    <xf numFmtId="0" fontId="10" fillId="26" borderId="32" applyNumberFormat="0" applyFont="0" applyAlignment="0" applyProtection="0"/>
    <xf numFmtId="0" fontId="10" fillId="26" borderId="32" applyNumberFormat="0" applyFont="0" applyAlignment="0" applyProtection="0"/>
    <xf numFmtId="0" fontId="10" fillId="26" borderId="32" applyNumberFormat="0" applyFont="0" applyAlignment="0" applyProtection="0"/>
    <xf numFmtId="0" fontId="10" fillId="26" borderId="32" applyNumberFormat="0" applyFont="0" applyAlignment="0" applyProtection="0"/>
    <xf numFmtId="0" fontId="32" fillId="23" borderId="33" applyNumberFormat="0" applyAlignment="0" applyProtection="0"/>
    <xf numFmtId="0" fontId="32" fillId="23" borderId="33" applyNumberFormat="0" applyAlignment="0" applyProtection="0"/>
    <xf numFmtId="0" fontId="32" fillId="23" borderId="33" applyNumberFormat="0" applyAlignment="0" applyProtection="0"/>
    <xf numFmtId="0" fontId="32" fillId="23" borderId="33" applyNumberFormat="0" applyAlignment="0" applyProtection="0"/>
    <xf numFmtId="0" fontId="32" fillId="23" borderId="33" applyNumberFormat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34" applyNumberFormat="0" applyFill="0" applyAlignment="0" applyProtection="0"/>
    <xf numFmtId="0" fontId="34" fillId="0" borderId="34" applyNumberFormat="0" applyFill="0" applyAlignment="0" applyProtection="0"/>
    <xf numFmtId="0" fontId="34" fillId="0" borderId="34" applyNumberFormat="0" applyFill="0" applyAlignment="0" applyProtection="0"/>
    <xf numFmtId="0" fontId="34" fillId="0" borderId="34" applyNumberFormat="0" applyFill="0" applyAlignment="0" applyProtection="0"/>
    <xf numFmtId="0" fontId="34" fillId="0" borderId="3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9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6" fillId="0" borderId="0" applyFon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0" fontId="37" fillId="0" borderId="0"/>
    <xf numFmtId="0" fontId="3" fillId="0" borderId="0"/>
    <xf numFmtId="0" fontId="3" fillId="0" borderId="0"/>
    <xf numFmtId="0" fontId="38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5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3" xfId="1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indent="1"/>
    </xf>
    <xf numFmtId="0" fontId="5" fillId="0" borderId="0" xfId="0" applyFont="1"/>
    <xf numFmtId="0" fontId="39" fillId="2" borderId="10" xfId="0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 indent="1"/>
    </xf>
    <xf numFmtId="0" fontId="40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horizontal="left" vertical="center" indent="1"/>
    </xf>
    <xf numFmtId="0" fontId="40" fillId="0" borderId="7" xfId="0" applyFont="1" applyBorder="1" applyAlignment="1">
      <alignment horizontal="left" vertical="center" indent="1"/>
    </xf>
    <xf numFmtId="0" fontId="42" fillId="0" borderId="0" xfId="0" applyFont="1"/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horizontal="left" vertical="center" indent="1"/>
    </xf>
    <xf numFmtId="0" fontId="42" fillId="0" borderId="3" xfId="1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horizontal="left" vertical="center" indent="1"/>
    </xf>
    <xf numFmtId="0" fontId="42" fillId="0" borderId="4" xfId="1" applyNumberFormat="1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left" vertical="center" indent="1"/>
    </xf>
    <xf numFmtId="0" fontId="42" fillId="0" borderId="5" xfId="1" applyNumberFormat="1" applyFont="1" applyBorder="1" applyAlignment="1">
      <alignment horizontal="center" vertical="center"/>
    </xf>
    <xf numFmtId="0" fontId="42" fillId="0" borderId="3" xfId="1" applyNumberFormat="1" applyFont="1" applyFill="1" applyBorder="1" applyAlignment="1">
      <alignment horizontal="center" vertical="center"/>
    </xf>
    <xf numFmtId="17" fontId="39" fillId="2" borderId="10" xfId="0" applyNumberFormat="1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left" vertical="center" indent="1"/>
    </xf>
    <xf numFmtId="0" fontId="39" fillId="2" borderId="41" xfId="0" applyFont="1" applyFill="1" applyBorder="1" applyAlignment="1">
      <alignment horizontal="center" vertical="center"/>
    </xf>
    <xf numFmtId="0" fontId="39" fillId="2" borderId="4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9" fillId="2" borderId="47" xfId="0" applyFont="1" applyFill="1" applyBorder="1" applyAlignment="1">
      <alignment horizontal="center" vertical="center" wrapText="1"/>
    </xf>
    <xf numFmtId="0" fontId="39" fillId="2" borderId="48" xfId="0" applyFont="1" applyFill="1" applyBorder="1" applyAlignment="1">
      <alignment horizontal="center" vertical="center"/>
    </xf>
    <xf numFmtId="0" fontId="39" fillId="2" borderId="48" xfId="0" applyFont="1" applyFill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/>
    </xf>
    <xf numFmtId="0" fontId="40" fillId="0" borderId="51" xfId="0" applyFont="1" applyBorder="1" applyAlignment="1">
      <alignment horizontal="left" vertical="center" indent="1"/>
    </xf>
    <xf numFmtId="0" fontId="40" fillId="0" borderId="56" xfId="0" applyFont="1" applyBorder="1" applyAlignment="1">
      <alignment horizontal="center" vertical="center"/>
    </xf>
    <xf numFmtId="0" fontId="40" fillId="0" borderId="56" xfId="0" applyFont="1" applyBorder="1" applyAlignment="1">
      <alignment horizontal="left" vertical="center" indent="1"/>
    </xf>
    <xf numFmtId="0" fontId="39" fillId="2" borderId="43" xfId="1" applyNumberFormat="1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5" xfId="0" applyFont="1" applyBorder="1" applyAlignment="1">
      <alignment horizontal="left" vertical="center" indent="1"/>
    </xf>
    <xf numFmtId="0" fontId="39" fillId="2" borderId="42" xfId="0" applyFont="1" applyFill="1" applyBorder="1" applyAlignment="1">
      <alignment horizontal="left" vertical="center" indent="1"/>
    </xf>
    <xf numFmtId="0" fontId="41" fillId="2" borderId="42" xfId="0" applyFont="1" applyFill="1" applyBorder="1" applyAlignment="1">
      <alignment horizontal="left" vertical="center" indent="1"/>
    </xf>
    <xf numFmtId="0" fontId="29" fillId="0" borderId="5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0" fontId="0" fillId="0" borderId="0" xfId="357" applyNumberFormat="1" applyFont="1"/>
    <xf numFmtId="0" fontId="41" fillId="2" borderId="43" xfId="0" applyFont="1" applyFill="1" applyBorder="1" applyAlignment="1">
      <alignment horizontal="center" vertical="center"/>
    </xf>
    <xf numFmtId="0" fontId="44" fillId="27" borderId="60" xfId="0" applyFont="1" applyFill="1" applyBorder="1" applyAlignment="1">
      <alignment horizontal="center" vertical="center"/>
    </xf>
    <xf numFmtId="0" fontId="0" fillId="27" borderId="60" xfId="0" applyFill="1" applyBorder="1" applyAlignment="1">
      <alignment horizontal="left" indent="1"/>
    </xf>
    <xf numFmtId="0" fontId="0" fillId="27" borderId="60" xfId="0" applyFill="1" applyBorder="1" applyAlignment="1">
      <alignment horizontal="center"/>
    </xf>
    <xf numFmtId="0" fontId="44" fillId="27" borderId="60" xfId="0" applyFont="1" applyFill="1" applyBorder="1" applyAlignment="1">
      <alignment horizontal="center" vertical="center" wrapText="1"/>
    </xf>
    <xf numFmtId="0" fontId="44" fillId="27" borderId="3" xfId="0" applyFont="1" applyFill="1" applyBorder="1" applyAlignment="1">
      <alignment horizontal="center" vertical="center"/>
    </xf>
    <xf numFmtId="0" fontId="0" fillId="27" borderId="3" xfId="0" applyFill="1" applyBorder="1" applyAlignment="1">
      <alignment horizontal="left" indent="1"/>
    </xf>
    <xf numFmtId="0" fontId="0" fillId="27" borderId="3" xfId="0" applyFill="1" applyBorder="1" applyAlignment="1">
      <alignment horizontal="center"/>
    </xf>
    <xf numFmtId="0" fontId="44" fillId="27" borderId="3" xfId="0" applyFont="1" applyFill="1" applyBorder="1" applyAlignment="1">
      <alignment horizontal="center" vertical="center" wrapText="1"/>
    </xf>
    <xf numFmtId="0" fontId="44" fillId="32" borderId="3" xfId="0" applyFont="1" applyFill="1" applyBorder="1" applyAlignment="1">
      <alignment horizontal="center" vertical="center"/>
    </xf>
    <xf numFmtId="0" fontId="0" fillId="32" borderId="3" xfId="0" applyFill="1" applyBorder="1" applyAlignment="1">
      <alignment horizontal="left" indent="1"/>
    </xf>
    <xf numFmtId="0" fontId="0" fillId="32" borderId="3" xfId="0" applyFill="1" applyBorder="1" applyAlignment="1">
      <alignment horizontal="center"/>
    </xf>
    <xf numFmtId="0" fontId="44" fillId="32" borderId="3" xfId="0" applyFont="1" applyFill="1" applyBorder="1" applyAlignment="1">
      <alignment horizontal="center" vertical="center" wrapText="1"/>
    </xf>
    <xf numFmtId="0" fontId="44" fillId="33" borderId="3" xfId="0" applyFont="1" applyFill="1" applyBorder="1" applyAlignment="1">
      <alignment horizontal="center" vertical="center"/>
    </xf>
    <xf numFmtId="0" fontId="0" fillId="33" borderId="3" xfId="0" applyFill="1" applyBorder="1" applyAlignment="1">
      <alignment horizontal="left" indent="1"/>
    </xf>
    <xf numFmtId="0" fontId="0" fillId="33" borderId="3" xfId="0" applyFill="1" applyBorder="1" applyAlignment="1">
      <alignment horizontal="center"/>
    </xf>
    <xf numFmtId="0" fontId="44" fillId="33" borderId="3" xfId="0" applyFont="1" applyFill="1" applyBorder="1" applyAlignment="1">
      <alignment horizontal="center" vertical="center" wrapText="1"/>
    </xf>
    <xf numFmtId="0" fontId="0" fillId="33" borderId="4" xfId="0" applyFill="1" applyBorder="1" applyAlignment="1">
      <alignment horizontal="left" indent="1"/>
    </xf>
    <xf numFmtId="0" fontId="0" fillId="33" borderId="4" xfId="0" applyFill="1" applyBorder="1" applyAlignment="1">
      <alignment horizontal="center"/>
    </xf>
    <xf numFmtId="0" fontId="44" fillId="33" borderId="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 wrapText="1"/>
    </xf>
    <xf numFmtId="0" fontId="44" fillId="0" borderId="52" xfId="0" applyFont="1" applyBorder="1" applyAlignment="1">
      <alignment horizontal="center" vertical="center" wrapText="1"/>
    </xf>
    <xf numFmtId="0" fontId="44" fillId="0" borderId="54" xfId="0" applyFont="1" applyBorder="1" applyAlignment="1">
      <alignment horizontal="center" vertical="center" wrapText="1"/>
    </xf>
    <xf numFmtId="0" fontId="44" fillId="0" borderId="57" xfId="0" applyFont="1" applyBorder="1" applyAlignment="1">
      <alignment horizontal="center" vertical="center" wrapText="1"/>
    </xf>
    <xf numFmtId="0" fontId="44" fillId="0" borderId="53" xfId="0" applyFont="1" applyBorder="1" applyAlignment="1">
      <alignment horizontal="center" vertical="center"/>
    </xf>
    <xf numFmtId="0" fontId="44" fillId="0" borderId="55" xfId="0" applyFont="1" applyBorder="1" applyAlignment="1">
      <alignment horizontal="center" vertical="center"/>
    </xf>
    <xf numFmtId="0" fontId="0" fillId="0" borderId="56" xfId="0" applyBorder="1" applyAlignment="1">
      <alignment horizontal="left" indent="1"/>
    </xf>
    <xf numFmtId="0" fontId="0" fillId="0" borderId="56" xfId="0" applyBorder="1" applyAlignment="1">
      <alignment horizontal="center"/>
    </xf>
    <xf numFmtId="0" fontId="44" fillId="0" borderId="70" xfId="0" applyFont="1" applyBorder="1" applyAlignment="1">
      <alignment horizontal="center" vertical="center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center"/>
    </xf>
    <xf numFmtId="0" fontId="44" fillId="0" borderId="74" xfId="0" applyFont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left" vertical="center" indent="1"/>
    </xf>
    <xf numFmtId="0" fontId="4" fillId="2" borderId="48" xfId="0" applyFont="1" applyFill="1" applyBorder="1" applyAlignment="1">
      <alignment horizontal="center" vertical="center" wrapText="1"/>
    </xf>
    <xf numFmtId="164" fontId="4" fillId="2" borderId="76" xfId="1" applyFont="1" applyFill="1" applyBorder="1" applyAlignment="1">
      <alignment horizontal="center" vertical="center" wrapText="1"/>
    </xf>
    <xf numFmtId="164" fontId="0" fillId="0" borderId="77" xfId="1" applyFont="1" applyFill="1" applyBorder="1" applyAlignment="1">
      <alignment horizontal="center"/>
    </xf>
    <xf numFmtId="164" fontId="0" fillId="0" borderId="16" xfId="1" applyFont="1" applyFill="1" applyBorder="1" applyAlignment="1">
      <alignment horizontal="center"/>
    </xf>
    <xf numFmtId="164" fontId="0" fillId="0" borderId="78" xfId="1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center" vertical="center"/>
    </xf>
    <xf numFmtId="0" fontId="41" fillId="0" borderId="60" xfId="0" applyFont="1" applyBorder="1" applyAlignment="1">
      <alignment horizontal="center" vertical="center"/>
    </xf>
    <xf numFmtId="0" fontId="41" fillId="0" borderId="60" xfId="0" applyFont="1" applyBorder="1" applyAlignment="1">
      <alignment horizontal="left" vertical="center" indent="1"/>
    </xf>
    <xf numFmtId="0" fontId="41" fillId="0" borderId="60" xfId="0" applyFont="1" applyBorder="1" applyAlignment="1">
      <alignment horizontal="center" vertical="center" wrapText="1"/>
    </xf>
    <xf numFmtId="0" fontId="39" fillId="2" borderId="64" xfId="0" applyFont="1" applyFill="1" applyBorder="1" applyAlignment="1">
      <alignment horizontal="center" vertical="center"/>
    </xf>
    <xf numFmtId="0" fontId="39" fillId="2" borderId="66" xfId="0" applyFont="1" applyFill="1" applyBorder="1" applyAlignment="1">
      <alignment horizontal="left" vertical="center" indent="1"/>
    </xf>
    <xf numFmtId="0" fontId="39" fillId="2" borderId="59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39" fillId="0" borderId="0" xfId="0" applyFont="1" applyAlignment="1">
      <alignment horizontal="center" vertical="center"/>
    </xf>
    <xf numFmtId="0" fontId="0" fillId="34" borderId="0" xfId="0" applyFill="1"/>
    <xf numFmtId="167" fontId="0" fillId="0" borderId="0" xfId="1" applyNumberFormat="1" applyFont="1"/>
    <xf numFmtId="167" fontId="0" fillId="34" borderId="0" xfId="1" applyNumberFormat="1" applyFont="1" applyFill="1"/>
    <xf numFmtId="167" fontId="0" fillId="0" borderId="0" xfId="1" applyNumberFormat="1" applyFont="1" applyFill="1"/>
    <xf numFmtId="167" fontId="4" fillId="2" borderId="10" xfId="1" applyNumberFormat="1" applyFont="1" applyFill="1" applyBorder="1" applyAlignment="1">
      <alignment horizontal="center" vertical="center"/>
    </xf>
    <xf numFmtId="167" fontId="0" fillId="0" borderId="60" xfId="1" applyNumberFormat="1" applyFont="1" applyBorder="1" applyAlignment="1">
      <alignment horizontal="center" vertical="center"/>
    </xf>
    <xf numFmtId="167" fontId="0" fillId="0" borderId="7" xfId="1" applyNumberFormat="1" applyFont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 vertical="center"/>
    </xf>
    <xf numFmtId="0" fontId="40" fillId="0" borderId="3" xfId="1" applyNumberFormat="1" applyFont="1" applyBorder="1" applyAlignment="1">
      <alignment horizontal="center" vertical="center"/>
    </xf>
    <xf numFmtId="0" fontId="40" fillId="0" borderId="4" xfId="1" applyNumberFormat="1" applyFont="1" applyBorder="1" applyAlignment="1">
      <alignment horizontal="center" vertical="center"/>
    </xf>
    <xf numFmtId="0" fontId="4" fillId="34" borderId="0" xfId="0" applyFont="1" applyFill="1" applyAlignment="1">
      <alignment horizontal="center" vertical="center"/>
    </xf>
    <xf numFmtId="0" fontId="4" fillId="34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left" indent="1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/>
    </xf>
    <xf numFmtId="164" fontId="0" fillId="34" borderId="0" xfId="1" applyFont="1" applyFill="1" applyAlignment="1">
      <alignment horizontal="center"/>
    </xf>
    <xf numFmtId="0" fontId="40" fillId="34" borderId="0" xfId="0" applyFont="1" applyFill="1" applyAlignment="1">
      <alignment horizontal="center" vertical="center"/>
    </xf>
    <xf numFmtId="0" fontId="0" fillId="34" borderId="0" xfId="0" applyFill="1" applyAlignment="1">
      <alignment vertical="center"/>
    </xf>
    <xf numFmtId="0" fontId="40" fillId="0" borderId="81" xfId="0" applyFont="1" applyBorder="1" applyAlignment="1">
      <alignment horizontal="center" vertical="center"/>
    </xf>
    <xf numFmtId="0" fontId="40" fillId="0" borderId="81" xfId="0" applyFont="1" applyBorder="1" applyAlignment="1">
      <alignment horizontal="left" vertical="center" indent="1"/>
    </xf>
    <xf numFmtId="0" fontId="40" fillId="0" borderId="79" xfId="0" applyFont="1" applyBorder="1" applyAlignment="1">
      <alignment horizontal="center" vertical="center"/>
    </xf>
    <xf numFmtId="0" fontId="40" fillId="0" borderId="79" xfId="0" applyFont="1" applyBorder="1" applyAlignment="1">
      <alignment horizontal="left" vertical="center" indent="1"/>
    </xf>
    <xf numFmtId="0" fontId="40" fillId="0" borderId="82" xfId="0" applyFont="1" applyBorder="1" applyAlignment="1">
      <alignment horizontal="center" vertical="center"/>
    </xf>
    <xf numFmtId="0" fontId="40" fillId="0" borderId="82" xfId="0" applyFont="1" applyBorder="1" applyAlignment="1">
      <alignment horizontal="left" vertical="center" indent="1"/>
    </xf>
    <xf numFmtId="0" fontId="39" fillId="2" borderId="83" xfId="0" applyFont="1" applyFill="1" applyBorder="1" applyAlignment="1">
      <alignment horizontal="center" vertical="center"/>
    </xf>
    <xf numFmtId="0" fontId="39" fillId="2" borderId="83" xfId="0" applyFont="1" applyFill="1" applyBorder="1" applyAlignment="1">
      <alignment horizontal="left" vertical="center" indent="1"/>
    </xf>
    <xf numFmtId="0" fontId="39" fillId="2" borderId="83" xfId="0" applyFont="1" applyFill="1" applyBorder="1" applyAlignment="1">
      <alignment horizontal="center" vertical="center" wrapText="1"/>
    </xf>
    <xf numFmtId="0" fontId="40" fillId="0" borderId="84" xfId="0" applyFont="1" applyBorder="1" applyAlignment="1">
      <alignment horizontal="center" vertical="center"/>
    </xf>
    <xf numFmtId="0" fontId="40" fillId="0" borderId="84" xfId="0" applyFont="1" applyBorder="1" applyAlignment="1">
      <alignment horizontal="left" vertical="center" indent="1"/>
    </xf>
    <xf numFmtId="0" fontId="39" fillId="2" borderId="0" xfId="0" applyFont="1" applyFill="1" applyAlignment="1">
      <alignment horizontal="center" vertical="center" wrapText="1"/>
    </xf>
    <xf numFmtId="0" fontId="40" fillId="0" borderId="0" xfId="0" applyFont="1" applyAlignment="1">
      <alignment horizontal="left" vertical="center" indent="1"/>
    </xf>
    <xf numFmtId="0" fontId="0" fillId="35" borderId="0" xfId="0" applyFill="1"/>
    <xf numFmtId="0" fontId="0" fillId="35" borderId="0" xfId="0" applyFill="1" applyAlignment="1">
      <alignment vertical="center"/>
    </xf>
    <xf numFmtId="0" fontId="5" fillId="35" borderId="0" xfId="0" applyFont="1" applyFill="1" applyAlignment="1">
      <alignment horizontal="left"/>
    </xf>
    <xf numFmtId="0" fontId="39" fillId="35" borderId="0" xfId="0" applyFont="1" applyFill="1" applyAlignment="1">
      <alignment horizontal="center" vertical="center" wrapText="1"/>
    </xf>
    <xf numFmtId="0" fontId="40" fillId="35" borderId="0" xfId="0" applyFont="1" applyFill="1" applyAlignment="1">
      <alignment horizontal="left" vertical="center" indent="1"/>
    </xf>
    <xf numFmtId="0" fontId="49" fillId="29" borderId="59" xfId="0" applyFont="1" applyFill="1" applyBorder="1" applyAlignment="1">
      <alignment vertical="center"/>
    </xf>
    <xf numFmtId="0" fontId="50" fillId="29" borderId="59" xfId="0" applyFont="1" applyFill="1" applyBorder="1" applyAlignment="1">
      <alignment horizontal="center"/>
    </xf>
    <xf numFmtId="9" fontId="50" fillId="29" borderId="59" xfId="0" applyNumberFormat="1" applyFont="1" applyFill="1" applyBorder="1" applyAlignment="1">
      <alignment horizontal="center"/>
    </xf>
    <xf numFmtId="0" fontId="50" fillId="29" borderId="59" xfId="0" applyFont="1" applyFill="1" applyBorder="1" applyAlignment="1">
      <alignment horizontal="center" vertical="center"/>
    </xf>
    <xf numFmtId="0" fontId="53" fillId="0" borderId="0" xfId="2" applyFont="1"/>
    <xf numFmtId="0" fontId="49" fillId="0" borderId="0" xfId="2" applyFont="1"/>
    <xf numFmtId="0" fontId="48" fillId="0" borderId="0" xfId="2" applyFont="1"/>
    <xf numFmtId="0" fontId="49" fillId="0" borderId="0" xfId="2" applyFont="1" applyAlignment="1">
      <alignment vertical="center"/>
    </xf>
    <xf numFmtId="0" fontId="49" fillId="0" borderId="45" xfId="2" applyFont="1" applyBorder="1" applyAlignment="1">
      <alignment horizontal="left" vertical="center" indent="1"/>
    </xf>
    <xf numFmtId="0" fontId="49" fillId="0" borderId="38" xfId="2" applyFont="1" applyBorder="1" applyAlignment="1">
      <alignment horizontal="left" vertical="center" indent="1"/>
    </xf>
    <xf numFmtId="168" fontId="48" fillId="0" borderId="44" xfId="3" applyNumberFormat="1" applyFont="1" applyFill="1" applyBorder="1" applyAlignment="1">
      <alignment horizontal="right"/>
    </xf>
    <xf numFmtId="10" fontId="49" fillId="0" borderId="0" xfId="2" applyNumberFormat="1" applyFont="1"/>
    <xf numFmtId="0" fontId="49" fillId="0" borderId="45" xfId="2" applyFont="1" applyBorder="1" applyAlignment="1">
      <alignment horizontal="left" indent="1"/>
    </xf>
    <xf numFmtId="0" fontId="49" fillId="0" borderId="18" xfId="2" applyFont="1" applyBorder="1"/>
    <xf numFmtId="165" fontId="48" fillId="0" borderId="44" xfId="3" applyNumberFormat="1" applyFont="1" applyFill="1" applyBorder="1"/>
    <xf numFmtId="0" fontId="54" fillId="0" borderId="45" xfId="2" applyFont="1" applyBorder="1" applyAlignment="1">
      <alignment horizontal="left" vertical="center" indent="1"/>
    </xf>
    <xf numFmtId="0" fontId="48" fillId="0" borderId="44" xfId="2" applyFont="1" applyBorder="1" applyAlignment="1">
      <alignment horizontal="right"/>
    </xf>
    <xf numFmtId="0" fontId="49" fillId="0" borderId="16" xfId="2" applyFont="1" applyBorder="1" applyAlignment="1">
      <alignment horizontal="left" vertical="center" indent="1"/>
    </xf>
    <xf numFmtId="0" fontId="49" fillId="0" borderId="20" xfId="2" applyFont="1" applyBorder="1" applyAlignment="1">
      <alignment horizontal="left" vertical="center" indent="1"/>
    </xf>
    <xf numFmtId="0" fontId="49" fillId="0" borderId="20" xfId="2" applyFont="1" applyBorder="1"/>
    <xf numFmtId="164" fontId="48" fillId="0" borderId="3" xfId="2" applyNumberFormat="1" applyFont="1" applyBorder="1" applyAlignment="1">
      <alignment horizontal="right"/>
    </xf>
    <xf numFmtId="0" fontId="49" fillId="0" borderId="16" xfId="2" applyFont="1" applyBorder="1" applyAlignment="1">
      <alignment horizontal="left" indent="1"/>
    </xf>
    <xf numFmtId="0" fontId="49" fillId="0" borderId="19" xfId="2" applyFont="1" applyBorder="1"/>
    <xf numFmtId="164" fontId="49" fillId="0" borderId="3" xfId="2" quotePrefix="1" applyNumberFormat="1" applyFont="1" applyBorder="1" applyAlignment="1">
      <alignment horizontal="right"/>
    </xf>
    <xf numFmtId="170" fontId="48" fillId="0" borderId="3" xfId="2" applyNumberFormat="1" applyFont="1" applyBorder="1" applyAlignment="1">
      <alignment horizontal="right"/>
    </xf>
    <xf numFmtId="164" fontId="49" fillId="0" borderId="3" xfId="2" applyNumberFormat="1" applyFont="1" applyBorder="1" applyAlignment="1">
      <alignment horizontal="right"/>
    </xf>
    <xf numFmtId="0" fontId="49" fillId="0" borderId="22" xfId="2" applyFont="1" applyBorder="1"/>
    <xf numFmtId="0" fontId="49" fillId="0" borderId="21" xfId="2" applyFont="1" applyBorder="1"/>
    <xf numFmtId="164" fontId="49" fillId="0" borderId="7" xfId="2" applyNumberFormat="1" applyFont="1" applyBorder="1" applyAlignment="1">
      <alignment horizontal="right"/>
    </xf>
    <xf numFmtId="0" fontId="48" fillId="0" borderId="3" xfId="2" applyFont="1" applyBorder="1" applyAlignment="1">
      <alignment horizontal="right"/>
    </xf>
    <xf numFmtId="167" fontId="49" fillId="0" borderId="3" xfId="1" applyNumberFormat="1" applyFont="1" applyFill="1" applyBorder="1" applyAlignment="1">
      <alignment horizontal="right"/>
    </xf>
    <xf numFmtId="0" fontId="49" fillId="0" borderId="41" xfId="2" applyFont="1" applyBorder="1" applyAlignment="1">
      <alignment horizontal="left" indent="1"/>
    </xf>
    <xf numFmtId="0" fontId="49" fillId="0" borderId="42" xfId="2" applyFont="1" applyBorder="1"/>
    <xf numFmtId="9" fontId="48" fillId="28" borderId="43" xfId="2" applyNumberFormat="1" applyFont="1" applyFill="1" applyBorder="1" applyAlignment="1">
      <alignment horizontal="right"/>
    </xf>
    <xf numFmtId="10" fontId="48" fillId="0" borderId="3" xfId="2" applyNumberFormat="1" applyFont="1" applyBorder="1" applyAlignment="1">
      <alignment horizontal="right"/>
    </xf>
    <xf numFmtId="0" fontId="49" fillId="0" borderId="3" xfId="2" applyFont="1" applyBorder="1" applyAlignment="1">
      <alignment horizontal="right"/>
    </xf>
    <xf numFmtId="0" fontId="49" fillId="0" borderId="0" xfId="2" applyFont="1" applyAlignment="1">
      <alignment horizontal="center"/>
    </xf>
    <xf numFmtId="9" fontId="49" fillId="0" borderId="3" xfId="2" applyNumberFormat="1" applyFont="1" applyBorder="1" applyAlignment="1">
      <alignment horizontal="right"/>
    </xf>
    <xf numFmtId="10" fontId="49" fillId="0" borderId="3" xfId="2" applyNumberFormat="1" applyFont="1" applyBorder="1" applyAlignment="1">
      <alignment horizontal="right"/>
    </xf>
    <xf numFmtId="0" fontId="49" fillId="0" borderId="17" xfId="2" applyFont="1" applyBorder="1" applyAlignment="1">
      <alignment horizontal="left" vertical="center" indent="1"/>
    </xf>
    <xf numFmtId="0" fontId="49" fillId="0" borderId="40" xfId="2" applyFont="1" applyBorder="1" applyAlignment="1">
      <alignment horizontal="left" vertical="center" indent="1"/>
    </xf>
    <xf numFmtId="0" fontId="49" fillId="0" borderId="40" xfId="2" applyFont="1" applyBorder="1"/>
    <xf numFmtId="0" fontId="49" fillId="0" borderId="4" xfId="2" applyFont="1" applyBorder="1" applyAlignment="1">
      <alignment horizontal="right"/>
    </xf>
    <xf numFmtId="0" fontId="49" fillId="0" borderId="23" xfId="2" applyFont="1" applyBorder="1"/>
    <xf numFmtId="10" fontId="49" fillId="0" borderId="4" xfId="2" applyNumberFormat="1" applyFont="1" applyBorder="1" applyAlignment="1">
      <alignment horizontal="right"/>
    </xf>
    <xf numFmtId="0" fontId="49" fillId="0" borderId="41" xfId="2" applyFont="1" applyBorder="1" applyAlignment="1">
      <alignment horizontal="left" vertical="center" indent="1"/>
    </xf>
    <xf numFmtId="10" fontId="48" fillId="0" borderId="10" xfId="2" applyNumberFormat="1" applyFont="1" applyBorder="1" applyAlignment="1">
      <alignment horizontal="right"/>
    </xf>
    <xf numFmtId="0" fontId="49" fillId="0" borderId="15" xfId="2" applyFont="1" applyBorder="1" applyAlignment="1">
      <alignment horizontal="left" vertical="center" indent="1"/>
    </xf>
    <xf numFmtId="164" fontId="48" fillId="0" borderId="5" xfId="2" applyNumberFormat="1" applyFont="1" applyBorder="1" applyAlignment="1">
      <alignment horizontal="right"/>
    </xf>
    <xf numFmtId="9" fontId="49" fillId="0" borderId="4" xfId="2" applyNumberFormat="1" applyFont="1" applyBorder="1" applyAlignment="1">
      <alignment horizontal="right"/>
    </xf>
    <xf numFmtId="9" fontId="48" fillId="0" borderId="0" xfId="2" applyNumberFormat="1" applyFont="1" applyAlignment="1">
      <alignment horizontal="right"/>
    </xf>
    <xf numFmtId="0" fontId="54" fillId="0" borderId="15" xfId="2" applyFont="1" applyBorder="1" applyAlignment="1">
      <alignment horizontal="center"/>
    </xf>
    <xf numFmtId="0" fontId="54" fillId="0" borderId="18" xfId="2" applyFont="1" applyBorder="1" applyAlignment="1">
      <alignment horizontal="center"/>
    </xf>
    <xf numFmtId="0" fontId="48" fillId="0" borderId="2" xfId="2" applyFont="1" applyBorder="1" applyAlignment="1">
      <alignment horizontal="center"/>
    </xf>
    <xf numFmtId="0" fontId="54" fillId="0" borderId="0" xfId="2" applyFont="1" applyAlignment="1">
      <alignment horizontal="center"/>
    </xf>
    <xf numFmtId="0" fontId="49" fillId="0" borderId="19" xfId="2" applyFont="1" applyBorder="1" applyAlignment="1">
      <alignment horizontal="left" indent="1"/>
    </xf>
    <xf numFmtId="9" fontId="49" fillId="0" borderId="3" xfId="330" applyFont="1" applyFill="1" applyBorder="1" applyAlignment="1">
      <alignment horizontal="center"/>
    </xf>
    <xf numFmtId="0" fontId="49" fillId="0" borderId="16" xfId="2" applyFont="1" applyBorder="1" applyAlignment="1">
      <alignment horizontal="center"/>
    </xf>
    <xf numFmtId="0" fontId="49" fillId="0" borderId="19" xfId="2" applyFont="1" applyBorder="1" applyAlignment="1">
      <alignment horizontal="center"/>
    </xf>
    <xf numFmtId="0" fontId="49" fillId="0" borderId="3" xfId="2" applyFont="1" applyBorder="1" applyAlignment="1">
      <alignment horizontal="center"/>
    </xf>
    <xf numFmtId="10" fontId="48" fillId="0" borderId="3" xfId="2" applyNumberFormat="1" applyFont="1" applyBorder="1" applyAlignment="1">
      <alignment horizontal="center"/>
    </xf>
    <xf numFmtId="0" fontId="49" fillId="0" borderId="22" xfId="2" applyFont="1" applyBorder="1" applyAlignment="1">
      <alignment horizontal="center"/>
    </xf>
    <xf numFmtId="0" fontId="49" fillId="0" borderId="21" xfId="2" applyFont="1" applyBorder="1" applyAlignment="1">
      <alignment horizontal="center"/>
    </xf>
    <xf numFmtId="0" fontId="49" fillId="0" borderId="7" xfId="2" applyFont="1" applyBorder="1" applyAlignment="1">
      <alignment horizontal="center"/>
    </xf>
    <xf numFmtId="0" fontId="49" fillId="0" borderId="13" xfId="2" applyFont="1" applyBorder="1" applyAlignment="1">
      <alignment horizontal="center"/>
    </xf>
    <xf numFmtId="0" fontId="49" fillId="0" borderId="14" xfId="2" applyFont="1" applyBorder="1" applyAlignment="1">
      <alignment horizontal="center"/>
    </xf>
    <xf numFmtId="0" fontId="48" fillId="0" borderId="10" xfId="2" applyFont="1" applyBorder="1" applyAlignment="1">
      <alignment horizontal="center" vertical="center"/>
    </xf>
    <xf numFmtId="0" fontId="49" fillId="0" borderId="36" xfId="2" applyFont="1" applyBorder="1" applyAlignment="1">
      <alignment horizontal="left" indent="1"/>
    </xf>
    <xf numFmtId="0" fontId="49" fillId="0" borderId="37" xfId="2" applyFont="1" applyBorder="1" applyAlignment="1">
      <alignment horizontal="left" indent="1"/>
    </xf>
    <xf numFmtId="167" fontId="49" fillId="0" borderId="35" xfId="2" applyNumberFormat="1" applyFont="1" applyBorder="1"/>
    <xf numFmtId="0" fontId="49" fillId="0" borderId="36" xfId="2" applyFont="1" applyBorder="1"/>
    <xf numFmtId="0" fontId="49" fillId="0" borderId="37" xfId="2" applyFont="1" applyBorder="1"/>
    <xf numFmtId="164" fontId="49" fillId="0" borderId="35" xfId="2" applyNumberFormat="1" applyFont="1" applyBorder="1"/>
    <xf numFmtId="167" fontId="48" fillId="28" borderId="35" xfId="2" applyNumberFormat="1" applyFont="1" applyFill="1" applyBorder="1"/>
    <xf numFmtId="0" fontId="48" fillId="0" borderId="8" xfId="2" applyFont="1" applyBorder="1" applyAlignment="1">
      <alignment horizontal="left" vertical="center"/>
    </xf>
    <xf numFmtId="0" fontId="48" fillId="0" borderId="0" xfId="2" applyFont="1" applyAlignment="1">
      <alignment horizontal="left" vertical="center"/>
    </xf>
    <xf numFmtId="0" fontId="49" fillId="0" borderId="15" xfId="2" applyFont="1" applyBorder="1" applyAlignment="1">
      <alignment horizontal="left" indent="1"/>
    </xf>
    <xf numFmtId="0" fontId="49" fillId="0" borderId="38" xfId="2" applyFont="1" applyBorder="1" applyAlignment="1">
      <alignment horizontal="left" indent="1"/>
    </xf>
    <xf numFmtId="164" fontId="49" fillId="0" borderId="2" xfId="3" applyFont="1" applyFill="1" applyBorder="1"/>
    <xf numFmtId="0" fontId="49" fillId="0" borderId="17" xfId="2" applyFont="1" applyBorder="1" applyAlignment="1">
      <alignment horizontal="left" indent="1"/>
    </xf>
    <xf numFmtId="0" fontId="49" fillId="0" borderId="40" xfId="2" applyFont="1" applyBorder="1" applyAlignment="1">
      <alignment horizontal="left" indent="1"/>
    </xf>
    <xf numFmtId="164" fontId="49" fillId="0" borderId="4" xfId="3" applyFont="1" applyFill="1" applyBorder="1"/>
    <xf numFmtId="0" fontId="48" fillId="0" borderId="36" xfId="2" applyFont="1" applyBorder="1" applyAlignment="1">
      <alignment horizontal="left"/>
    </xf>
    <xf numFmtId="0" fontId="48" fillId="0" borderId="27" xfId="2" applyFont="1" applyBorder="1" applyAlignment="1">
      <alignment horizontal="left"/>
    </xf>
    <xf numFmtId="0" fontId="48" fillId="0" borderId="37" xfId="2" applyFont="1" applyBorder="1" applyAlignment="1">
      <alignment horizontal="left"/>
    </xf>
    <xf numFmtId="0" fontId="48" fillId="28" borderId="36" xfId="2" applyFont="1" applyFill="1" applyBorder="1" applyAlignment="1">
      <alignment horizontal="left" indent="1"/>
    </xf>
    <xf numFmtId="0" fontId="48" fillId="28" borderId="37" xfId="2" applyFont="1" applyFill="1" applyBorder="1" applyAlignment="1">
      <alignment horizontal="left" indent="1"/>
    </xf>
    <xf numFmtId="0" fontId="48" fillId="28" borderId="35" xfId="2" applyFont="1" applyFill="1" applyBorder="1" applyAlignment="1">
      <alignment horizontal="center"/>
    </xf>
    <xf numFmtId="0" fontId="49" fillId="0" borderId="35" xfId="2" applyFont="1" applyBorder="1" applyAlignment="1">
      <alignment horizontal="center"/>
    </xf>
    <xf numFmtId="0" fontId="49" fillId="0" borderId="39" xfId="2" applyFont="1" applyBorder="1" applyAlignment="1">
      <alignment horizontal="left" indent="1"/>
    </xf>
    <xf numFmtId="0" fontId="49" fillId="0" borderId="39" xfId="2" applyFont="1" applyBorder="1"/>
    <xf numFmtId="0" fontId="55" fillId="0" borderId="0" xfId="2" applyFont="1"/>
    <xf numFmtId="0" fontId="56" fillId="0" borderId="0" xfId="2" applyFont="1"/>
    <xf numFmtId="0" fontId="48" fillId="28" borderId="36" xfId="2" applyFont="1" applyFill="1" applyBorder="1" applyAlignment="1">
      <alignment horizontal="left" vertical="center" indent="1"/>
    </xf>
    <xf numFmtId="0" fontId="48" fillId="28" borderId="37" xfId="2" applyFont="1" applyFill="1" applyBorder="1" applyAlignment="1">
      <alignment horizontal="left" vertical="center"/>
    </xf>
    <xf numFmtId="0" fontId="48" fillId="28" borderId="35" xfId="2" applyFont="1" applyFill="1" applyBorder="1" applyAlignment="1">
      <alignment horizontal="center" vertical="center"/>
    </xf>
    <xf numFmtId="0" fontId="57" fillId="0" borderId="36" xfId="2" applyFont="1" applyBorder="1" applyAlignment="1">
      <alignment horizontal="left" vertical="center" indent="1"/>
    </xf>
    <xf numFmtId="0" fontId="57" fillId="0" borderId="37" xfId="2" applyFont="1" applyBorder="1" applyAlignment="1">
      <alignment horizontal="left" vertical="center"/>
    </xf>
    <xf numFmtId="167" fontId="49" fillId="0" borderId="35" xfId="2" applyNumberFormat="1" applyFont="1" applyBorder="1" applyAlignment="1">
      <alignment vertical="center"/>
    </xf>
    <xf numFmtId="167" fontId="49" fillId="0" borderId="35" xfId="173" applyNumberFormat="1" applyFont="1" applyFill="1" applyBorder="1" applyAlignment="1">
      <alignment vertical="center"/>
    </xf>
    <xf numFmtId="9" fontId="49" fillId="0" borderId="35" xfId="357" applyFont="1" applyFill="1" applyBorder="1" applyAlignment="1">
      <alignment vertical="center"/>
    </xf>
    <xf numFmtId="170" fontId="49" fillId="0" borderId="35" xfId="357" applyNumberFormat="1" applyFont="1" applyFill="1" applyBorder="1" applyAlignment="1">
      <alignment vertical="center"/>
    </xf>
    <xf numFmtId="167" fontId="49" fillId="0" borderId="0" xfId="2" applyNumberFormat="1" applyFont="1"/>
    <xf numFmtId="0" fontId="58" fillId="0" borderId="8" xfId="2" applyFont="1" applyBorder="1" applyAlignment="1">
      <alignment vertical="center"/>
    </xf>
    <xf numFmtId="0" fontId="55" fillId="0" borderId="8" xfId="2" applyFont="1" applyBorder="1"/>
    <xf numFmtId="0" fontId="49" fillId="0" borderId="8" xfId="2" applyFont="1" applyBorder="1"/>
    <xf numFmtId="167" fontId="49" fillId="37" borderId="35" xfId="2" applyNumberFormat="1" applyFont="1" applyFill="1" applyBorder="1" applyAlignment="1">
      <alignment vertical="center"/>
    </xf>
    <xf numFmtId="9" fontId="49" fillId="0" borderId="35" xfId="330" applyFont="1" applyFill="1" applyBorder="1" applyAlignment="1">
      <alignment vertical="center"/>
    </xf>
    <xf numFmtId="0" fontId="57" fillId="0" borderId="11" xfId="2" applyFont="1" applyBorder="1" applyAlignment="1">
      <alignment horizontal="left" vertical="center" indent="1"/>
    </xf>
    <xf numFmtId="0" fontId="57" fillId="0" borderId="12" xfId="2" applyFont="1" applyBorder="1" applyAlignment="1">
      <alignment horizontal="right" vertical="center"/>
    </xf>
    <xf numFmtId="167" fontId="49" fillId="0" borderId="9" xfId="1" applyNumberFormat="1" applyFont="1" applyFill="1" applyBorder="1" applyAlignment="1">
      <alignment vertical="center"/>
    </xf>
    <xf numFmtId="0" fontId="57" fillId="0" borderId="58" xfId="2" applyFont="1" applyBorder="1" applyAlignment="1">
      <alignment horizontal="left" vertical="center" indent="1"/>
    </xf>
    <xf numFmtId="0" fontId="57" fillId="0" borderId="58" xfId="2" applyFont="1" applyBorder="1" applyAlignment="1">
      <alignment horizontal="right" vertical="center"/>
    </xf>
    <xf numFmtId="167" fontId="49" fillId="0" borderId="58" xfId="1" applyNumberFormat="1" applyFont="1" applyFill="1" applyBorder="1" applyAlignment="1">
      <alignment vertical="center"/>
    </xf>
    <xf numFmtId="0" fontId="55" fillId="2" borderId="62" xfId="2" applyFont="1" applyFill="1" applyBorder="1" applyAlignment="1">
      <alignment horizontal="left" vertical="center" indent="1"/>
    </xf>
    <xf numFmtId="0" fontId="57" fillId="2" borderId="63" xfId="2" applyFont="1" applyFill="1" applyBorder="1" applyAlignment="1">
      <alignment horizontal="left" vertical="center"/>
    </xf>
    <xf numFmtId="167" fontId="49" fillId="2" borderId="62" xfId="1" applyNumberFormat="1" applyFont="1" applyFill="1" applyBorder="1" applyAlignment="1">
      <alignment vertical="center"/>
    </xf>
    <xf numFmtId="0" fontId="49" fillId="0" borderId="11" xfId="2" applyFont="1" applyBorder="1" applyAlignment="1">
      <alignment horizontal="left" vertical="center" indent="1"/>
    </xf>
    <xf numFmtId="0" fontId="49" fillId="0" borderId="12" xfId="2" applyFont="1" applyBorder="1" applyAlignment="1">
      <alignment horizontal="left" vertical="center"/>
    </xf>
    <xf numFmtId="165" fontId="49" fillId="36" borderId="9" xfId="173" applyFont="1" applyFill="1" applyBorder="1" applyAlignment="1">
      <alignment vertical="center"/>
    </xf>
    <xf numFmtId="165" fontId="49" fillId="0" borderId="9" xfId="173" applyFont="1" applyFill="1" applyBorder="1" applyAlignment="1">
      <alignment vertical="center"/>
    </xf>
    <xf numFmtId="9" fontId="49" fillId="0" borderId="9" xfId="330" applyFont="1" applyFill="1" applyBorder="1" applyAlignment="1">
      <alignment vertical="center"/>
    </xf>
    <xf numFmtId="10" fontId="49" fillId="0" borderId="9" xfId="330" applyNumberFormat="1" applyFont="1" applyFill="1" applyBorder="1" applyAlignment="1">
      <alignment vertical="center"/>
    </xf>
    <xf numFmtId="0" fontId="48" fillId="2" borderId="11" xfId="2" applyFont="1" applyFill="1" applyBorder="1" applyAlignment="1">
      <alignment horizontal="left" vertical="center" indent="1"/>
    </xf>
    <xf numFmtId="0" fontId="49" fillId="2" borderId="12" xfId="2" applyFont="1" applyFill="1" applyBorder="1" applyAlignment="1">
      <alignment horizontal="left" vertical="center"/>
    </xf>
    <xf numFmtId="165" fontId="48" fillId="2" borderId="9" xfId="173" applyFont="1" applyFill="1" applyBorder="1" applyAlignment="1">
      <alignment vertical="center"/>
    </xf>
    <xf numFmtId="0" fontId="49" fillId="0" borderId="58" xfId="2" applyFont="1" applyBorder="1" applyAlignment="1">
      <alignment horizontal="left" indent="1"/>
    </xf>
    <xf numFmtId="1" fontId="49" fillId="0" borderId="59" xfId="330" applyNumberFormat="1" applyFont="1" applyFill="1" applyBorder="1" applyAlignment="1">
      <alignment horizontal="center" vertical="center"/>
    </xf>
    <xf numFmtId="0" fontId="58" fillId="0" borderId="0" xfId="2" applyFont="1" applyAlignment="1">
      <alignment horizontal="left" vertical="center" indent="1"/>
    </xf>
    <xf numFmtId="9" fontId="49" fillId="0" borderId="0" xfId="330" applyFont="1" applyFill="1" applyBorder="1" applyAlignment="1">
      <alignment vertical="center"/>
    </xf>
    <xf numFmtId="165" fontId="49" fillId="27" borderId="9" xfId="173" applyFont="1" applyFill="1" applyBorder="1" applyAlignment="1">
      <alignment vertical="center"/>
    </xf>
    <xf numFmtId="0" fontId="48" fillId="3" borderId="11" xfId="2" applyFont="1" applyFill="1" applyBorder="1" applyAlignment="1">
      <alignment horizontal="left" vertical="center" indent="1"/>
    </xf>
    <xf numFmtId="0" fontId="49" fillId="3" borderId="12" xfId="2" applyFont="1" applyFill="1" applyBorder="1" applyAlignment="1">
      <alignment horizontal="left" vertical="center"/>
    </xf>
    <xf numFmtId="165" fontId="48" fillId="3" borderId="9" xfId="173" applyFont="1" applyFill="1" applyBorder="1" applyAlignment="1">
      <alignment vertical="center"/>
    </xf>
    <xf numFmtId="0" fontId="49" fillId="0" borderId="59" xfId="2" applyFont="1" applyBorder="1" applyAlignment="1">
      <alignment horizontal="left" indent="1"/>
    </xf>
    <xf numFmtId="4" fontId="49" fillId="0" borderId="59" xfId="173" applyNumberFormat="1" applyFont="1" applyFill="1" applyBorder="1"/>
    <xf numFmtId="4" fontId="49" fillId="0" borderId="39" xfId="173" applyNumberFormat="1" applyFont="1" applyFill="1" applyBorder="1"/>
    <xf numFmtId="0" fontId="49" fillId="0" borderId="0" xfId="2" applyFont="1" applyAlignment="1">
      <alignment horizontal="left" indent="1"/>
    </xf>
    <xf numFmtId="4" fontId="49" fillId="0" borderId="85" xfId="173" applyNumberFormat="1" applyFont="1" applyFill="1" applyBorder="1"/>
    <xf numFmtId="0" fontId="48" fillId="30" borderId="36" xfId="2" applyFont="1" applyFill="1" applyBorder="1" applyAlignment="1">
      <alignment horizontal="left" vertical="center" indent="1"/>
    </xf>
    <xf numFmtId="0" fontId="48" fillId="30" borderId="37" xfId="2" applyFont="1" applyFill="1" applyBorder="1" applyAlignment="1">
      <alignment horizontal="left" vertical="center"/>
    </xf>
    <xf numFmtId="167" fontId="48" fillId="30" borderId="35" xfId="2" applyNumberFormat="1" applyFont="1" applyFill="1" applyBorder="1" applyAlignment="1">
      <alignment vertical="center"/>
    </xf>
    <xf numFmtId="164" fontId="49" fillId="0" borderId="0" xfId="2" applyNumberFormat="1" applyFont="1"/>
    <xf numFmtId="0" fontId="48" fillId="0" borderId="15" xfId="2" applyFont="1" applyBorder="1" applyAlignment="1">
      <alignment horizontal="left" indent="1"/>
    </xf>
    <xf numFmtId="0" fontId="48" fillId="0" borderId="18" xfId="2" applyFont="1" applyBorder="1" applyAlignment="1">
      <alignment horizontal="left" indent="1"/>
    </xf>
    <xf numFmtId="167" fontId="49" fillId="0" borderId="2" xfId="3" applyNumberFormat="1" applyFont="1" applyFill="1" applyBorder="1"/>
    <xf numFmtId="0" fontId="48" fillId="0" borderId="16" xfId="2" applyFont="1" applyBorder="1" applyAlignment="1">
      <alignment horizontal="left" indent="1"/>
    </xf>
    <xf numFmtId="0" fontId="48" fillId="0" borderId="19" xfId="2" applyFont="1" applyBorder="1" applyAlignment="1">
      <alignment horizontal="left" indent="1"/>
    </xf>
    <xf numFmtId="167" fontId="49" fillId="0" borderId="3" xfId="2" applyNumberFormat="1" applyFont="1" applyBorder="1"/>
    <xf numFmtId="165" fontId="49" fillId="0" borderId="3" xfId="173" applyFont="1" applyFill="1" applyBorder="1"/>
    <xf numFmtId="0" fontId="48" fillId="0" borderId="17" xfId="2" applyFont="1" applyBorder="1" applyAlignment="1">
      <alignment horizontal="left" indent="1"/>
    </xf>
    <xf numFmtId="0" fontId="48" fillId="0" borderId="23" xfId="2" applyFont="1" applyBorder="1" applyAlignment="1">
      <alignment horizontal="left" indent="1"/>
    </xf>
    <xf numFmtId="164" fontId="49" fillId="0" borderId="4" xfId="2" applyNumberFormat="1" applyFont="1" applyBorder="1"/>
    <xf numFmtId="0" fontId="48" fillId="0" borderId="36" xfId="2" applyFont="1" applyBorder="1" applyAlignment="1">
      <alignment horizontal="left" indent="1"/>
    </xf>
    <xf numFmtId="167" fontId="48" fillId="0" borderId="37" xfId="2" applyNumberFormat="1" applyFont="1" applyBorder="1" applyAlignment="1">
      <alignment horizontal="left" indent="1"/>
    </xf>
    <xf numFmtId="0" fontId="48" fillId="0" borderId="0" xfId="2" applyFont="1" applyAlignment="1">
      <alignment horizontal="left" indent="1"/>
    </xf>
    <xf numFmtId="167" fontId="48" fillId="0" borderId="0" xfId="2" applyNumberFormat="1" applyFont="1" applyAlignment="1">
      <alignment horizontal="left" indent="1"/>
    </xf>
    <xf numFmtId="167" fontId="48" fillId="28" borderId="59" xfId="2" applyNumberFormat="1" applyFont="1" applyFill="1" applyBorder="1"/>
    <xf numFmtId="0" fontId="48" fillId="29" borderId="35" xfId="2" applyFont="1" applyFill="1" applyBorder="1" applyAlignment="1">
      <alignment horizontal="left" vertical="center" indent="1"/>
    </xf>
    <xf numFmtId="165" fontId="48" fillId="29" borderId="10" xfId="173" applyFont="1" applyFill="1" applyBorder="1" applyAlignment="1">
      <alignment vertical="center"/>
    </xf>
    <xf numFmtId="164" fontId="48" fillId="0" borderId="0" xfId="2" applyNumberFormat="1" applyFont="1" applyAlignment="1">
      <alignment horizontal="left" vertical="center"/>
    </xf>
    <xf numFmtId="171" fontId="49" fillId="0" borderId="0" xfId="2" applyNumberFormat="1" applyFont="1"/>
    <xf numFmtId="0" fontId="48" fillId="29" borderId="10" xfId="2" applyFont="1" applyFill="1" applyBorder="1" applyAlignment="1">
      <alignment horizontal="left" vertical="center" indent="1"/>
    </xf>
    <xf numFmtId="10" fontId="48" fillId="29" borderId="10" xfId="3" applyNumberFormat="1" applyFont="1" applyFill="1" applyBorder="1" applyAlignment="1">
      <alignment vertical="center"/>
    </xf>
    <xf numFmtId="10" fontId="48" fillId="0" borderId="0" xfId="3" quotePrefix="1" applyNumberFormat="1" applyFont="1" applyFill="1" applyAlignment="1">
      <alignment horizontal="center" vertical="center"/>
    </xf>
    <xf numFmtId="10" fontId="48" fillId="29" borderId="59" xfId="2" applyNumberFormat="1" applyFont="1" applyFill="1" applyBorder="1" applyAlignment="1">
      <alignment horizontal="left" vertical="center" indent="1"/>
    </xf>
    <xf numFmtId="0" fontId="48" fillId="29" borderId="59" xfId="2" applyFont="1" applyFill="1" applyBorder="1" applyAlignment="1">
      <alignment horizontal="center" vertical="center"/>
    </xf>
    <xf numFmtId="10" fontId="48" fillId="29" borderId="59" xfId="2" applyNumberFormat="1" applyFont="1" applyFill="1" applyBorder="1" applyAlignment="1">
      <alignment horizontal="left" vertical="center"/>
    </xf>
    <xf numFmtId="0" fontId="48" fillId="29" borderId="59" xfId="2" applyFont="1" applyFill="1" applyBorder="1" applyAlignment="1">
      <alignment horizontal="left" vertical="center" indent="1"/>
    </xf>
    <xf numFmtId="2" fontId="48" fillId="29" borderId="59" xfId="3" applyNumberFormat="1" applyFont="1" applyFill="1" applyBorder="1" applyAlignment="1">
      <alignment vertical="center"/>
    </xf>
    <xf numFmtId="10" fontId="48" fillId="0" borderId="0" xfId="2" applyNumberFormat="1" applyFont="1" applyAlignment="1">
      <alignment horizontal="left" vertical="center" indent="1"/>
    </xf>
    <xf numFmtId="0" fontId="48" fillId="0" borderId="0" xfId="2" applyFont="1" applyAlignment="1">
      <alignment horizontal="center" vertical="center"/>
    </xf>
    <xf numFmtId="10" fontId="48" fillId="0" borderId="0" xfId="2" applyNumberFormat="1" applyFont="1" applyAlignment="1">
      <alignment horizontal="left" vertical="center"/>
    </xf>
    <xf numFmtId="10" fontId="48" fillId="29" borderId="59" xfId="3" applyNumberFormat="1" applyFont="1" applyFill="1" applyBorder="1" applyAlignment="1">
      <alignment vertical="center"/>
    </xf>
    <xf numFmtId="10" fontId="48" fillId="0" borderId="0" xfId="2" applyNumberFormat="1" applyFont="1"/>
    <xf numFmtId="0" fontId="48" fillId="0" borderId="37" xfId="2" applyFont="1" applyBorder="1" applyAlignment="1">
      <alignment horizontal="left" indent="1"/>
    </xf>
    <xf numFmtId="167" fontId="49" fillId="0" borderId="35" xfId="3" applyNumberFormat="1" applyFont="1" applyFill="1" applyBorder="1"/>
    <xf numFmtId="39" fontId="49" fillId="0" borderId="35" xfId="3" applyNumberFormat="1" applyFont="1" applyFill="1" applyBorder="1"/>
    <xf numFmtId="165" fontId="49" fillId="0" borderId="0" xfId="2" applyNumberFormat="1" applyFont="1"/>
    <xf numFmtId="0" fontId="48" fillId="31" borderId="59" xfId="2" applyFont="1" applyFill="1" applyBorder="1" applyAlignment="1">
      <alignment horizontal="center"/>
    </xf>
    <xf numFmtId="0" fontId="50" fillId="0" borderId="0" xfId="0" applyFont="1"/>
    <xf numFmtId="167" fontId="49" fillId="29" borderId="59" xfId="1" applyNumberFormat="1" applyFont="1" applyFill="1" applyBorder="1"/>
    <xf numFmtId="10" fontId="49" fillId="29" borderId="59" xfId="357" applyNumberFormat="1" applyFont="1" applyFill="1" applyBorder="1"/>
    <xf numFmtId="170" fontId="49" fillId="0" borderId="0" xfId="330" applyNumberFormat="1" applyFont="1" applyFill="1"/>
    <xf numFmtId="0" fontId="48" fillId="0" borderId="0" xfId="2" applyFont="1" applyAlignment="1">
      <alignment horizontal="center" vertical="center" wrapText="1"/>
    </xf>
    <xf numFmtId="167" fontId="49" fillId="0" borderId="0" xfId="1" applyNumberFormat="1" applyFont="1" applyFill="1"/>
    <xf numFmtId="10" fontId="49" fillId="0" borderId="0" xfId="330" applyNumberFormat="1" applyFont="1" applyFill="1" applyBorder="1"/>
    <xf numFmtId="0" fontId="49" fillId="38" borderId="86" xfId="2" applyFont="1" applyFill="1" applyBorder="1"/>
    <xf numFmtId="0" fontId="52" fillId="38" borderId="86" xfId="2" applyFont="1" applyFill="1" applyBorder="1"/>
    <xf numFmtId="0" fontId="48" fillId="31" borderId="59" xfId="0" applyFont="1" applyFill="1" applyBorder="1" applyAlignment="1">
      <alignment horizontal="center"/>
    </xf>
    <xf numFmtId="0" fontId="48" fillId="31" borderId="59" xfId="279" applyFont="1" applyFill="1" applyBorder="1" applyAlignment="1">
      <alignment horizontal="center"/>
    </xf>
    <xf numFmtId="173" fontId="50" fillId="29" borderId="59" xfId="0" applyNumberFormat="1" applyFont="1" applyFill="1" applyBorder="1" applyAlignment="1">
      <alignment horizontal="center" vertical="center"/>
    </xf>
    <xf numFmtId="0" fontId="59" fillId="29" borderId="59" xfId="0" applyFont="1" applyFill="1" applyBorder="1" applyAlignment="1">
      <alignment horizontal="center" vertical="center"/>
    </xf>
    <xf numFmtId="0" fontId="50" fillId="39" borderId="87" xfId="0" applyFont="1" applyFill="1" applyBorder="1" applyAlignment="1">
      <alignment horizontal="center" vertical="center"/>
    </xf>
    <xf numFmtId="0" fontId="50" fillId="39" borderId="6" xfId="0" applyFont="1" applyFill="1" applyBorder="1" applyAlignment="1">
      <alignment horizontal="center" vertical="center"/>
    </xf>
    <xf numFmtId="0" fontId="50" fillId="39" borderId="10" xfId="0" applyFont="1" applyFill="1" applyBorder="1" applyAlignment="1">
      <alignment horizontal="center" vertical="center"/>
    </xf>
    <xf numFmtId="0" fontId="50" fillId="39" borderId="87" xfId="0" applyFont="1" applyFill="1" applyBorder="1" applyAlignment="1">
      <alignment vertical="center"/>
    </xf>
    <xf numFmtId="0" fontId="50" fillId="39" borderId="6" xfId="0" applyFont="1" applyFill="1" applyBorder="1" applyAlignment="1">
      <alignment vertical="center"/>
    </xf>
    <xf numFmtId="0" fontId="50" fillId="39" borderId="10" xfId="0" applyFont="1" applyFill="1" applyBorder="1" applyAlignment="1">
      <alignment vertical="center"/>
    </xf>
    <xf numFmtId="0" fontId="56" fillId="38" borderId="86" xfId="2" applyFont="1" applyFill="1" applyBorder="1"/>
    <xf numFmtId="0" fontId="48" fillId="31" borderId="88" xfId="0" applyFont="1" applyFill="1" applyBorder="1" applyAlignment="1">
      <alignment horizontal="center"/>
    </xf>
    <xf numFmtId="0" fontId="48" fillId="31" borderId="85" xfId="0" applyFont="1" applyFill="1" applyBorder="1" applyAlignment="1">
      <alignment horizontal="center"/>
    </xf>
    <xf numFmtId="0" fontId="48" fillId="31" borderId="85" xfId="279" applyFont="1" applyFill="1" applyBorder="1" applyAlignment="1">
      <alignment horizontal="center"/>
    </xf>
    <xf numFmtId="0" fontId="48" fillId="31" borderId="89" xfId="2" applyFont="1" applyFill="1" applyBorder="1" applyAlignment="1">
      <alignment horizontal="center"/>
    </xf>
    <xf numFmtId="9" fontId="48" fillId="31" borderId="0" xfId="0" applyNumberFormat="1" applyFont="1" applyFill="1" applyAlignment="1">
      <alignment horizontal="center"/>
    </xf>
    <xf numFmtId="0" fontId="49" fillId="31" borderId="0" xfId="0" applyFont="1" applyFill="1" applyAlignment="1">
      <alignment horizontal="center"/>
    </xf>
    <xf numFmtId="0" fontId="49" fillId="39" borderId="8" xfId="0" applyFont="1" applyFill="1" applyBorder="1"/>
    <xf numFmtId="0" fontId="53" fillId="38" borderId="0" xfId="2" applyFont="1" applyFill="1"/>
    <xf numFmtId="0" fontId="49" fillId="39" borderId="85" xfId="0" applyFont="1" applyFill="1" applyBorder="1"/>
    <xf numFmtId="165" fontId="49" fillId="0" borderId="0" xfId="2" applyNumberFormat="1" applyFont="1" applyAlignment="1">
      <alignment vertical="center"/>
    </xf>
    <xf numFmtId="0" fontId="0" fillId="41" borderId="0" xfId="0" applyFill="1"/>
    <xf numFmtId="0" fontId="0" fillId="42" borderId="0" xfId="0" applyFill="1"/>
    <xf numFmtId="10" fontId="48" fillId="40" borderId="91" xfId="2" applyNumberFormat="1" applyFont="1" applyFill="1" applyBorder="1" applyAlignment="1">
      <alignment horizontal="left" vertical="center" indent="1"/>
    </xf>
    <xf numFmtId="0" fontId="48" fillId="40" borderId="85" xfId="2" applyFont="1" applyFill="1" applyBorder="1" applyAlignment="1">
      <alignment horizontal="center" vertical="center"/>
    </xf>
    <xf numFmtId="10" fontId="48" fillId="40" borderId="89" xfId="2" applyNumberFormat="1" applyFont="1" applyFill="1" applyBorder="1" applyAlignment="1">
      <alignment horizontal="left" vertical="center"/>
    </xf>
    <xf numFmtId="10" fontId="48" fillId="40" borderId="59" xfId="2" applyNumberFormat="1" applyFont="1" applyFill="1" applyBorder="1" applyAlignment="1">
      <alignment horizontal="left" vertical="center" indent="1"/>
    </xf>
    <xf numFmtId="0" fontId="48" fillId="40" borderId="59" xfId="2" applyFont="1" applyFill="1" applyBorder="1" applyAlignment="1">
      <alignment horizontal="center" vertical="center"/>
    </xf>
    <xf numFmtId="10" fontId="48" fillId="40" borderId="59" xfId="2" applyNumberFormat="1" applyFont="1" applyFill="1" applyBorder="1" applyAlignment="1">
      <alignment horizontal="left" vertical="center"/>
    </xf>
    <xf numFmtId="0" fontId="49" fillId="40" borderId="59" xfId="2" applyFont="1" applyFill="1" applyBorder="1"/>
    <xf numFmtId="0" fontId="62" fillId="41" borderId="0" xfId="0" applyFont="1" applyFill="1"/>
    <xf numFmtId="0" fontId="48" fillId="31" borderId="92" xfId="279" applyFont="1" applyFill="1" applyBorder="1" applyAlignment="1">
      <alignment horizontal="center"/>
    </xf>
    <xf numFmtId="0" fontId="0" fillId="42" borderId="0" xfId="0" applyFill="1" applyAlignment="1">
      <alignment horizontal="center"/>
    </xf>
    <xf numFmtId="3" fontId="49" fillId="0" borderId="38" xfId="2" applyNumberFormat="1" applyFont="1" applyBorder="1"/>
    <xf numFmtId="173" fontId="50" fillId="29" borderId="92" xfId="0" applyNumberFormat="1" applyFont="1" applyFill="1" applyBorder="1" applyAlignment="1">
      <alignment horizontal="center" vertical="center"/>
    </xf>
    <xf numFmtId="0" fontId="59" fillId="29" borderId="92" xfId="0" applyFont="1" applyFill="1" applyBorder="1" applyAlignment="1">
      <alignment horizontal="center" vertical="center"/>
    </xf>
    <xf numFmtId="173" fontId="50" fillId="29" borderId="10" xfId="0" applyNumberFormat="1" applyFont="1" applyFill="1" applyBorder="1" applyAlignment="1">
      <alignment horizontal="center" vertical="center"/>
    </xf>
    <xf numFmtId="0" fontId="59" fillId="29" borderId="10" xfId="0" applyFont="1" applyFill="1" applyBorder="1" applyAlignment="1">
      <alignment horizontal="center" vertical="center"/>
    </xf>
    <xf numFmtId="0" fontId="67" fillId="44" borderId="93" xfId="0" applyFont="1" applyFill="1" applyBorder="1" applyAlignment="1">
      <alignment horizontal="center"/>
    </xf>
    <xf numFmtId="0" fontId="67" fillId="44" borderId="97" xfId="0" applyFont="1" applyFill="1" applyBorder="1" applyAlignment="1">
      <alignment horizontal="center" vertical="center"/>
    </xf>
    <xf numFmtId="0" fontId="49" fillId="29" borderId="92" xfId="0" applyFont="1" applyFill="1" applyBorder="1" applyAlignment="1">
      <alignment vertical="center"/>
    </xf>
    <xf numFmtId="0" fontId="0" fillId="45" borderId="0" xfId="0" applyFill="1"/>
    <xf numFmtId="0" fontId="63" fillId="45" borderId="0" xfId="0" applyFont="1" applyFill="1" applyAlignment="1">
      <alignment horizontal="center"/>
    </xf>
    <xf numFmtId="0" fontId="63" fillId="45" borderId="0" xfId="0" applyFont="1" applyFill="1" applyAlignment="1">
      <alignment horizontal="left" indent="1"/>
    </xf>
    <xf numFmtId="0" fontId="63" fillId="45" borderId="0" xfId="0" applyFont="1" applyFill="1"/>
    <xf numFmtId="0" fontId="0" fillId="45" borderId="0" xfId="0" applyFill="1" applyAlignment="1">
      <alignment horizontal="center"/>
    </xf>
    <xf numFmtId="0" fontId="0" fillId="45" borderId="0" xfId="0" applyFill="1" applyAlignment="1">
      <alignment horizontal="left" indent="1"/>
    </xf>
    <xf numFmtId="0" fontId="65" fillId="45" borderId="0" xfId="0" applyFont="1" applyFill="1" applyAlignment="1">
      <alignment horizontal="left"/>
    </xf>
    <xf numFmtId="0" fontId="61" fillId="45" borderId="0" xfId="0" applyFont="1" applyFill="1"/>
    <xf numFmtId="0" fontId="64" fillId="45" borderId="0" xfId="0" applyFont="1" applyFill="1" applyAlignment="1">
      <alignment horizontal="left"/>
    </xf>
    <xf numFmtId="0" fontId="61" fillId="45" borderId="0" xfId="0" applyFont="1" applyFill="1" applyAlignment="1">
      <alignment horizontal="center"/>
    </xf>
    <xf numFmtId="0" fontId="49" fillId="29" borderId="14" xfId="0" applyFont="1" applyFill="1" applyBorder="1" applyAlignment="1">
      <alignment horizontal="center" vertical="center"/>
    </xf>
    <xf numFmtId="0" fontId="49" fillId="29" borderId="66" xfId="0" applyFont="1" applyFill="1" applyBorder="1" applyAlignment="1">
      <alignment horizontal="center" vertical="center"/>
    </xf>
    <xf numFmtId="0" fontId="61" fillId="44" borderId="97" xfId="0" applyFont="1" applyFill="1" applyBorder="1" applyAlignment="1">
      <alignment horizontal="center"/>
    </xf>
    <xf numFmtId="0" fontId="57" fillId="29" borderId="14" xfId="0" applyFont="1" applyFill="1" applyBorder="1" applyAlignment="1">
      <alignment horizontal="center"/>
    </xf>
    <xf numFmtId="0" fontId="57" fillId="29" borderId="66" xfId="0" applyFont="1" applyFill="1" applyBorder="1" applyAlignment="1">
      <alignment horizontal="center"/>
    </xf>
    <xf numFmtId="0" fontId="0" fillId="45" borderId="0" xfId="0" applyFill="1" applyAlignment="1">
      <alignment wrapText="1"/>
    </xf>
    <xf numFmtId="0" fontId="59" fillId="45" borderId="0" xfId="0" applyFont="1" applyFill="1"/>
    <xf numFmtId="0" fontId="70" fillId="46" borderId="0" xfId="0" applyFont="1" applyFill="1" applyAlignment="1">
      <alignment horizontal="center"/>
    </xf>
    <xf numFmtId="10" fontId="60" fillId="29" borderId="0" xfId="0" applyNumberFormat="1" applyFont="1" applyFill="1" applyAlignment="1">
      <alignment horizontal="right" vertical="center"/>
    </xf>
    <xf numFmtId="0" fontId="60" fillId="29" borderId="0" xfId="0" applyFont="1" applyFill="1" applyAlignment="1">
      <alignment horizontal="right"/>
    </xf>
    <xf numFmtId="44" fontId="47" fillId="29" borderId="0" xfId="358" applyFont="1" applyFill="1" applyAlignment="1">
      <alignment horizontal="right" vertical="center"/>
    </xf>
    <xf numFmtId="1" fontId="47" fillId="29" borderId="0" xfId="358" applyNumberFormat="1" applyFont="1" applyFill="1" applyAlignment="1">
      <alignment horizontal="right" vertical="center"/>
    </xf>
    <xf numFmtId="9" fontId="47" fillId="29" borderId="0" xfId="358" applyNumberFormat="1" applyFont="1" applyFill="1" applyAlignment="1">
      <alignment horizontal="right" vertical="center"/>
    </xf>
    <xf numFmtId="2" fontId="47" fillId="29" borderId="0" xfId="358" applyNumberFormat="1" applyFont="1" applyFill="1" applyAlignment="1">
      <alignment horizontal="right" vertical="center"/>
    </xf>
    <xf numFmtId="44" fontId="47" fillId="29" borderId="0" xfId="358" applyFont="1" applyFill="1" applyAlignment="1">
      <alignment horizontal="right"/>
    </xf>
    <xf numFmtId="165" fontId="60" fillId="29" borderId="0" xfId="0" applyNumberFormat="1" applyFont="1" applyFill="1" applyAlignment="1">
      <alignment horizontal="right"/>
    </xf>
    <xf numFmtId="10" fontId="60" fillId="29" borderId="0" xfId="0" applyNumberFormat="1" applyFont="1" applyFill="1" applyAlignment="1">
      <alignment horizontal="right"/>
    </xf>
    <xf numFmtId="1" fontId="60" fillId="29" borderId="0" xfId="0" applyNumberFormat="1" applyFont="1" applyFill="1" applyAlignment="1">
      <alignment horizontal="right"/>
    </xf>
    <xf numFmtId="2" fontId="60" fillId="29" borderId="0" xfId="0" applyNumberFormat="1" applyFont="1" applyFill="1" applyAlignment="1">
      <alignment horizontal="right" vertical="center"/>
    </xf>
    <xf numFmtId="10" fontId="60" fillId="29" borderId="0" xfId="357" applyNumberFormat="1" applyFont="1" applyFill="1" applyBorder="1" applyAlignment="1">
      <alignment horizontal="right" vertical="center"/>
    </xf>
    <xf numFmtId="2" fontId="60" fillId="29" borderId="0" xfId="357" applyNumberFormat="1" applyFont="1" applyFill="1" applyBorder="1" applyAlignment="1">
      <alignment horizontal="right" vertical="center"/>
    </xf>
    <xf numFmtId="2" fontId="47" fillId="29" borderId="0" xfId="0" applyNumberFormat="1" applyFont="1" applyFill="1" applyAlignment="1">
      <alignment horizontal="right"/>
    </xf>
    <xf numFmtId="0" fontId="60" fillId="29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47" fillId="29" borderId="0" xfId="0" applyFont="1" applyFill="1" applyAlignment="1">
      <alignment horizontal="right"/>
    </xf>
    <xf numFmtId="44" fontId="47" fillId="29" borderId="0" xfId="358" applyFont="1" applyFill="1" applyBorder="1" applyAlignment="1">
      <alignment horizontal="right"/>
    </xf>
    <xf numFmtId="10" fontId="47" fillId="29" borderId="0" xfId="0" applyNumberFormat="1" applyFont="1" applyFill="1" applyAlignment="1">
      <alignment horizontal="right"/>
    </xf>
    <xf numFmtId="1" fontId="47" fillId="29" borderId="0" xfId="358" applyNumberFormat="1" applyFont="1" applyFill="1" applyBorder="1" applyAlignment="1">
      <alignment horizontal="right" vertical="center"/>
    </xf>
    <xf numFmtId="9" fontId="47" fillId="29" borderId="0" xfId="358" applyNumberFormat="1" applyFont="1" applyFill="1" applyBorder="1" applyAlignment="1">
      <alignment horizontal="right"/>
    </xf>
    <xf numFmtId="1" fontId="47" fillId="29" borderId="0" xfId="0" applyNumberFormat="1" applyFont="1" applyFill="1" applyAlignment="1">
      <alignment horizontal="right"/>
    </xf>
    <xf numFmtId="0" fontId="47" fillId="29" borderId="0" xfId="0" applyFont="1" applyFill="1" applyAlignment="1">
      <alignment horizontal="right" vertical="center"/>
    </xf>
    <xf numFmtId="0" fontId="66" fillId="46" borderId="0" xfId="0" applyFont="1" applyFill="1" applyAlignment="1">
      <alignment horizontal="center"/>
    </xf>
    <xf numFmtId="172" fontId="66" fillId="46" borderId="0" xfId="0" applyNumberFormat="1" applyFont="1" applyFill="1" applyAlignment="1">
      <alignment horizontal="center"/>
    </xf>
    <xf numFmtId="9" fontId="66" fillId="46" borderId="0" xfId="0" applyNumberFormat="1" applyFont="1" applyFill="1" applyAlignment="1">
      <alignment horizontal="center"/>
    </xf>
    <xf numFmtId="10" fontId="66" fillId="46" borderId="0" xfId="0" applyNumberFormat="1" applyFont="1" applyFill="1" applyAlignment="1">
      <alignment horizontal="center"/>
    </xf>
    <xf numFmtId="9" fontId="66" fillId="46" borderId="0" xfId="357" applyFont="1" applyFill="1" applyBorder="1" applyAlignment="1">
      <alignment horizontal="center"/>
    </xf>
    <xf numFmtId="0" fontId="0" fillId="45" borderId="0" xfId="0" applyFill="1" applyAlignment="1">
      <alignment horizontal="right"/>
    </xf>
    <xf numFmtId="0" fontId="61" fillId="43" borderId="99" xfId="0" applyFont="1" applyFill="1" applyBorder="1"/>
    <xf numFmtId="0" fontId="57" fillId="29" borderId="99" xfId="0" applyFont="1" applyFill="1" applyBorder="1" applyAlignment="1">
      <alignment horizontal="left"/>
    </xf>
    <xf numFmtId="0" fontId="57" fillId="29" borderId="99" xfId="0" applyFont="1" applyFill="1" applyBorder="1" applyAlignment="1">
      <alignment horizontal="left" indent="1"/>
    </xf>
    <xf numFmtId="0" fontId="57" fillId="29" borderId="99" xfId="0" applyFont="1" applyFill="1" applyBorder="1" applyAlignment="1">
      <alignment horizontal="left" indent="2"/>
    </xf>
    <xf numFmtId="0" fontId="57" fillId="29" borderId="99" xfId="0" applyFont="1" applyFill="1" applyBorder="1" applyAlignment="1">
      <alignment horizontal="left" indent="3"/>
    </xf>
    <xf numFmtId="0" fontId="61" fillId="43" borderId="92" xfId="0" applyFont="1" applyFill="1" applyBorder="1" applyAlignment="1">
      <alignment horizontal="center"/>
    </xf>
    <xf numFmtId="10" fontId="68" fillId="29" borderId="92" xfId="0" applyNumberFormat="1" applyFont="1" applyFill="1" applyBorder="1"/>
    <xf numFmtId="44" fontId="68" fillId="29" borderId="92" xfId="0" applyNumberFormat="1" applyFont="1" applyFill="1" applyBorder="1"/>
    <xf numFmtId="9" fontId="68" fillId="29" borderId="92" xfId="0" applyNumberFormat="1" applyFont="1" applyFill="1" applyBorder="1"/>
    <xf numFmtId="0" fontId="61" fillId="43" borderId="92" xfId="0" applyFont="1" applyFill="1" applyBorder="1"/>
    <xf numFmtId="0" fontId="61" fillId="43" borderId="92" xfId="0" applyFont="1" applyFill="1" applyBorder="1" applyAlignment="1">
      <alignment horizontal="left"/>
    </xf>
    <xf numFmtId="44" fontId="69" fillId="29" borderId="92" xfId="0" applyNumberFormat="1" applyFont="1" applyFill="1" applyBorder="1"/>
    <xf numFmtId="10" fontId="69" fillId="29" borderId="92" xfId="0" applyNumberFormat="1" applyFont="1" applyFill="1" applyBorder="1"/>
    <xf numFmtId="2" fontId="69" fillId="29" borderId="92" xfId="0" applyNumberFormat="1" applyFont="1" applyFill="1" applyBorder="1"/>
    <xf numFmtId="0" fontId="59" fillId="29" borderId="92" xfId="0" applyFont="1" applyFill="1" applyBorder="1"/>
    <xf numFmtId="0" fontId="59" fillId="29" borderId="92" xfId="0" applyFont="1" applyFill="1" applyBorder="1" applyAlignment="1">
      <alignment horizontal="center"/>
    </xf>
    <xf numFmtId="0" fontId="59" fillId="29" borderId="92" xfId="0" applyFont="1" applyFill="1" applyBorder="1" applyAlignment="1">
      <alignment horizontal="left"/>
    </xf>
    <xf numFmtId="0" fontId="59" fillId="29" borderId="92" xfId="0" applyFont="1" applyFill="1" applyBorder="1" applyAlignment="1">
      <alignment horizontal="left" indent="1"/>
    </xf>
    <xf numFmtId="0" fontId="59" fillId="29" borderId="92" xfId="0" applyFont="1" applyFill="1" applyBorder="1" applyAlignment="1">
      <alignment horizontal="left" indent="2"/>
    </xf>
    <xf numFmtId="0" fontId="59" fillId="29" borderId="92" xfId="0" applyFont="1" applyFill="1" applyBorder="1" applyAlignment="1">
      <alignment horizontal="left" indent="3"/>
    </xf>
    <xf numFmtId="0" fontId="59" fillId="29" borderId="92" xfId="0" applyFont="1" applyFill="1" applyBorder="1" applyAlignment="1">
      <alignment horizontal="left" indent="4"/>
    </xf>
    <xf numFmtId="0" fontId="63" fillId="41" borderId="0" xfId="0" applyFont="1" applyFill="1"/>
    <xf numFmtId="0" fontId="48" fillId="27" borderId="80" xfId="2" applyFont="1" applyFill="1" applyBorder="1" applyAlignment="1">
      <alignment horizontal="center" vertical="center"/>
    </xf>
    <xf numFmtId="0" fontId="48" fillId="31" borderId="66" xfId="0" applyFont="1" applyFill="1" applyBorder="1" applyAlignment="1">
      <alignment horizontal="center" vertical="center"/>
    </xf>
    <xf numFmtId="0" fontId="49" fillId="39" borderId="89" xfId="0" applyFont="1" applyFill="1" applyBorder="1"/>
    <xf numFmtId="0" fontId="49" fillId="39" borderId="14" xfId="0" applyFont="1" applyFill="1" applyBorder="1"/>
    <xf numFmtId="0" fontId="57" fillId="29" borderId="92" xfId="0" applyFont="1" applyFill="1" applyBorder="1" applyAlignment="1">
      <alignment horizontal="left"/>
    </xf>
    <xf numFmtId="0" fontId="69" fillId="29" borderId="92" xfId="0" applyFont="1" applyFill="1" applyBorder="1"/>
    <xf numFmtId="0" fontId="68" fillId="29" borderId="92" xfId="0" applyFont="1" applyFill="1" applyBorder="1"/>
    <xf numFmtId="0" fontId="49" fillId="29" borderId="64" xfId="0" applyFont="1" applyFill="1" applyBorder="1" applyAlignment="1">
      <alignment vertical="center"/>
    </xf>
    <xf numFmtId="0" fontId="49" fillId="29" borderId="65" xfId="0" applyFont="1" applyFill="1" applyBorder="1" applyAlignment="1">
      <alignment vertical="center"/>
    </xf>
    <xf numFmtId="0" fontId="49" fillId="29" borderId="66" xfId="0" applyFont="1" applyFill="1" applyBorder="1" applyAlignment="1">
      <alignment vertical="center"/>
    </xf>
    <xf numFmtId="0" fontId="50" fillId="29" borderId="92" xfId="0" applyFont="1" applyFill="1" applyBorder="1" applyAlignment="1">
      <alignment horizontal="center" vertical="center"/>
    </xf>
    <xf numFmtId="0" fontId="50" fillId="29" borderId="10" xfId="0" applyFont="1" applyFill="1" applyBorder="1" applyAlignment="1">
      <alignment horizontal="center" vertical="center"/>
    </xf>
    <xf numFmtId="0" fontId="49" fillId="29" borderId="64" xfId="0" applyFont="1" applyFill="1" applyBorder="1" applyAlignment="1">
      <alignment vertical="center" wrapText="1"/>
    </xf>
    <xf numFmtId="0" fontId="49" fillId="29" borderId="65" xfId="0" applyFont="1" applyFill="1" applyBorder="1" applyAlignment="1">
      <alignment vertical="center" wrapText="1"/>
    </xf>
    <xf numFmtId="0" fontId="49" fillId="29" borderId="66" xfId="0" applyFont="1" applyFill="1" applyBorder="1" applyAlignment="1">
      <alignment vertical="center" wrapText="1"/>
    </xf>
    <xf numFmtId="167" fontId="49" fillId="29" borderId="92" xfId="1" applyNumberFormat="1" applyFont="1" applyFill="1" applyBorder="1" applyAlignment="1">
      <alignment horizontal="right" vertical="center"/>
    </xf>
    <xf numFmtId="164" fontId="49" fillId="29" borderId="92" xfId="1" applyFont="1" applyFill="1" applyBorder="1" applyAlignment="1">
      <alignment horizontal="right" vertical="center"/>
    </xf>
    <xf numFmtId="9" fontId="49" fillId="29" borderId="92" xfId="357" applyFont="1" applyFill="1" applyBorder="1" applyAlignment="1">
      <alignment horizontal="right" vertical="center"/>
    </xf>
    <xf numFmtId="10" fontId="49" fillId="29" borderId="92" xfId="357" applyNumberFormat="1" applyFont="1" applyFill="1" applyBorder="1" applyAlignment="1">
      <alignment horizontal="right" vertical="center"/>
    </xf>
    <xf numFmtId="164" fontId="49" fillId="29" borderId="92" xfId="357" applyNumberFormat="1" applyFont="1" applyFill="1" applyBorder="1" applyAlignment="1">
      <alignment horizontal="right" vertical="center"/>
    </xf>
    <xf numFmtId="0" fontId="67" fillId="44" borderId="93" xfId="0" applyFont="1" applyFill="1" applyBorder="1" applyAlignment="1">
      <alignment horizontal="center" vertical="center"/>
    </xf>
    <xf numFmtId="167" fontId="49" fillId="29" borderId="10" xfId="1" applyNumberFormat="1" applyFont="1" applyFill="1" applyBorder="1" applyAlignment="1">
      <alignment horizontal="right" vertical="center"/>
    </xf>
    <xf numFmtId="0" fontId="49" fillId="29" borderId="92" xfId="358" applyNumberFormat="1" applyFont="1" applyFill="1" applyBorder="1" applyAlignment="1">
      <alignment horizontal="right" vertical="center"/>
    </xf>
    <xf numFmtId="0" fontId="67" fillId="44" borderId="96" xfId="0" applyFont="1" applyFill="1" applyBorder="1" applyAlignment="1">
      <alignment horizontal="center" vertical="center"/>
    </xf>
    <xf numFmtId="0" fontId="67" fillId="44" borderId="86" xfId="0" applyFont="1" applyFill="1" applyBorder="1" applyAlignment="1">
      <alignment horizontal="center" vertical="center"/>
    </xf>
    <xf numFmtId="0" fontId="67" fillId="44" borderId="97" xfId="0" applyFont="1" applyFill="1" applyBorder="1" applyAlignment="1">
      <alignment horizontal="center" vertical="center"/>
    </xf>
    <xf numFmtId="0" fontId="49" fillId="29" borderId="94" xfId="0" applyFont="1" applyFill="1" applyBorder="1" applyAlignment="1">
      <alignment vertical="center"/>
    </xf>
    <xf numFmtId="0" fontId="49" fillId="29" borderId="98" xfId="0" applyFont="1" applyFill="1" applyBorder="1" applyAlignment="1">
      <alignment vertical="center"/>
    </xf>
    <xf numFmtId="0" fontId="49" fillId="29" borderId="95" xfId="0" applyFont="1" applyFill="1" applyBorder="1" applyAlignment="1">
      <alignment vertical="center"/>
    </xf>
    <xf numFmtId="0" fontId="48" fillId="29" borderId="59" xfId="2" applyFont="1" applyFill="1" applyBorder="1" applyAlignment="1">
      <alignment horizontal="center" vertical="center"/>
    </xf>
    <xf numFmtId="0" fontId="48" fillId="31" borderId="90" xfId="0" applyFont="1" applyFill="1" applyBorder="1" applyAlignment="1">
      <alignment horizontal="center" vertical="center" wrapText="1"/>
    </xf>
    <xf numFmtId="0" fontId="48" fillId="31" borderId="0" xfId="0" applyFont="1" applyFill="1" applyAlignment="1">
      <alignment horizontal="center" vertical="center" wrapText="1"/>
    </xf>
    <xf numFmtId="0" fontId="48" fillId="39" borderId="91" xfId="0" applyFont="1" applyFill="1" applyBorder="1" applyAlignment="1">
      <alignment horizontal="center" vertical="center"/>
    </xf>
    <xf numFmtId="0" fontId="48" fillId="39" borderId="85" xfId="0" applyFont="1" applyFill="1" applyBorder="1" applyAlignment="1">
      <alignment horizontal="center" vertical="center"/>
    </xf>
    <xf numFmtId="0" fontId="48" fillId="39" borderId="13" xfId="0" applyFont="1" applyFill="1" applyBorder="1" applyAlignment="1">
      <alignment horizontal="center" vertical="center"/>
    </xf>
    <xf numFmtId="0" fontId="48" fillId="39" borderId="8" xfId="0" applyFont="1" applyFill="1" applyBorder="1" applyAlignment="1">
      <alignment horizontal="center" vertical="center"/>
    </xf>
    <xf numFmtId="0" fontId="46" fillId="27" borderId="89" xfId="0" applyFont="1" applyFill="1" applyBorder="1" applyAlignment="1">
      <alignment horizontal="center" vertical="center"/>
    </xf>
    <xf numFmtId="0" fontId="46" fillId="27" borderId="14" xfId="0" applyFont="1" applyFill="1" applyBorder="1" applyAlignment="1">
      <alignment horizontal="center" vertical="center"/>
    </xf>
    <xf numFmtId="0" fontId="46" fillId="27" borderId="87" xfId="0" applyFont="1" applyFill="1" applyBorder="1" applyAlignment="1">
      <alignment horizontal="center" vertical="center"/>
    </xf>
    <xf numFmtId="0" fontId="46" fillId="27" borderId="10" xfId="0" applyFont="1" applyFill="1" applyBorder="1" applyAlignment="1">
      <alignment horizontal="center" vertical="center"/>
    </xf>
    <xf numFmtId="0" fontId="50" fillId="29" borderId="59" xfId="0" applyFont="1" applyFill="1" applyBorder="1" applyAlignment="1">
      <alignment horizontal="center" vertical="center"/>
    </xf>
    <xf numFmtId="0" fontId="50" fillId="29" borderId="92" xfId="0" applyFont="1" applyFill="1" applyBorder="1" applyAlignment="1">
      <alignment horizontal="left" vertical="center" wrapText="1"/>
    </xf>
    <xf numFmtId="0" fontId="50" fillId="29" borderId="10" xfId="0" applyFont="1" applyFill="1" applyBorder="1" applyAlignment="1">
      <alignment horizontal="left" vertical="center" wrapText="1"/>
    </xf>
    <xf numFmtId="0" fontId="50" fillId="29" borderId="59" xfId="0" applyFont="1" applyFill="1" applyBorder="1" applyAlignment="1">
      <alignment horizontal="left" vertical="center" wrapText="1"/>
    </xf>
    <xf numFmtId="0" fontId="48" fillId="31" borderId="59" xfId="0" applyFont="1" applyFill="1" applyBorder="1" applyAlignment="1">
      <alignment horizontal="center"/>
    </xf>
    <xf numFmtId="0" fontId="48" fillId="0" borderId="64" xfId="2" applyFont="1" applyBorder="1" applyAlignment="1">
      <alignment horizontal="center"/>
    </xf>
    <xf numFmtId="0" fontId="48" fillId="0" borderId="65" xfId="2" applyFont="1" applyBorder="1" applyAlignment="1">
      <alignment horizontal="center"/>
    </xf>
    <xf numFmtId="0" fontId="48" fillId="28" borderId="41" xfId="2" applyFont="1" applyFill="1" applyBorder="1" applyAlignment="1">
      <alignment horizontal="center" vertical="center"/>
    </xf>
    <xf numFmtId="0" fontId="48" fillId="28" borderId="27" xfId="2" applyFont="1" applyFill="1" applyBorder="1" applyAlignment="1">
      <alignment horizontal="center" vertical="center"/>
    </xf>
    <xf numFmtId="0" fontId="48" fillId="28" borderId="42" xfId="2" applyFont="1" applyFill="1" applyBorder="1" applyAlignment="1">
      <alignment horizontal="center" vertical="center"/>
    </xf>
    <xf numFmtId="0" fontId="48" fillId="31" borderId="36" xfId="2" applyFont="1" applyFill="1" applyBorder="1" applyAlignment="1">
      <alignment horizontal="center" vertical="center"/>
    </xf>
    <xf numFmtId="0" fontId="48" fillId="31" borderId="37" xfId="2" applyFont="1" applyFill="1" applyBorder="1" applyAlignment="1">
      <alignment horizontal="center" vertical="center"/>
    </xf>
    <xf numFmtId="0" fontId="48" fillId="30" borderId="64" xfId="2" applyFont="1" applyFill="1" applyBorder="1" applyAlignment="1">
      <alignment horizontal="center" vertical="center"/>
    </xf>
    <xf numFmtId="0" fontId="48" fillId="30" borderId="65" xfId="2" applyFont="1" applyFill="1" applyBorder="1" applyAlignment="1">
      <alignment horizontal="center" vertical="center"/>
    </xf>
    <xf numFmtId="0" fontId="48" fillId="30" borderId="66" xfId="2" applyFont="1" applyFill="1" applyBorder="1" applyAlignment="1">
      <alignment horizontal="center" vertical="center"/>
    </xf>
    <xf numFmtId="0" fontId="53" fillId="28" borderId="64" xfId="2" applyFont="1" applyFill="1" applyBorder="1" applyAlignment="1">
      <alignment horizontal="left" vertical="center"/>
    </xf>
    <xf numFmtId="0" fontId="53" fillId="28" borderId="65" xfId="2" applyFont="1" applyFill="1" applyBorder="1" applyAlignment="1">
      <alignment horizontal="left" vertical="center"/>
    </xf>
    <xf numFmtId="0" fontId="53" fillId="28" borderId="66" xfId="2" applyFont="1" applyFill="1" applyBorder="1" applyAlignment="1">
      <alignment horizontal="left" vertical="center"/>
    </xf>
    <xf numFmtId="0" fontId="52" fillId="38" borderId="0" xfId="2" applyFont="1" applyFill="1" applyAlignment="1">
      <alignment horizontal="left"/>
    </xf>
    <xf numFmtId="0" fontId="53" fillId="28" borderId="36" xfId="2" applyFont="1" applyFill="1" applyBorder="1" applyAlignment="1">
      <alignment horizontal="center" vertical="center"/>
    </xf>
    <xf numFmtId="0" fontId="53" fillId="28" borderId="27" xfId="2" applyFont="1" applyFill="1" applyBorder="1" applyAlignment="1">
      <alignment horizontal="center" vertical="center"/>
    </xf>
    <xf numFmtId="0" fontId="53" fillId="28" borderId="37" xfId="2" applyFont="1" applyFill="1" applyBorder="1" applyAlignment="1">
      <alignment horizontal="center" vertical="center"/>
    </xf>
    <xf numFmtId="0" fontId="53" fillId="28" borderId="41" xfId="2" applyFont="1" applyFill="1" applyBorder="1" applyAlignment="1">
      <alignment horizontal="center" vertical="center"/>
    </xf>
    <xf numFmtId="0" fontId="53" fillId="28" borderId="42" xfId="2" applyFont="1" applyFill="1" applyBorder="1" applyAlignment="1">
      <alignment horizontal="center" vertical="center"/>
    </xf>
    <xf numFmtId="0" fontId="48" fillId="0" borderId="39" xfId="2" applyFont="1" applyBorder="1" applyAlignment="1">
      <alignment horizontal="right" vertical="center" indent="1"/>
    </xf>
    <xf numFmtId="0" fontId="43" fillId="0" borderId="8" xfId="0" applyFont="1" applyBorder="1" applyAlignment="1">
      <alignment horizontal="left"/>
    </xf>
    <xf numFmtId="167" fontId="45" fillId="2" borderId="61" xfId="1" applyNumberFormat="1" applyFont="1" applyFill="1" applyBorder="1" applyAlignment="1">
      <alignment horizontal="left" vertical="center" wrapText="1" indent="1"/>
    </xf>
    <xf numFmtId="167" fontId="45" fillId="2" borderId="10" xfId="1" applyNumberFormat="1" applyFont="1" applyFill="1" applyBorder="1" applyAlignment="1">
      <alignment horizontal="left" vertical="center" wrapText="1" indent="1"/>
    </xf>
    <xf numFmtId="0" fontId="41" fillId="2" borderId="46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41" fillId="2" borderId="10" xfId="0" applyFont="1" applyFill="1" applyBorder="1" applyAlignment="1">
      <alignment horizontal="center" vertical="center"/>
    </xf>
    <xf numFmtId="0" fontId="41" fillId="2" borderId="46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 wrapText="1"/>
    </xf>
    <xf numFmtId="0" fontId="41" fillId="2" borderId="61" xfId="0" applyFont="1" applyFill="1" applyBorder="1" applyAlignment="1">
      <alignment horizontal="center" vertical="center" wrapText="1"/>
    </xf>
    <xf numFmtId="167" fontId="1" fillId="0" borderId="61" xfId="1" applyNumberFormat="1" applyFont="1" applyBorder="1" applyAlignment="1">
      <alignment horizontal="center" vertical="center" wrapText="1"/>
    </xf>
    <xf numFmtId="167" fontId="2" fillId="0" borderId="6" xfId="1" applyNumberFormat="1" applyFont="1" applyBorder="1" applyAlignment="1">
      <alignment horizontal="center" vertical="center" wrapText="1"/>
    </xf>
    <xf numFmtId="167" fontId="2" fillId="0" borderId="10" xfId="1" applyNumberFormat="1" applyFont="1" applyBorder="1" applyAlignment="1">
      <alignment horizontal="center" vertical="center" wrapText="1"/>
    </xf>
    <xf numFmtId="0" fontId="40" fillId="0" borderId="50" xfId="0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0" fontId="40" fillId="0" borderId="5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40" fillId="0" borderId="67" xfId="0" applyFont="1" applyBorder="1" applyAlignment="1">
      <alignment horizontal="center" vertical="center"/>
    </xf>
    <xf numFmtId="0" fontId="40" fillId="0" borderId="68" xfId="0" applyFont="1" applyBorder="1" applyAlignment="1">
      <alignment horizontal="center" vertical="center"/>
    </xf>
    <xf numFmtId="0" fontId="40" fillId="0" borderId="69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/>
    </xf>
    <xf numFmtId="0" fontId="39" fillId="2" borderId="9" xfId="0" applyFont="1" applyFill="1" applyBorder="1" applyAlignment="1">
      <alignment horizontal="center" vertical="center"/>
    </xf>
    <xf numFmtId="0" fontId="39" fillId="2" borderId="10" xfId="0" applyFont="1" applyFill="1" applyBorder="1" applyAlignment="1">
      <alignment horizontal="center" vertical="center"/>
    </xf>
    <xf numFmtId="0" fontId="39" fillId="2" borderId="41" xfId="0" applyFont="1" applyFill="1" applyBorder="1" applyAlignment="1">
      <alignment horizontal="center" vertical="center"/>
    </xf>
    <xf numFmtId="0" fontId="39" fillId="2" borderId="27" xfId="0" applyFont="1" applyFill="1" applyBorder="1" applyAlignment="1">
      <alignment horizontal="center" vertical="center"/>
    </xf>
    <xf numFmtId="0" fontId="39" fillId="2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167" fontId="4" fillId="2" borderId="43" xfId="1" applyNumberFormat="1" applyFont="1" applyFill="1" applyBorder="1" applyAlignment="1">
      <alignment horizontal="center" vertical="center"/>
    </xf>
    <xf numFmtId="167" fontId="4" fillId="2" borderId="59" xfId="1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75" xfId="0" applyFont="1" applyBorder="1" applyAlignment="1">
      <alignment horizontal="left"/>
    </xf>
  </cellXfs>
  <cellStyles count="359">
    <cellStyle name=".PUPUK" xfId="6" xr:uid="{00000000-0005-0000-0000-000000000000}"/>
    <cellStyle name="20% - Accent1 2" xfId="7" xr:uid="{00000000-0005-0000-0000-000001000000}"/>
    <cellStyle name="20% - Accent1 3" xfId="8" xr:uid="{00000000-0005-0000-0000-000002000000}"/>
    <cellStyle name="20% - Accent1 4" xfId="9" xr:uid="{00000000-0005-0000-0000-000003000000}"/>
    <cellStyle name="20% - Accent1 5" xfId="10" xr:uid="{00000000-0005-0000-0000-000004000000}"/>
    <cellStyle name="20% - Accent1 6" xfId="11" xr:uid="{00000000-0005-0000-0000-000005000000}"/>
    <cellStyle name="20% - Accent2 2" xfId="12" xr:uid="{00000000-0005-0000-0000-000006000000}"/>
    <cellStyle name="20% - Accent2 3" xfId="13" xr:uid="{00000000-0005-0000-0000-000007000000}"/>
    <cellStyle name="20% - Accent2 4" xfId="14" xr:uid="{00000000-0005-0000-0000-000008000000}"/>
    <cellStyle name="20% - Accent2 5" xfId="15" xr:uid="{00000000-0005-0000-0000-000009000000}"/>
    <cellStyle name="20% - Accent2 6" xfId="16" xr:uid="{00000000-0005-0000-0000-00000A000000}"/>
    <cellStyle name="20% - Accent3 2" xfId="17" xr:uid="{00000000-0005-0000-0000-00000B000000}"/>
    <cellStyle name="20% - Accent3 3" xfId="18" xr:uid="{00000000-0005-0000-0000-00000C000000}"/>
    <cellStyle name="20% - Accent3 4" xfId="19" xr:uid="{00000000-0005-0000-0000-00000D000000}"/>
    <cellStyle name="20% - Accent3 5" xfId="20" xr:uid="{00000000-0005-0000-0000-00000E000000}"/>
    <cellStyle name="20% - Accent3 6" xfId="21" xr:uid="{00000000-0005-0000-0000-00000F000000}"/>
    <cellStyle name="20% - Accent4 2" xfId="22" xr:uid="{00000000-0005-0000-0000-000010000000}"/>
    <cellStyle name="20% - Accent4 3" xfId="23" xr:uid="{00000000-0005-0000-0000-000011000000}"/>
    <cellStyle name="20% - Accent4 4" xfId="24" xr:uid="{00000000-0005-0000-0000-000012000000}"/>
    <cellStyle name="20% - Accent4 5" xfId="25" xr:uid="{00000000-0005-0000-0000-000013000000}"/>
    <cellStyle name="20% - Accent4 6" xfId="26" xr:uid="{00000000-0005-0000-0000-000014000000}"/>
    <cellStyle name="20% - Accent5 2" xfId="27" xr:uid="{00000000-0005-0000-0000-000015000000}"/>
    <cellStyle name="20% - Accent5 3" xfId="28" xr:uid="{00000000-0005-0000-0000-000016000000}"/>
    <cellStyle name="20% - Accent5 4" xfId="29" xr:uid="{00000000-0005-0000-0000-000017000000}"/>
    <cellStyle name="20% - Accent5 5" xfId="30" xr:uid="{00000000-0005-0000-0000-000018000000}"/>
    <cellStyle name="20% - Accent5 6" xfId="31" xr:uid="{00000000-0005-0000-0000-000019000000}"/>
    <cellStyle name="20% - Accent6 2" xfId="32" xr:uid="{00000000-0005-0000-0000-00001A000000}"/>
    <cellStyle name="20% - Accent6 3" xfId="33" xr:uid="{00000000-0005-0000-0000-00001B000000}"/>
    <cellStyle name="20% - Accent6 4" xfId="34" xr:uid="{00000000-0005-0000-0000-00001C000000}"/>
    <cellStyle name="20% - Accent6 5" xfId="35" xr:uid="{00000000-0005-0000-0000-00001D000000}"/>
    <cellStyle name="20% - Accent6 6" xfId="36" xr:uid="{00000000-0005-0000-0000-00001E000000}"/>
    <cellStyle name="40% - Accent1 2" xfId="37" xr:uid="{00000000-0005-0000-0000-00001F000000}"/>
    <cellStyle name="40% - Accent1 3" xfId="38" xr:uid="{00000000-0005-0000-0000-000020000000}"/>
    <cellStyle name="40% - Accent1 4" xfId="39" xr:uid="{00000000-0005-0000-0000-000021000000}"/>
    <cellStyle name="40% - Accent1 5" xfId="40" xr:uid="{00000000-0005-0000-0000-000022000000}"/>
    <cellStyle name="40% - Accent1 6" xfId="41" xr:uid="{00000000-0005-0000-0000-000023000000}"/>
    <cellStyle name="40% - Accent2 2" xfId="42" xr:uid="{00000000-0005-0000-0000-000024000000}"/>
    <cellStyle name="40% - Accent2 3" xfId="43" xr:uid="{00000000-0005-0000-0000-000025000000}"/>
    <cellStyle name="40% - Accent2 4" xfId="44" xr:uid="{00000000-0005-0000-0000-000026000000}"/>
    <cellStyle name="40% - Accent2 5" xfId="45" xr:uid="{00000000-0005-0000-0000-000027000000}"/>
    <cellStyle name="40% - Accent2 6" xfId="46" xr:uid="{00000000-0005-0000-0000-000028000000}"/>
    <cellStyle name="40% - Accent3 2" xfId="47" xr:uid="{00000000-0005-0000-0000-000029000000}"/>
    <cellStyle name="40% - Accent3 3" xfId="48" xr:uid="{00000000-0005-0000-0000-00002A000000}"/>
    <cellStyle name="40% - Accent3 4" xfId="49" xr:uid="{00000000-0005-0000-0000-00002B000000}"/>
    <cellStyle name="40% - Accent3 5" xfId="50" xr:uid="{00000000-0005-0000-0000-00002C000000}"/>
    <cellStyle name="40% - Accent3 6" xfId="51" xr:uid="{00000000-0005-0000-0000-00002D000000}"/>
    <cellStyle name="40% - Accent4 2" xfId="52" xr:uid="{00000000-0005-0000-0000-00002E000000}"/>
    <cellStyle name="40% - Accent4 3" xfId="53" xr:uid="{00000000-0005-0000-0000-00002F000000}"/>
    <cellStyle name="40% - Accent4 4" xfId="54" xr:uid="{00000000-0005-0000-0000-000030000000}"/>
    <cellStyle name="40% - Accent4 5" xfId="55" xr:uid="{00000000-0005-0000-0000-000031000000}"/>
    <cellStyle name="40% - Accent4 6" xfId="56" xr:uid="{00000000-0005-0000-0000-000032000000}"/>
    <cellStyle name="40% - Accent5 2" xfId="57" xr:uid="{00000000-0005-0000-0000-000033000000}"/>
    <cellStyle name="40% - Accent5 3" xfId="58" xr:uid="{00000000-0005-0000-0000-000034000000}"/>
    <cellStyle name="40% - Accent5 4" xfId="59" xr:uid="{00000000-0005-0000-0000-000035000000}"/>
    <cellStyle name="40% - Accent5 5" xfId="60" xr:uid="{00000000-0005-0000-0000-000036000000}"/>
    <cellStyle name="40% - Accent5 6" xfId="61" xr:uid="{00000000-0005-0000-0000-000037000000}"/>
    <cellStyle name="40% - Accent6 2" xfId="62" xr:uid="{00000000-0005-0000-0000-000038000000}"/>
    <cellStyle name="40% - Accent6 3" xfId="63" xr:uid="{00000000-0005-0000-0000-000039000000}"/>
    <cellStyle name="40% - Accent6 4" xfId="64" xr:uid="{00000000-0005-0000-0000-00003A000000}"/>
    <cellStyle name="40% - Accent6 5" xfId="65" xr:uid="{00000000-0005-0000-0000-00003B000000}"/>
    <cellStyle name="40% - Accent6 6" xfId="66" xr:uid="{00000000-0005-0000-0000-00003C000000}"/>
    <cellStyle name="60% - Accent1 2" xfId="67" xr:uid="{00000000-0005-0000-0000-00003D000000}"/>
    <cellStyle name="60% - Accent1 3" xfId="68" xr:uid="{00000000-0005-0000-0000-00003E000000}"/>
    <cellStyle name="60% - Accent1 4" xfId="69" xr:uid="{00000000-0005-0000-0000-00003F000000}"/>
    <cellStyle name="60% - Accent1 5" xfId="70" xr:uid="{00000000-0005-0000-0000-000040000000}"/>
    <cellStyle name="60% - Accent1 6" xfId="71" xr:uid="{00000000-0005-0000-0000-000041000000}"/>
    <cellStyle name="60% - Accent2 2" xfId="72" xr:uid="{00000000-0005-0000-0000-000042000000}"/>
    <cellStyle name="60% - Accent2 3" xfId="73" xr:uid="{00000000-0005-0000-0000-000043000000}"/>
    <cellStyle name="60% - Accent2 4" xfId="74" xr:uid="{00000000-0005-0000-0000-000044000000}"/>
    <cellStyle name="60% - Accent2 5" xfId="75" xr:uid="{00000000-0005-0000-0000-000045000000}"/>
    <cellStyle name="60% - Accent2 6" xfId="76" xr:uid="{00000000-0005-0000-0000-000046000000}"/>
    <cellStyle name="60% - Accent3 2" xfId="77" xr:uid="{00000000-0005-0000-0000-000047000000}"/>
    <cellStyle name="60% - Accent3 3" xfId="78" xr:uid="{00000000-0005-0000-0000-000048000000}"/>
    <cellStyle name="60% - Accent3 4" xfId="79" xr:uid="{00000000-0005-0000-0000-000049000000}"/>
    <cellStyle name="60% - Accent3 5" xfId="80" xr:uid="{00000000-0005-0000-0000-00004A000000}"/>
    <cellStyle name="60% - Accent3 6" xfId="81" xr:uid="{00000000-0005-0000-0000-00004B000000}"/>
    <cellStyle name="60% - Accent4 2" xfId="82" xr:uid="{00000000-0005-0000-0000-00004C000000}"/>
    <cellStyle name="60% - Accent4 3" xfId="83" xr:uid="{00000000-0005-0000-0000-00004D000000}"/>
    <cellStyle name="60% - Accent4 4" xfId="84" xr:uid="{00000000-0005-0000-0000-00004E000000}"/>
    <cellStyle name="60% - Accent4 5" xfId="85" xr:uid="{00000000-0005-0000-0000-00004F000000}"/>
    <cellStyle name="60% - Accent4 6" xfId="86" xr:uid="{00000000-0005-0000-0000-000050000000}"/>
    <cellStyle name="60% - Accent5 2" xfId="87" xr:uid="{00000000-0005-0000-0000-000051000000}"/>
    <cellStyle name="60% - Accent5 3" xfId="88" xr:uid="{00000000-0005-0000-0000-000052000000}"/>
    <cellStyle name="60% - Accent5 4" xfId="89" xr:uid="{00000000-0005-0000-0000-000053000000}"/>
    <cellStyle name="60% - Accent5 5" xfId="90" xr:uid="{00000000-0005-0000-0000-000054000000}"/>
    <cellStyle name="60% - Accent5 6" xfId="91" xr:uid="{00000000-0005-0000-0000-000055000000}"/>
    <cellStyle name="60% - Accent6 2" xfId="92" xr:uid="{00000000-0005-0000-0000-000056000000}"/>
    <cellStyle name="60% - Accent6 3" xfId="93" xr:uid="{00000000-0005-0000-0000-000057000000}"/>
    <cellStyle name="60% - Accent6 4" xfId="94" xr:uid="{00000000-0005-0000-0000-000058000000}"/>
    <cellStyle name="60% - Accent6 5" xfId="95" xr:uid="{00000000-0005-0000-0000-000059000000}"/>
    <cellStyle name="60% - Accent6 6" xfId="96" xr:uid="{00000000-0005-0000-0000-00005A000000}"/>
    <cellStyle name="Accent1 2" xfId="97" xr:uid="{00000000-0005-0000-0000-00005B000000}"/>
    <cellStyle name="Accent1 3" xfId="98" xr:uid="{00000000-0005-0000-0000-00005C000000}"/>
    <cellStyle name="Accent1 4" xfId="99" xr:uid="{00000000-0005-0000-0000-00005D000000}"/>
    <cellStyle name="Accent1 5" xfId="100" xr:uid="{00000000-0005-0000-0000-00005E000000}"/>
    <cellStyle name="Accent1 6" xfId="101" xr:uid="{00000000-0005-0000-0000-00005F000000}"/>
    <cellStyle name="Accent2 2" xfId="102" xr:uid="{00000000-0005-0000-0000-000060000000}"/>
    <cellStyle name="Accent2 3" xfId="103" xr:uid="{00000000-0005-0000-0000-000061000000}"/>
    <cellStyle name="Accent2 4" xfId="104" xr:uid="{00000000-0005-0000-0000-000062000000}"/>
    <cellStyle name="Accent2 5" xfId="105" xr:uid="{00000000-0005-0000-0000-000063000000}"/>
    <cellStyle name="Accent2 6" xfId="106" xr:uid="{00000000-0005-0000-0000-000064000000}"/>
    <cellStyle name="Accent3 2" xfId="107" xr:uid="{00000000-0005-0000-0000-000065000000}"/>
    <cellStyle name="Accent3 3" xfId="108" xr:uid="{00000000-0005-0000-0000-000066000000}"/>
    <cellStyle name="Accent3 4" xfId="109" xr:uid="{00000000-0005-0000-0000-000067000000}"/>
    <cellStyle name="Accent3 5" xfId="110" xr:uid="{00000000-0005-0000-0000-000068000000}"/>
    <cellStyle name="Accent3 6" xfId="111" xr:uid="{00000000-0005-0000-0000-000069000000}"/>
    <cellStyle name="Accent4 2" xfId="112" xr:uid="{00000000-0005-0000-0000-00006A000000}"/>
    <cellStyle name="Accent4 3" xfId="113" xr:uid="{00000000-0005-0000-0000-00006B000000}"/>
    <cellStyle name="Accent4 4" xfId="114" xr:uid="{00000000-0005-0000-0000-00006C000000}"/>
    <cellStyle name="Accent4 5" xfId="115" xr:uid="{00000000-0005-0000-0000-00006D000000}"/>
    <cellStyle name="Accent4 6" xfId="116" xr:uid="{00000000-0005-0000-0000-00006E000000}"/>
    <cellStyle name="Accent5 2" xfId="117" xr:uid="{00000000-0005-0000-0000-00006F000000}"/>
    <cellStyle name="Accent5 3" xfId="118" xr:uid="{00000000-0005-0000-0000-000070000000}"/>
    <cellStyle name="Accent5 4" xfId="119" xr:uid="{00000000-0005-0000-0000-000071000000}"/>
    <cellStyle name="Accent5 5" xfId="120" xr:uid="{00000000-0005-0000-0000-000072000000}"/>
    <cellStyle name="Accent5 6" xfId="121" xr:uid="{00000000-0005-0000-0000-000073000000}"/>
    <cellStyle name="Accent6 2" xfId="122" xr:uid="{00000000-0005-0000-0000-000074000000}"/>
    <cellStyle name="Accent6 3" xfId="123" xr:uid="{00000000-0005-0000-0000-000075000000}"/>
    <cellStyle name="Accent6 4" xfId="124" xr:uid="{00000000-0005-0000-0000-000076000000}"/>
    <cellStyle name="Accent6 5" xfId="125" xr:uid="{00000000-0005-0000-0000-000077000000}"/>
    <cellStyle name="Accent6 6" xfId="126" xr:uid="{00000000-0005-0000-0000-000078000000}"/>
    <cellStyle name="Bad 2" xfId="127" xr:uid="{00000000-0005-0000-0000-000079000000}"/>
    <cellStyle name="Bad 3" xfId="128" xr:uid="{00000000-0005-0000-0000-00007A000000}"/>
    <cellStyle name="Bad 4" xfId="129" xr:uid="{00000000-0005-0000-0000-00007B000000}"/>
    <cellStyle name="Bad 5" xfId="130" xr:uid="{00000000-0005-0000-0000-00007C000000}"/>
    <cellStyle name="Bad 6" xfId="131" xr:uid="{00000000-0005-0000-0000-00007D000000}"/>
    <cellStyle name="Calculation 2" xfId="132" xr:uid="{00000000-0005-0000-0000-00007E000000}"/>
    <cellStyle name="Calculation 3" xfId="133" xr:uid="{00000000-0005-0000-0000-00007F000000}"/>
    <cellStyle name="Calculation 4" xfId="134" xr:uid="{00000000-0005-0000-0000-000080000000}"/>
    <cellStyle name="Calculation 5" xfId="135" xr:uid="{00000000-0005-0000-0000-000081000000}"/>
    <cellStyle name="Calculation 6" xfId="136" xr:uid="{00000000-0005-0000-0000-000082000000}"/>
    <cellStyle name="Check Cell 2" xfId="137" xr:uid="{00000000-0005-0000-0000-000083000000}"/>
    <cellStyle name="Check Cell 3" xfId="138" xr:uid="{00000000-0005-0000-0000-000084000000}"/>
    <cellStyle name="Check Cell 4" xfId="139" xr:uid="{00000000-0005-0000-0000-000085000000}"/>
    <cellStyle name="Check Cell 5" xfId="140" xr:uid="{00000000-0005-0000-0000-000086000000}"/>
    <cellStyle name="Check Cell 6" xfId="141" xr:uid="{00000000-0005-0000-0000-000087000000}"/>
    <cellStyle name="Comma  - Style1" xfId="142" xr:uid="{00000000-0005-0000-0000-000088000000}"/>
    <cellStyle name="Comma  - Style2" xfId="143" xr:uid="{00000000-0005-0000-0000-000089000000}"/>
    <cellStyle name="Comma  - Style3" xfId="144" xr:uid="{00000000-0005-0000-0000-00008A000000}"/>
    <cellStyle name="Comma  - Style4" xfId="145" xr:uid="{00000000-0005-0000-0000-00008B000000}"/>
    <cellStyle name="Comma  - Style5" xfId="146" xr:uid="{00000000-0005-0000-0000-00008C000000}"/>
    <cellStyle name="Comma  - Style6" xfId="147" xr:uid="{00000000-0005-0000-0000-00008D000000}"/>
    <cellStyle name="Comma  - Style7" xfId="148" xr:uid="{00000000-0005-0000-0000-00008E000000}"/>
    <cellStyle name="Comma  - Style8" xfId="149" xr:uid="{00000000-0005-0000-0000-00008F000000}"/>
    <cellStyle name="Comma [0]" xfId="1" builtinId="6"/>
    <cellStyle name="Comma [0] 10" xfId="5" xr:uid="{00000000-0005-0000-0000-000091000000}"/>
    <cellStyle name="Comma [0] 11" xfId="348" xr:uid="{00000000-0005-0000-0000-000092000000}"/>
    <cellStyle name="Comma [0] 2" xfId="3" xr:uid="{00000000-0005-0000-0000-000093000000}"/>
    <cellStyle name="Comma [0] 2 2" xfId="150" xr:uid="{00000000-0005-0000-0000-000094000000}"/>
    <cellStyle name="Comma [0] 2 3" xfId="151" xr:uid="{00000000-0005-0000-0000-000095000000}"/>
    <cellStyle name="Comma [0] 2 4" xfId="152" xr:uid="{00000000-0005-0000-0000-000096000000}"/>
    <cellStyle name="Comma [0] 2 5" xfId="153" xr:uid="{00000000-0005-0000-0000-000097000000}"/>
    <cellStyle name="Comma [0] 2 6" xfId="154" xr:uid="{00000000-0005-0000-0000-000098000000}"/>
    <cellStyle name="Comma [0] 2 7" xfId="349" xr:uid="{00000000-0005-0000-0000-000099000000}"/>
    <cellStyle name="Comma [0] 3" xfId="155" xr:uid="{00000000-0005-0000-0000-00009A000000}"/>
    <cellStyle name="Comma [0] 3 2" xfId="156" xr:uid="{00000000-0005-0000-0000-00009B000000}"/>
    <cellStyle name="Comma [0] 3 3" xfId="157" xr:uid="{00000000-0005-0000-0000-00009C000000}"/>
    <cellStyle name="Comma [0] 3 4" xfId="158" xr:uid="{00000000-0005-0000-0000-00009D000000}"/>
    <cellStyle name="Comma [0] 4" xfId="159" xr:uid="{00000000-0005-0000-0000-00009E000000}"/>
    <cellStyle name="Comma [0] 5" xfId="160" xr:uid="{00000000-0005-0000-0000-00009F000000}"/>
    <cellStyle name="Comma [0] 6" xfId="161" xr:uid="{00000000-0005-0000-0000-0000A0000000}"/>
    <cellStyle name="Comma [0] 7" xfId="162" xr:uid="{00000000-0005-0000-0000-0000A1000000}"/>
    <cellStyle name="Comma [0] 8" xfId="163" xr:uid="{00000000-0005-0000-0000-0000A2000000}"/>
    <cellStyle name="Comma [0] 9" xfId="164" xr:uid="{00000000-0005-0000-0000-0000A3000000}"/>
    <cellStyle name="Comma 2" xfId="165" xr:uid="{00000000-0005-0000-0000-0000A4000000}"/>
    <cellStyle name="Comma 2 2" xfId="166" xr:uid="{00000000-0005-0000-0000-0000A5000000}"/>
    <cellStyle name="Comma 2 3" xfId="167" xr:uid="{00000000-0005-0000-0000-0000A6000000}"/>
    <cellStyle name="Comma 2 4" xfId="168" xr:uid="{00000000-0005-0000-0000-0000A7000000}"/>
    <cellStyle name="Comma 2 5" xfId="169" xr:uid="{00000000-0005-0000-0000-0000A8000000}"/>
    <cellStyle name="Comma 2 6" xfId="170" xr:uid="{00000000-0005-0000-0000-0000A9000000}"/>
    <cellStyle name="Comma 3" xfId="171" xr:uid="{00000000-0005-0000-0000-0000AA000000}"/>
    <cellStyle name="Comma 3 2" xfId="350" xr:uid="{00000000-0005-0000-0000-0000AB000000}"/>
    <cellStyle name="Comma 4" xfId="172" xr:uid="{00000000-0005-0000-0000-0000AC000000}"/>
    <cellStyle name="Comma 5" xfId="173" xr:uid="{00000000-0005-0000-0000-0000AD000000}"/>
    <cellStyle name="Comma 6" xfId="351" xr:uid="{00000000-0005-0000-0000-0000AE000000}"/>
    <cellStyle name="Currency" xfId="358" builtinId="4"/>
    <cellStyle name="Currency [0] 2" xfId="174" xr:uid="{00000000-0005-0000-0000-0000AF000000}"/>
    <cellStyle name="Explanatory Text 2" xfId="175" xr:uid="{00000000-0005-0000-0000-0000B0000000}"/>
    <cellStyle name="Explanatory Text 3" xfId="176" xr:uid="{00000000-0005-0000-0000-0000B1000000}"/>
    <cellStyle name="Explanatory Text 4" xfId="177" xr:uid="{00000000-0005-0000-0000-0000B2000000}"/>
    <cellStyle name="Explanatory Text 5" xfId="178" xr:uid="{00000000-0005-0000-0000-0000B3000000}"/>
    <cellStyle name="Explanatory Text 6" xfId="179" xr:uid="{00000000-0005-0000-0000-0000B4000000}"/>
    <cellStyle name="F2" xfId="180" xr:uid="{00000000-0005-0000-0000-0000B5000000}"/>
    <cellStyle name="F2 2" xfId="181" xr:uid="{00000000-0005-0000-0000-0000B6000000}"/>
    <cellStyle name="F2 3" xfId="182" xr:uid="{00000000-0005-0000-0000-0000B7000000}"/>
    <cellStyle name="F2 4" xfId="183" xr:uid="{00000000-0005-0000-0000-0000B8000000}"/>
    <cellStyle name="F2 5" xfId="184" xr:uid="{00000000-0005-0000-0000-0000B9000000}"/>
    <cellStyle name="F2 6" xfId="185" xr:uid="{00000000-0005-0000-0000-0000BA000000}"/>
    <cellStyle name="F2 7" xfId="186" xr:uid="{00000000-0005-0000-0000-0000BB000000}"/>
    <cellStyle name="F3" xfId="187" xr:uid="{00000000-0005-0000-0000-0000BC000000}"/>
    <cellStyle name="F3 2" xfId="188" xr:uid="{00000000-0005-0000-0000-0000BD000000}"/>
    <cellStyle name="F3 3" xfId="189" xr:uid="{00000000-0005-0000-0000-0000BE000000}"/>
    <cellStyle name="F3 4" xfId="190" xr:uid="{00000000-0005-0000-0000-0000BF000000}"/>
    <cellStyle name="F3 5" xfId="191" xr:uid="{00000000-0005-0000-0000-0000C0000000}"/>
    <cellStyle name="F3 6" xfId="192" xr:uid="{00000000-0005-0000-0000-0000C1000000}"/>
    <cellStyle name="F3 7" xfId="193" xr:uid="{00000000-0005-0000-0000-0000C2000000}"/>
    <cellStyle name="F4" xfId="194" xr:uid="{00000000-0005-0000-0000-0000C3000000}"/>
    <cellStyle name="F4 2" xfId="195" xr:uid="{00000000-0005-0000-0000-0000C4000000}"/>
    <cellStyle name="F4 3" xfId="196" xr:uid="{00000000-0005-0000-0000-0000C5000000}"/>
    <cellStyle name="F4 4" xfId="197" xr:uid="{00000000-0005-0000-0000-0000C6000000}"/>
    <cellStyle name="F4 5" xfId="198" xr:uid="{00000000-0005-0000-0000-0000C7000000}"/>
    <cellStyle name="F4 6" xfId="199" xr:uid="{00000000-0005-0000-0000-0000C8000000}"/>
    <cellStyle name="F4 7" xfId="200" xr:uid="{00000000-0005-0000-0000-0000C9000000}"/>
    <cellStyle name="F5" xfId="201" xr:uid="{00000000-0005-0000-0000-0000CA000000}"/>
    <cellStyle name="F5 2" xfId="202" xr:uid="{00000000-0005-0000-0000-0000CB000000}"/>
    <cellStyle name="F5 3" xfId="203" xr:uid="{00000000-0005-0000-0000-0000CC000000}"/>
    <cellStyle name="F5 4" xfId="204" xr:uid="{00000000-0005-0000-0000-0000CD000000}"/>
    <cellStyle name="F5 5" xfId="205" xr:uid="{00000000-0005-0000-0000-0000CE000000}"/>
    <cellStyle name="F5 6" xfId="206" xr:uid="{00000000-0005-0000-0000-0000CF000000}"/>
    <cellStyle name="F5 7" xfId="207" xr:uid="{00000000-0005-0000-0000-0000D0000000}"/>
    <cellStyle name="F6" xfId="208" xr:uid="{00000000-0005-0000-0000-0000D1000000}"/>
    <cellStyle name="F6 2" xfId="209" xr:uid="{00000000-0005-0000-0000-0000D2000000}"/>
    <cellStyle name="F6 3" xfId="210" xr:uid="{00000000-0005-0000-0000-0000D3000000}"/>
    <cellStyle name="F6 4" xfId="211" xr:uid="{00000000-0005-0000-0000-0000D4000000}"/>
    <cellStyle name="F6 5" xfId="212" xr:uid="{00000000-0005-0000-0000-0000D5000000}"/>
    <cellStyle name="F6 6" xfId="213" xr:uid="{00000000-0005-0000-0000-0000D6000000}"/>
    <cellStyle name="F6 7" xfId="214" xr:uid="{00000000-0005-0000-0000-0000D7000000}"/>
    <cellStyle name="F7" xfId="215" xr:uid="{00000000-0005-0000-0000-0000D8000000}"/>
    <cellStyle name="F7 2" xfId="216" xr:uid="{00000000-0005-0000-0000-0000D9000000}"/>
    <cellStyle name="F7 3" xfId="217" xr:uid="{00000000-0005-0000-0000-0000DA000000}"/>
    <cellStyle name="F7 4" xfId="218" xr:uid="{00000000-0005-0000-0000-0000DB000000}"/>
    <cellStyle name="F7 5" xfId="219" xr:uid="{00000000-0005-0000-0000-0000DC000000}"/>
    <cellStyle name="F7 6" xfId="220" xr:uid="{00000000-0005-0000-0000-0000DD000000}"/>
    <cellStyle name="F7 7" xfId="221" xr:uid="{00000000-0005-0000-0000-0000DE000000}"/>
    <cellStyle name="F8" xfId="222" xr:uid="{00000000-0005-0000-0000-0000DF000000}"/>
    <cellStyle name="F8 2" xfId="223" xr:uid="{00000000-0005-0000-0000-0000E0000000}"/>
    <cellStyle name="F8 3" xfId="224" xr:uid="{00000000-0005-0000-0000-0000E1000000}"/>
    <cellStyle name="F8 4" xfId="225" xr:uid="{00000000-0005-0000-0000-0000E2000000}"/>
    <cellStyle name="F8 5" xfId="226" xr:uid="{00000000-0005-0000-0000-0000E3000000}"/>
    <cellStyle name="F8 6" xfId="227" xr:uid="{00000000-0005-0000-0000-0000E4000000}"/>
    <cellStyle name="F8 7" xfId="228" xr:uid="{00000000-0005-0000-0000-0000E5000000}"/>
    <cellStyle name="Good 2" xfId="229" xr:uid="{00000000-0005-0000-0000-0000E6000000}"/>
    <cellStyle name="Good 3" xfId="230" xr:uid="{00000000-0005-0000-0000-0000E7000000}"/>
    <cellStyle name="Good 4" xfId="231" xr:uid="{00000000-0005-0000-0000-0000E8000000}"/>
    <cellStyle name="Good 5" xfId="232" xr:uid="{00000000-0005-0000-0000-0000E9000000}"/>
    <cellStyle name="Good 6" xfId="233" xr:uid="{00000000-0005-0000-0000-0000EA000000}"/>
    <cellStyle name="Header1" xfId="234" xr:uid="{00000000-0005-0000-0000-0000EB000000}"/>
    <cellStyle name="Header2" xfId="235" xr:uid="{00000000-0005-0000-0000-0000EC000000}"/>
    <cellStyle name="Heading 1 2" xfId="236" xr:uid="{00000000-0005-0000-0000-0000ED000000}"/>
    <cellStyle name="Heading 1 3" xfId="237" xr:uid="{00000000-0005-0000-0000-0000EE000000}"/>
    <cellStyle name="Heading 1 4" xfId="238" xr:uid="{00000000-0005-0000-0000-0000EF000000}"/>
    <cellStyle name="Heading 1 5" xfId="239" xr:uid="{00000000-0005-0000-0000-0000F0000000}"/>
    <cellStyle name="Heading 1 6" xfId="240" xr:uid="{00000000-0005-0000-0000-0000F1000000}"/>
    <cellStyle name="Heading 2 2" xfId="241" xr:uid="{00000000-0005-0000-0000-0000F2000000}"/>
    <cellStyle name="Heading 2 3" xfId="242" xr:uid="{00000000-0005-0000-0000-0000F3000000}"/>
    <cellStyle name="Heading 2 4" xfId="243" xr:uid="{00000000-0005-0000-0000-0000F4000000}"/>
    <cellStyle name="Heading 2 5" xfId="244" xr:uid="{00000000-0005-0000-0000-0000F5000000}"/>
    <cellStyle name="Heading 2 6" xfId="245" xr:uid="{00000000-0005-0000-0000-0000F6000000}"/>
    <cellStyle name="Heading 3 2" xfId="246" xr:uid="{00000000-0005-0000-0000-0000F7000000}"/>
    <cellStyle name="Heading 3 3" xfId="247" xr:uid="{00000000-0005-0000-0000-0000F8000000}"/>
    <cellStyle name="Heading 3 4" xfId="248" xr:uid="{00000000-0005-0000-0000-0000F9000000}"/>
    <cellStyle name="Heading 3 5" xfId="249" xr:uid="{00000000-0005-0000-0000-0000FA000000}"/>
    <cellStyle name="Heading 3 6" xfId="250" xr:uid="{00000000-0005-0000-0000-0000FB000000}"/>
    <cellStyle name="Heading 4 2" xfId="251" xr:uid="{00000000-0005-0000-0000-0000FC000000}"/>
    <cellStyle name="Heading 4 3" xfId="252" xr:uid="{00000000-0005-0000-0000-0000FD000000}"/>
    <cellStyle name="Heading 4 4" xfId="253" xr:uid="{00000000-0005-0000-0000-0000FE000000}"/>
    <cellStyle name="Heading 4 5" xfId="254" xr:uid="{00000000-0005-0000-0000-0000FF000000}"/>
    <cellStyle name="Heading 4 6" xfId="255" xr:uid="{00000000-0005-0000-0000-000000010000}"/>
    <cellStyle name="Input 2" xfId="256" xr:uid="{00000000-0005-0000-0000-000001010000}"/>
    <cellStyle name="Input 3" xfId="257" xr:uid="{00000000-0005-0000-0000-000002010000}"/>
    <cellStyle name="Input 4" xfId="258" xr:uid="{00000000-0005-0000-0000-000003010000}"/>
    <cellStyle name="Input 5" xfId="259" xr:uid="{00000000-0005-0000-0000-000004010000}"/>
    <cellStyle name="Input 6" xfId="260" xr:uid="{00000000-0005-0000-0000-000005010000}"/>
    <cellStyle name="Linked Cell 2" xfId="261" xr:uid="{00000000-0005-0000-0000-000006010000}"/>
    <cellStyle name="Linked Cell 3" xfId="262" xr:uid="{00000000-0005-0000-0000-000007010000}"/>
    <cellStyle name="Linked Cell 4" xfId="263" xr:uid="{00000000-0005-0000-0000-000008010000}"/>
    <cellStyle name="Linked Cell 5" xfId="264" xr:uid="{00000000-0005-0000-0000-000009010000}"/>
    <cellStyle name="Linked Cell 6" xfId="265" xr:uid="{00000000-0005-0000-0000-00000A010000}"/>
    <cellStyle name="Neutral 2" xfId="266" xr:uid="{00000000-0005-0000-0000-00000B010000}"/>
    <cellStyle name="Neutral 3" xfId="267" xr:uid="{00000000-0005-0000-0000-00000C010000}"/>
    <cellStyle name="Neutral 4" xfId="268" xr:uid="{00000000-0005-0000-0000-00000D010000}"/>
    <cellStyle name="Neutral 5" xfId="269" xr:uid="{00000000-0005-0000-0000-00000E010000}"/>
    <cellStyle name="Neutral 6" xfId="270" xr:uid="{00000000-0005-0000-0000-00000F010000}"/>
    <cellStyle name="Normal" xfId="0" builtinId="0"/>
    <cellStyle name="Normal - Style1" xfId="271" xr:uid="{00000000-0005-0000-0000-000011010000}"/>
    <cellStyle name="Normal 10" xfId="272" xr:uid="{00000000-0005-0000-0000-000012010000}"/>
    <cellStyle name="Normal 11" xfId="273" xr:uid="{00000000-0005-0000-0000-000013010000}"/>
    <cellStyle name="Normal 12" xfId="274" xr:uid="{00000000-0005-0000-0000-000014010000}"/>
    <cellStyle name="Normal 13" xfId="275" xr:uid="{00000000-0005-0000-0000-000015010000}"/>
    <cellStyle name="Normal 14" xfId="276" xr:uid="{00000000-0005-0000-0000-000016010000}"/>
    <cellStyle name="Normal 15" xfId="352" xr:uid="{00000000-0005-0000-0000-000017010000}"/>
    <cellStyle name="Normal 16" xfId="353" xr:uid="{00000000-0005-0000-0000-000018010000}"/>
    <cellStyle name="Normal 17" xfId="354" xr:uid="{00000000-0005-0000-0000-000019010000}"/>
    <cellStyle name="Normal 2" xfId="277" xr:uid="{00000000-0005-0000-0000-00001A010000}"/>
    <cellStyle name="Normal 2 2" xfId="278" xr:uid="{00000000-0005-0000-0000-00001B010000}"/>
    <cellStyle name="Normal 2 3" xfId="355" xr:uid="{00000000-0005-0000-0000-00001C010000}"/>
    <cellStyle name="Normal 3" xfId="279" xr:uid="{00000000-0005-0000-0000-00001D010000}"/>
    <cellStyle name="Normal 3 2" xfId="280" xr:uid="{00000000-0005-0000-0000-00001E010000}"/>
    <cellStyle name="Normal 3 2 2" xfId="281" xr:uid="{00000000-0005-0000-0000-00001F010000}"/>
    <cellStyle name="Normal 3 2 3" xfId="282" xr:uid="{00000000-0005-0000-0000-000020010000}"/>
    <cellStyle name="Normal 3 2 4" xfId="283" xr:uid="{00000000-0005-0000-0000-000021010000}"/>
    <cellStyle name="Normal 3 2_01 Rencana DUK (rev 22-08-08) KP" xfId="284" xr:uid="{00000000-0005-0000-0000-000022010000}"/>
    <cellStyle name="Normal 3 3" xfId="285" xr:uid="{00000000-0005-0000-0000-000023010000}"/>
    <cellStyle name="Normal 3 4" xfId="286" xr:uid="{00000000-0005-0000-0000-000024010000}"/>
    <cellStyle name="Normal 3 5" xfId="287" xr:uid="{00000000-0005-0000-0000-000025010000}"/>
    <cellStyle name="Normal 3 6" xfId="288" xr:uid="{00000000-0005-0000-0000-000026010000}"/>
    <cellStyle name="Normal 3 7" xfId="289" xr:uid="{00000000-0005-0000-0000-000027010000}"/>
    <cellStyle name="Normal 3 8" xfId="290" xr:uid="{00000000-0005-0000-0000-000028010000}"/>
    <cellStyle name="Normal 3 9" xfId="2" xr:uid="{00000000-0005-0000-0000-000029010000}"/>
    <cellStyle name="Normal 3_01 Rencana DUK (rev 22-08-08) KP" xfId="291" xr:uid="{00000000-0005-0000-0000-00002A010000}"/>
    <cellStyle name="Normal 4" xfId="292" xr:uid="{00000000-0005-0000-0000-00002B010000}"/>
    <cellStyle name="Normal 5" xfId="293" xr:uid="{00000000-0005-0000-0000-00002C010000}"/>
    <cellStyle name="Normal 5 2" xfId="294" xr:uid="{00000000-0005-0000-0000-00002D010000}"/>
    <cellStyle name="Normal 5 2 2" xfId="295" xr:uid="{00000000-0005-0000-0000-00002E010000}"/>
    <cellStyle name="Normal 5 2 3" xfId="296" xr:uid="{00000000-0005-0000-0000-00002F010000}"/>
    <cellStyle name="Normal 5 2 4" xfId="297" xr:uid="{00000000-0005-0000-0000-000030010000}"/>
    <cellStyle name="Normal 5 3" xfId="298" xr:uid="{00000000-0005-0000-0000-000031010000}"/>
    <cellStyle name="Normal 5 4" xfId="299" xr:uid="{00000000-0005-0000-0000-000032010000}"/>
    <cellStyle name="Normal 5 5" xfId="300" xr:uid="{00000000-0005-0000-0000-000033010000}"/>
    <cellStyle name="Normal 5 6" xfId="301" xr:uid="{00000000-0005-0000-0000-000034010000}"/>
    <cellStyle name="Normal 5 7" xfId="302" xr:uid="{00000000-0005-0000-0000-000035010000}"/>
    <cellStyle name="Normal 6" xfId="303" xr:uid="{00000000-0005-0000-0000-000036010000}"/>
    <cellStyle name="Normal 6 2" xfId="304" xr:uid="{00000000-0005-0000-0000-000037010000}"/>
    <cellStyle name="Normal 6 2 2" xfId="305" xr:uid="{00000000-0005-0000-0000-000038010000}"/>
    <cellStyle name="Normal 6 2 3" xfId="306" xr:uid="{00000000-0005-0000-0000-000039010000}"/>
    <cellStyle name="Normal 6 2 4" xfId="307" xr:uid="{00000000-0005-0000-0000-00003A010000}"/>
    <cellStyle name="Normal 6 3" xfId="308" xr:uid="{00000000-0005-0000-0000-00003B010000}"/>
    <cellStyle name="Normal 6 4" xfId="309" xr:uid="{00000000-0005-0000-0000-00003C010000}"/>
    <cellStyle name="Normal 6 5" xfId="310" xr:uid="{00000000-0005-0000-0000-00003D010000}"/>
    <cellStyle name="Normal 6 6" xfId="311" xr:uid="{00000000-0005-0000-0000-00003E010000}"/>
    <cellStyle name="Normal 6 7" xfId="312" xr:uid="{00000000-0005-0000-0000-00003F010000}"/>
    <cellStyle name="Normal 7" xfId="313" xr:uid="{00000000-0005-0000-0000-000040010000}"/>
    <cellStyle name="Normal 7 2" xfId="314" xr:uid="{00000000-0005-0000-0000-000041010000}"/>
    <cellStyle name="Normal 7 3" xfId="315" xr:uid="{00000000-0005-0000-0000-000042010000}"/>
    <cellStyle name="Normal 7 4" xfId="316" xr:uid="{00000000-0005-0000-0000-000043010000}"/>
    <cellStyle name="Normal 8" xfId="317" xr:uid="{00000000-0005-0000-0000-000044010000}"/>
    <cellStyle name="Normal 9" xfId="318" xr:uid="{00000000-0005-0000-0000-000045010000}"/>
    <cellStyle name="Note 2" xfId="319" xr:uid="{00000000-0005-0000-0000-000046010000}"/>
    <cellStyle name="Note 3" xfId="320" xr:uid="{00000000-0005-0000-0000-000047010000}"/>
    <cellStyle name="Note 4" xfId="321" xr:uid="{00000000-0005-0000-0000-000048010000}"/>
    <cellStyle name="Note 5" xfId="322" xr:uid="{00000000-0005-0000-0000-000049010000}"/>
    <cellStyle name="Note 6" xfId="323" xr:uid="{00000000-0005-0000-0000-00004A010000}"/>
    <cellStyle name="Output 2" xfId="324" xr:uid="{00000000-0005-0000-0000-00004B010000}"/>
    <cellStyle name="Output 3" xfId="325" xr:uid="{00000000-0005-0000-0000-00004C010000}"/>
    <cellStyle name="Output 4" xfId="326" xr:uid="{00000000-0005-0000-0000-00004D010000}"/>
    <cellStyle name="Output 5" xfId="327" xr:uid="{00000000-0005-0000-0000-00004E010000}"/>
    <cellStyle name="Output 6" xfId="328" xr:uid="{00000000-0005-0000-0000-00004F010000}"/>
    <cellStyle name="Percent" xfId="357" builtinId="5"/>
    <cellStyle name="Percent 2" xfId="329" xr:uid="{00000000-0005-0000-0000-000051010000}"/>
    <cellStyle name="Percent 2 2" xfId="330" xr:uid="{00000000-0005-0000-0000-000052010000}"/>
    <cellStyle name="Percent 3" xfId="331" xr:uid="{00000000-0005-0000-0000-000053010000}"/>
    <cellStyle name="Percent 4" xfId="4" xr:uid="{00000000-0005-0000-0000-000054010000}"/>
    <cellStyle name="Percent 5" xfId="356" xr:uid="{00000000-0005-0000-0000-000055010000}"/>
    <cellStyle name="Percent 6" xfId="347" xr:uid="{00000000-0005-0000-0000-000056010000}"/>
    <cellStyle name="Title 2" xfId="332" xr:uid="{00000000-0005-0000-0000-000057010000}"/>
    <cellStyle name="Title 3" xfId="333" xr:uid="{00000000-0005-0000-0000-000058010000}"/>
    <cellStyle name="Title 4" xfId="334" xr:uid="{00000000-0005-0000-0000-000059010000}"/>
    <cellStyle name="Title 5" xfId="335" xr:uid="{00000000-0005-0000-0000-00005A010000}"/>
    <cellStyle name="Title 6" xfId="336" xr:uid="{00000000-0005-0000-0000-00005B010000}"/>
    <cellStyle name="Total 2" xfId="337" xr:uid="{00000000-0005-0000-0000-00005C010000}"/>
    <cellStyle name="Total 3" xfId="338" xr:uid="{00000000-0005-0000-0000-00005D010000}"/>
    <cellStyle name="Total 4" xfId="339" xr:uid="{00000000-0005-0000-0000-00005E010000}"/>
    <cellStyle name="Total 5" xfId="340" xr:uid="{00000000-0005-0000-0000-00005F010000}"/>
    <cellStyle name="Total 6" xfId="341" xr:uid="{00000000-0005-0000-0000-000060010000}"/>
    <cellStyle name="Warning Text 2" xfId="342" xr:uid="{00000000-0005-0000-0000-000061010000}"/>
    <cellStyle name="Warning Text 3" xfId="343" xr:uid="{00000000-0005-0000-0000-000062010000}"/>
    <cellStyle name="Warning Text 4" xfId="344" xr:uid="{00000000-0005-0000-0000-000063010000}"/>
    <cellStyle name="Warning Text 5" xfId="345" xr:uid="{00000000-0005-0000-0000-000064010000}"/>
    <cellStyle name="Warning Text 6" xfId="346" xr:uid="{00000000-0005-0000-0000-000065010000}"/>
  </cellStyles>
  <dxfs count="330"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ahnschrift"/>
        <family val="2"/>
        <scheme val="none"/>
      </font>
      <numFmt numFmtId="14" formatCode="0.00%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14" formatCode="0.00%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14" formatCode="0.00%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14" formatCode="0.00%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165" formatCode="_(* #,##0.00_);_(* \(#,##0.00\);_(* &quot;-&quot;??_);_(@_)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34" formatCode="_-&quot;Rp&quot;* #,##0.00_-;\-&quot;Rp&quot;* #,##0.00_-;_-&quot;Rp&quot;* &quot;-&quot;??_-;_-@_-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34" formatCode="_-&quot;Rp&quot;* #,##0.00_-;\-&quot;Rp&quot;* #,##0.00_-;_-&quot;Rp&quot;* &quot;-&quot;??_-;_-@_-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14" formatCode="0.00%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13" formatCode="0%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34" formatCode="_-&quot;Rp&quot;* #,##0.00_-;\-&quot;Rp&quot;* #,##0.00_-;_-&quot;Rp&quot;* &quot;-&quot;??_-;_-@_-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14" formatCode="0.00%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34" formatCode="_-&quot;Rp&quot;* #,##0.00_-;\-&quot;Rp&quot;* #,##0.00_-;_-&quot;Rp&quot;* &quot;-&quot;??_-;_-@_-"/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Bahnschrif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91B1B"/>
        </patternFill>
      </fill>
      <alignment horizontal="center" vertical="bottom" textRotation="0" wrapText="0" indent="0" justifyLastLine="0" shrinkToFit="0" readingOrder="0"/>
    </dxf>
    <dxf>
      <font>
        <color auto="1"/>
      </font>
    </dxf>
    <dxf>
      <fill>
        <patternFill>
          <bgColor theme="7" tint="0.79998168889431442"/>
        </patternFill>
      </fill>
    </dxf>
    <dxf>
      <fill>
        <patternFill>
          <bgColor rgb="FF7E141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79998168889431442"/>
        </patternFill>
      </fill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center"/>
    </dxf>
    <dxf>
      <fill>
        <patternFill>
          <bgColor rgb="FF0070C0"/>
        </patternFill>
      </fill>
    </dxf>
    <dxf>
      <fill>
        <patternFill>
          <bgColor theme="1" tint="4.9989318521683403E-2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ill>
        <patternFill>
          <bgColor theme="7" tint="0.79998168889431442"/>
        </patternFill>
      </fill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79998168889431442"/>
        </patternFill>
      </fill>
    </dxf>
    <dxf>
      <font>
        <color auto="1"/>
      </font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vertical="bottom"/>
    </dxf>
    <dxf>
      <alignment horizontal="center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rgb="FF0070C0"/>
        </patternFill>
      </fill>
    </dxf>
    <dxf>
      <font>
        <color theme="0"/>
      </font>
    </dxf>
    <dxf>
      <fill>
        <patternFill>
          <bgColor rgb="FFEB6907"/>
        </patternFill>
      </fill>
    </dxf>
    <dxf>
      <font>
        <color theme="0"/>
      </font>
    </dxf>
    <dxf>
      <fill>
        <patternFill>
          <bgColor rgb="FFF86F08"/>
        </patternFill>
      </fill>
    </dxf>
    <dxf>
      <font>
        <color theme="1" tint="4.9989318521683403E-2"/>
      </font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sz val="9"/>
      </font>
    </dxf>
    <dxf>
      <numFmt numFmtId="14" formatCode="0.00%"/>
    </dxf>
    <dxf>
      <numFmt numFmtId="34" formatCode="_-&quot;Rp&quot;* #,##0.00_-;\-&quot;Rp&quot;* #,##0.00_-;_-&quot;Rp&quot;* &quot;-&quot;??_-;_-@_-"/>
    </dxf>
    <dxf>
      <numFmt numFmtId="13" formatCode="0%"/>
    </dxf>
    <dxf>
      <numFmt numFmtId="34" formatCode="_-&quot;Rp&quot;* #,##0.00_-;\-&quot;Rp&quot;* #,##0.00_-;_-&quot;Rp&quot;* &quot;-&quot;??_-;_-@_-"/>
    </dxf>
    <dxf>
      <numFmt numFmtId="34" formatCode="_-&quot;Rp&quot;* #,##0.00_-;\-&quot;Rp&quot;* #,##0.00_-;_-&quot;Rp&quot;* &quot;-&quot;??_-;_-@_-"/>
    </dxf>
    <dxf>
      <numFmt numFmtId="34" formatCode="_-&quot;Rp&quot;* #,##0.00_-;\-&quot;Rp&quot;* #,##0.00_-;_-&quot;Rp&quot;* &quot;-&quot;??_-;_-@_-"/>
    </dxf>
    <dxf>
      <numFmt numFmtId="14" formatCode="0.00%"/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34" formatCode="_-&quot;Rp&quot;* #,##0.00_-;\-&quot;Rp&quot;* #,##0.00_-;_-&quot;Rp&quot;* &quot;-&quot;??_-;_-@_-"/>
    </dxf>
    <dxf>
      <fill>
        <patternFill>
          <bgColor theme="1" tint="4.9989318521683403E-2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</dxfs>
  <tableStyles count="0" defaultTableStyle="TableStyleMedium9" defaultPivotStyle="PivotStyleLight16"/>
  <colors>
    <mruColors>
      <color rgb="FF00193A"/>
      <color rgb="FF7E1414"/>
      <color rgb="FFA80000"/>
      <color rgb="FF691111"/>
      <color rgb="FFA91B1B"/>
      <color rgb="FFE65314"/>
      <color rgb="FFCD017A"/>
      <color rgb="FF14E588"/>
      <color rgb="FFF6C6C6"/>
      <color rgb="FFE9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pivotCacheDefinition" Target="pivotCache/pivotCacheDefinition6.xml"/><Relationship Id="rId21" Type="http://schemas.openxmlformats.org/officeDocument/2006/relationships/pivotCacheDefinition" Target="pivotCache/pivotCacheDefinition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pivotCacheDefinition" Target="pivotCache/pivotCacheDefinition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pivotCacheDefinition" Target="pivotCache/pivotCacheDefinition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openxmlformats.org/officeDocument/2006/relationships/powerPivotData" Target="model/item.data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Investment.xlsx]PivotTable!PivotTable9</c:name>
    <c:fmtId val="32"/>
  </c:pivotSource>
  <c:chart>
    <c:autoTitleDeleted val="1"/>
    <c:pivotFmts>
      <c:pivotFmt>
        <c:idx val="0"/>
        <c:spPr>
          <a:solidFill>
            <a:srgbClr val="C00000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81298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2"/>
        <c:spPr>
          <a:solidFill>
            <a:srgbClr val="C00000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3"/>
        <c:spPr>
          <a:solidFill>
            <a:srgbClr val="FFCB25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4"/>
        <c:spPr>
          <a:solidFill>
            <a:srgbClr val="C51E48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5"/>
        <c:spPr>
          <a:solidFill>
            <a:srgbClr val="69111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6"/>
        <c:spPr>
          <a:solidFill>
            <a:srgbClr val="C00000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8"/>
        <c:spPr>
          <a:solidFill>
            <a:srgbClr val="FFCB25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9"/>
        <c:spPr>
          <a:solidFill>
            <a:srgbClr val="69111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10"/>
        <c:spPr>
          <a:solidFill>
            <a:srgbClr val="C51E48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11"/>
        <c:spPr>
          <a:solidFill>
            <a:srgbClr val="481298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12"/>
        <c:spPr>
          <a:solidFill>
            <a:schemeClr val="accent4">
              <a:lumMod val="50000"/>
            </a:schemeClr>
          </a:solidFill>
          <a:ln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A91B1B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5124449208050494"/>
              <c:y val="-8.9047649097444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E1414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8743070209444973"/>
              <c:y val="9.705041910083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6C6C6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588103865655841"/>
              <c:y val="0.16148154064891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061495653235528"/>
                  <c:h val="0.1608748023068198"/>
                </c:manualLayout>
              </c15:layout>
            </c:ext>
          </c:extLst>
        </c:dLbl>
      </c:pivotFmt>
      <c:pivotFmt>
        <c:idx val="16"/>
        <c:spPr>
          <a:solidFill>
            <a:srgbClr val="E9737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940000304618525"/>
              <c:y val="3.2193385826771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7"/>
        <c:spPr>
          <a:solidFill>
            <a:srgbClr val="E1434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015835650408499"/>
              <c:y val="-4.83811023622047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lumMod val="50000"/>
            </a:schemeClr>
          </a:solidFill>
          <a:ln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91B1B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5124449208050494"/>
              <c:y val="-8.9047649097444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7E1414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8743070209444973"/>
              <c:y val="9.705041910083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6C6C6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588103865655841"/>
              <c:y val="0.16148154064891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061495653235528"/>
                  <c:h val="0.1608748023068198"/>
                </c:manualLayout>
              </c15:layout>
            </c:ext>
          </c:extLst>
        </c:dLbl>
      </c:pivotFmt>
      <c:pivotFmt>
        <c:idx val="22"/>
        <c:spPr>
          <a:solidFill>
            <a:srgbClr val="E9737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940000304618525"/>
              <c:y val="3.2193385826771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3"/>
        <c:spPr>
          <a:solidFill>
            <a:srgbClr val="E1434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015835650408499"/>
              <c:y val="-4.83811023622047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lumMod val="50000"/>
            </a:schemeClr>
          </a:solidFill>
          <a:ln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A91B1B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5124449208050494"/>
              <c:y val="-8.9047649097444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7E1414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8743070209444973"/>
              <c:y val="9.705041910083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6C6C6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588103865655841"/>
              <c:y val="0.16148154064891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061495653235528"/>
                  <c:h val="0.1608748023068198"/>
                </c:manualLayout>
              </c15:layout>
            </c:ext>
          </c:extLst>
        </c:dLbl>
      </c:pivotFmt>
      <c:pivotFmt>
        <c:idx val="28"/>
        <c:spPr>
          <a:solidFill>
            <a:srgbClr val="E9737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940000304618525"/>
              <c:y val="3.2193385826771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9"/>
        <c:spPr>
          <a:solidFill>
            <a:srgbClr val="E1434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015835650408499"/>
              <c:y val="-4.83811023622047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86233347522678"/>
          <c:y val="5.5897341836806176E-2"/>
          <c:w val="0.63613996109238968"/>
          <c:h val="0.7572688434389323"/>
        </c:manualLayout>
      </c:layout>
      <c:doughnutChart>
        <c:varyColors val="1"/>
        <c:ser>
          <c:idx val="0"/>
          <c:order val="0"/>
          <c:tx>
            <c:strRef>
              <c:f>PivotTable!$AC$5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>
              <a:glow>
                <a:srgbClr val="F6C6C6"/>
              </a:glow>
              <a:outerShdw sx="1000" sy="1000" algn="ctr" rotWithShape="0">
                <a:srgbClr val="000000"/>
              </a:outerShdw>
              <a:softEdge rad="0"/>
            </a:effectLst>
            <a:scene3d>
              <a:camera prst="orthographicFront"/>
              <a:lightRig rig="threePt" dir="t"/>
            </a:scene3d>
            <a:sp3d>
              <a:bevelT w="19050" h="19050"/>
            </a:sp3d>
          </c:spPr>
          <c:dPt>
            <c:idx val="0"/>
            <c:bubble3D val="0"/>
            <c:spPr>
              <a:solidFill>
                <a:srgbClr val="A91B1B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1-937A-4787-A42A-873D4C6EABFB}"/>
              </c:ext>
            </c:extLst>
          </c:dPt>
          <c:dPt>
            <c:idx val="1"/>
            <c:bubble3D val="0"/>
            <c:spPr>
              <a:solidFill>
                <a:srgbClr val="7E1414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3-937A-4787-A42A-873D4C6EABFB}"/>
              </c:ext>
            </c:extLst>
          </c:dPt>
          <c:dPt>
            <c:idx val="2"/>
            <c:bubble3D val="0"/>
            <c:spPr>
              <a:solidFill>
                <a:srgbClr val="F6C6C6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5-937A-4787-A42A-873D4C6EABFB}"/>
              </c:ext>
            </c:extLst>
          </c:dPt>
          <c:dPt>
            <c:idx val="3"/>
            <c:bubble3D val="0"/>
            <c:spPr>
              <a:solidFill>
                <a:srgbClr val="E97373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7-937A-4787-A42A-873D4C6EABFB}"/>
              </c:ext>
            </c:extLst>
          </c:dPt>
          <c:dPt>
            <c:idx val="4"/>
            <c:bubble3D val="0"/>
            <c:spPr>
              <a:solidFill>
                <a:srgbClr val="E14343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9-937A-4787-A42A-873D4C6EABFB}"/>
              </c:ext>
            </c:extLst>
          </c:dPt>
          <c:dLbls>
            <c:dLbl>
              <c:idx val="0"/>
              <c:layout>
                <c:manualLayout>
                  <c:x val="0.15124449208050494"/>
                  <c:y val="-8.90476490974444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7A-4787-A42A-873D4C6EABFB}"/>
                </c:ext>
              </c:extLst>
            </c:dLbl>
            <c:dLbl>
              <c:idx val="1"/>
              <c:layout>
                <c:manualLayout>
                  <c:x val="0.18743070209444973"/>
                  <c:y val="9.70504191008381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7A-4787-A42A-873D4C6EABFB}"/>
                </c:ext>
              </c:extLst>
            </c:dLbl>
            <c:dLbl>
              <c:idx val="2"/>
              <c:layout>
                <c:manualLayout>
                  <c:x val="-0.17588103865655841"/>
                  <c:y val="0.161481540648912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061495653235528"/>
                      <c:h val="0.16087480230681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37A-4787-A42A-873D4C6EABFB}"/>
                </c:ext>
              </c:extLst>
            </c:dLbl>
            <c:dLbl>
              <c:idx val="3"/>
              <c:layout>
                <c:manualLayout>
                  <c:x val="-0.17940000304618525"/>
                  <c:y val="3.2193385826771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bg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937A-4787-A42A-873D4C6EABFB}"/>
                </c:ext>
              </c:extLst>
            </c:dLbl>
            <c:dLbl>
              <c:idx val="4"/>
              <c:layout>
                <c:manualLayout>
                  <c:x val="-0.2015835650408499"/>
                  <c:y val="-4.83811023622047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A-4787-A42A-873D4C6EAB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6350" cap="flat" cmpd="sng" algn="ctr">
                  <a:solidFill>
                    <a:srgbClr val="F6C6C6"/>
                  </a:solidFill>
                  <a:round/>
                  <a:headEnd type="none"/>
                  <a:tailEnd type="oval" w="sm" len="sm"/>
                </a:ln>
                <a:effectLst>
                  <a:softEdge rad="0"/>
                </a:effectLst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PivotTable!$AB$6:$AB$10</c:f>
              <c:strCache>
                <c:ptCount val="5"/>
                <c:pt idx="0">
                  <c:v>NPV</c:v>
                </c:pt>
                <c:pt idx="1">
                  <c:v>IRR</c:v>
                </c:pt>
                <c:pt idx="2">
                  <c:v>PP</c:v>
                </c:pt>
                <c:pt idx="3">
                  <c:v>PI</c:v>
                </c:pt>
                <c:pt idx="4">
                  <c:v>BCR</c:v>
                </c:pt>
              </c:strCache>
            </c:strRef>
          </c:cat>
          <c:val>
            <c:numRef>
              <c:f>PivotTable!$AC$6:$AC$10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0.24</c:v>
                </c:pt>
                <c:pt idx="3">
                  <c:v>0.16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7A-4787-A42A-873D4C6EAB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Investment.xlsx]PivotTable!PivotTable13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A91B1B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7082290910069137"/>
              <c:y val="-0.133188172208636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E1414"/>
          </a:solidFill>
          <a:ln w="19050">
            <a:noFill/>
          </a:ln>
          <a:effectLst>
            <a:softEdge rad="8890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2483212588127446"/>
              <c:y val="0.183133736786874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6C6C6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2483212588127449"/>
              <c:y val="0.141512432971675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E9737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9053180435078326"/>
              <c:y val="3.3270956958994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1434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1034822321643185"/>
              <c:y val="-9.94335385261661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A91B1B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7082290910069137"/>
              <c:y val="-0.133188172208636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7E1414"/>
          </a:solidFill>
          <a:ln w="19050">
            <a:noFill/>
          </a:ln>
          <a:effectLst>
            <a:softEdge rad="8890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2483212588127446"/>
              <c:y val="0.183133736786874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6C6C6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2483212588127449"/>
              <c:y val="0.141512432971675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E9737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9053180435078326"/>
              <c:y val="3.3270956958994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1434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1034822321643185"/>
              <c:y val="-9.94335385261661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A91B1B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7082290910069137"/>
              <c:y val="-0.133188172208636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E1414"/>
          </a:solidFill>
          <a:ln w="19050">
            <a:noFill/>
          </a:ln>
          <a:effectLst>
            <a:softEdge rad="8890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2483212588127446"/>
              <c:y val="0.183133736786874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6C6C6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2483212588127449"/>
              <c:y val="0.141512432971675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E9737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9053180435078326"/>
              <c:y val="3.3270956958994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E1434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1034822321643185"/>
              <c:y val="-9.94335385261661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PivotTable!$AF$5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 w="19050" h="19050"/>
            </a:sp3d>
          </c:spPr>
          <c:dPt>
            <c:idx val="0"/>
            <c:bubble3D val="0"/>
            <c:spPr>
              <a:solidFill>
                <a:srgbClr val="A91B1B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1-9486-41CF-A90F-CCF12128D073}"/>
              </c:ext>
            </c:extLst>
          </c:dPt>
          <c:dPt>
            <c:idx val="1"/>
            <c:bubble3D val="0"/>
            <c:spPr>
              <a:solidFill>
                <a:srgbClr val="7E1414"/>
              </a:solidFill>
              <a:ln w="19050">
                <a:noFill/>
              </a:ln>
              <a:effectLst>
                <a:softEdge rad="8890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3-9486-41CF-A90F-CCF12128D073}"/>
              </c:ext>
            </c:extLst>
          </c:dPt>
          <c:dPt>
            <c:idx val="2"/>
            <c:bubble3D val="0"/>
            <c:spPr>
              <a:solidFill>
                <a:srgbClr val="F6C6C6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5-9486-41CF-A90F-CCF12128D073}"/>
              </c:ext>
            </c:extLst>
          </c:dPt>
          <c:dPt>
            <c:idx val="3"/>
            <c:bubble3D val="0"/>
            <c:spPr>
              <a:solidFill>
                <a:srgbClr val="E97373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7-9486-41CF-A90F-CCF12128D073}"/>
              </c:ext>
            </c:extLst>
          </c:dPt>
          <c:dPt>
            <c:idx val="4"/>
            <c:bubble3D val="0"/>
            <c:spPr>
              <a:solidFill>
                <a:srgbClr val="E14343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9-9486-41CF-A90F-CCF12128D073}"/>
              </c:ext>
            </c:extLst>
          </c:dPt>
          <c:dLbls>
            <c:dLbl>
              <c:idx val="0"/>
              <c:layout>
                <c:manualLayout>
                  <c:x val="0.17082290910069137"/>
                  <c:y val="-0.133188172208636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86-41CF-A90F-CCF12128D073}"/>
                </c:ext>
              </c:extLst>
            </c:dLbl>
            <c:dLbl>
              <c:idx val="1"/>
              <c:layout>
                <c:manualLayout>
                  <c:x val="0.12483212588127446"/>
                  <c:y val="0.183133736786874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86-41CF-A90F-CCF12128D073}"/>
                </c:ext>
              </c:extLst>
            </c:dLbl>
            <c:dLbl>
              <c:idx val="2"/>
              <c:layout>
                <c:manualLayout>
                  <c:x val="-0.12483212588127449"/>
                  <c:y val="0.141512432971675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86-41CF-A90F-CCF12128D073}"/>
                </c:ext>
              </c:extLst>
            </c:dLbl>
            <c:dLbl>
              <c:idx val="3"/>
              <c:layout>
                <c:manualLayout>
                  <c:x val="-0.19053180435078326"/>
                  <c:y val="3.32709569589949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86-41CF-A90F-CCF12128D073}"/>
                </c:ext>
              </c:extLst>
            </c:dLbl>
            <c:dLbl>
              <c:idx val="4"/>
              <c:layout>
                <c:manualLayout>
                  <c:x val="-0.21034822321643185"/>
                  <c:y val="-9.94335385261661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86-41CF-A90F-CCF12128D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6350" cap="flat" cmpd="sng" algn="ctr">
                  <a:solidFill>
                    <a:srgbClr val="F6C6C6"/>
                  </a:solidFill>
                  <a:round/>
                  <a:tailEnd type="oval" w="sm" len="sm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PivotTable!$AE$6:$AE$10</c:f>
              <c:strCache>
                <c:ptCount val="5"/>
                <c:pt idx="0">
                  <c:v>Policy</c:v>
                </c:pt>
                <c:pt idx="1">
                  <c:v>Plan</c:v>
                </c:pt>
                <c:pt idx="2">
                  <c:v>Do</c:v>
                </c:pt>
                <c:pt idx="3">
                  <c:v>Check</c:v>
                </c:pt>
                <c:pt idx="4">
                  <c:v>Action</c:v>
                </c:pt>
              </c:strCache>
            </c:strRef>
          </c:cat>
          <c:val>
            <c:numRef>
              <c:f>PivotTable!$AF$6:$AF$10</c:f>
              <c:numCache>
                <c:formatCode>General</c:formatCode>
                <c:ptCount val="5"/>
                <c:pt idx="0">
                  <c:v>0.48</c:v>
                </c:pt>
                <c:pt idx="1">
                  <c:v>0.48</c:v>
                </c:pt>
                <c:pt idx="2">
                  <c:v>0.5</c:v>
                </c:pt>
                <c:pt idx="3">
                  <c:v>0.4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86-41CF-A90F-CCF12128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Investment.xlsx]PivotTable!PivotTable11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C000"/>
            </a:solidFill>
            <a:round/>
            <a:headEnd w="sm" len="sm"/>
            <a:tailEnd w="sm" len="sm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round/>
            <a:headEnd w="sm" len="sm"/>
            <a:tailEnd w="sm" len="sm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round/>
            <a:headEnd w="sm" len="sm"/>
            <a:tailEnd w="sm" len="sm"/>
          </a:ln>
          <a:effectLst/>
        </c:spPr>
        <c:marker>
          <c:symbol val="circle"/>
          <c:size val="3"/>
          <c:spPr>
            <a:solidFill>
              <a:srgbClr val="FFC000"/>
            </a:solidFill>
            <a:ln w="9525">
              <a:solidFill>
                <a:srgbClr val="FFC000">
                  <a:alpha val="91000"/>
                </a:srgbClr>
              </a:solidFill>
            </a:ln>
            <a:effectLst/>
            <a:scene3d>
              <a:camera prst="orthographicFront"/>
              <a:lightRig rig="threePt" dir="t"/>
            </a:scene3d>
            <a:sp3d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3"/>
          <c:spPr>
            <a:solidFill>
              <a:srgbClr val="A91B1B"/>
            </a:solidFill>
            <a:ln w="9525">
              <a:solidFill>
                <a:srgbClr val="A91B1B"/>
              </a:solidFill>
            </a:ln>
            <a:effectLst/>
            <a:scene3d>
              <a:camera prst="orthographicFront"/>
              <a:lightRig rig="threePt" dir="t"/>
            </a:scene3d>
            <a:sp3d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3"/>
          <c:spPr>
            <a:solidFill>
              <a:srgbClr val="A91B1B"/>
            </a:solidFill>
            <a:ln w="9525">
              <a:solidFill>
                <a:srgbClr val="A91B1B"/>
              </a:solidFill>
            </a:ln>
            <a:effectLst/>
            <a:scene3d>
              <a:camera prst="orthographicFront"/>
              <a:lightRig rig="threePt" dir="t"/>
            </a:scene3d>
            <a:sp3d>
              <a:bevelT w="25400" h="25400"/>
            </a:sp3d>
          </c:spPr>
        </c:marker>
      </c:pivotFmt>
    </c:pivotFmts>
    <c:plotArea>
      <c:layout>
        <c:manualLayout>
          <c:layoutTarget val="inner"/>
          <c:xMode val="edge"/>
          <c:yMode val="edge"/>
          <c:x val="6.8412043433897202E-2"/>
          <c:y val="3.4449964275115784E-2"/>
          <c:w val="0.90240783038346695"/>
          <c:h val="0.73215071398229115"/>
        </c:manualLayout>
      </c:layout>
      <c:lineChart>
        <c:grouping val="standard"/>
        <c:varyColors val="0"/>
        <c:ser>
          <c:idx val="0"/>
          <c:order val="0"/>
          <c:tx>
            <c:strRef>
              <c:f>PivotTable!$AI$5</c:f>
              <c:strCache>
                <c:ptCount val="1"/>
                <c:pt idx="0">
                  <c:v>Net Cash Flow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  <a:headEnd w="sm" len="sm"/>
              <a:tailEnd w="sm" len="sm"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>
                    <a:alpha val="91000"/>
                  </a:srgb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25400" h="25400"/>
              </a:sp3d>
            </c:spPr>
          </c:marker>
          <c:cat>
            <c:strRef>
              <c:f>PivotTable!$AH$6:$AH$22</c:f>
              <c:strCache>
                <c:ptCount val="1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</c:strCache>
            </c:strRef>
          </c:cat>
          <c:val>
            <c:numRef>
              <c:f>PivotTable!$AI$6:$AI$22</c:f>
              <c:numCache>
                <c:formatCode>General</c:formatCode>
                <c:ptCount val="16"/>
                <c:pt idx="0">
                  <c:v>-40</c:v>
                </c:pt>
                <c:pt idx="1">
                  <c:v>5.5992725083352228</c:v>
                </c:pt>
                <c:pt idx="2">
                  <c:v>5.7873930461269563</c:v>
                </c:pt>
                <c:pt idx="3">
                  <c:v>5.9820978027413965</c:v>
                </c:pt>
                <c:pt idx="4">
                  <c:v>6.1836172258373443</c:v>
                </c:pt>
                <c:pt idx="5">
                  <c:v>6.3921898287416496</c:v>
                </c:pt>
                <c:pt idx="6">
                  <c:v>6.6080624727476085</c:v>
                </c:pt>
                <c:pt idx="7">
                  <c:v>6.8314906592937774</c:v>
                </c:pt>
                <c:pt idx="8">
                  <c:v>7.0627388323690568</c:v>
                </c:pt>
                <c:pt idx="9">
                  <c:v>7.302080691501974</c:v>
                </c:pt>
                <c:pt idx="10">
                  <c:v>7.5497995157045423</c:v>
                </c:pt>
                <c:pt idx="11">
                  <c:v>7.7303706137666612</c:v>
                </c:pt>
                <c:pt idx="12">
                  <c:v>7.915392789396007</c:v>
                </c:pt>
                <c:pt idx="13">
                  <c:v>8.1049757616546181</c:v>
                </c:pt>
                <c:pt idx="14">
                  <c:v>8.2992319541793993</c:v>
                </c:pt>
                <c:pt idx="15">
                  <c:v>16.498276561849934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0-41C7-839F-EC5A92A75C8C}"/>
            </c:ext>
          </c:extLst>
        </c:ser>
        <c:ser>
          <c:idx val="1"/>
          <c:order val="1"/>
          <c:tx>
            <c:strRef>
              <c:f>PivotTable!$AJ$5</c:f>
              <c:strCache>
                <c:ptCount val="1"/>
                <c:pt idx="0">
                  <c:v>Accumulated Net Cashflow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A91B1B"/>
              </a:solidFill>
              <a:ln w="9525">
                <a:solidFill>
                  <a:srgbClr val="A91B1B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25400" h="25400"/>
              </a:sp3d>
            </c:spPr>
          </c:marker>
          <c:cat>
            <c:strRef>
              <c:f>PivotTable!$AH$6:$AH$22</c:f>
              <c:strCache>
                <c:ptCount val="1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</c:strCache>
            </c:strRef>
          </c:cat>
          <c:val>
            <c:numRef>
              <c:f>PivotTable!$AJ$6:$AJ$22</c:f>
              <c:numCache>
                <c:formatCode>General</c:formatCode>
                <c:ptCount val="16"/>
                <c:pt idx="0">
                  <c:v>-40</c:v>
                </c:pt>
                <c:pt idx="1">
                  <c:v>-34.400727491664775</c:v>
                </c:pt>
                <c:pt idx="2">
                  <c:v>-28.613334445537816</c:v>
                </c:pt>
                <c:pt idx="3">
                  <c:v>-22.63123664279642</c:v>
                </c:pt>
                <c:pt idx="4">
                  <c:v>-16.447619416959075</c:v>
                </c:pt>
                <c:pt idx="5">
                  <c:v>-10.055429588217425</c:v>
                </c:pt>
                <c:pt idx="6">
                  <c:v>-3.4473671154698167</c:v>
                </c:pt>
                <c:pt idx="7">
                  <c:v>3.3841235438239607</c:v>
                </c:pt>
                <c:pt idx="8">
                  <c:v>10.446862376193017</c:v>
                </c:pt>
                <c:pt idx="9">
                  <c:v>17.748943067694992</c:v>
                </c:pt>
                <c:pt idx="10">
                  <c:v>25.298742583399534</c:v>
                </c:pt>
                <c:pt idx="11">
                  <c:v>33.029113197166197</c:v>
                </c:pt>
                <c:pt idx="12">
                  <c:v>40.944505986562206</c:v>
                </c:pt>
                <c:pt idx="13">
                  <c:v>49.04948174821682</c:v>
                </c:pt>
                <c:pt idx="14">
                  <c:v>57.348713702396218</c:v>
                </c:pt>
                <c:pt idx="15">
                  <c:v>73.846990264246159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0-41C7-839F-EC5A92A7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460095"/>
        <c:axId val="1143443775"/>
      </c:lineChart>
      <c:catAx>
        <c:axId val="114346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43775"/>
        <c:crosses val="autoZero"/>
        <c:auto val="1"/>
        <c:lblAlgn val="ctr"/>
        <c:lblOffset val="100"/>
        <c:noMultiLvlLbl val="0"/>
      </c:catAx>
      <c:valAx>
        <c:axId val="11434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SENSITIFITAS IRR TERHADAP HARGA MTT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[11]Calc!$D$90:$E$90</c:f>
              <c:strCache>
                <c:ptCount val="1"/>
                <c:pt idx="0">
                  <c:v>INVESTASI IRR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[11]Calc!$D$91:$D$93</c:f>
              <c:numCache>
                <c:formatCode>General</c:formatCode>
                <c:ptCount val="3"/>
                <c:pt idx="0">
                  <c:v>56.496101414907145</c:v>
                </c:pt>
                <c:pt idx="1">
                  <c:v>58.287027829759701</c:v>
                </c:pt>
                <c:pt idx="2">
                  <c:v>62.145711556397863</c:v>
                </c:pt>
              </c:numCache>
            </c:numRef>
          </c:xVal>
          <c:yVal>
            <c:numRef>
              <c:f>[11]Calc!$E$91:$E$93</c:f>
              <c:numCache>
                <c:formatCode>General</c:formatCode>
                <c:ptCount val="3"/>
                <c:pt idx="0">
                  <c:v>0.10445836547314695</c:v>
                </c:pt>
                <c:pt idx="1">
                  <c:v>9.3533789974242151E-2</c:v>
                </c:pt>
                <c:pt idx="2">
                  <c:v>7.1186347328741406E-2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B-40B6-A338-D39A89EC81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1428192"/>
        <c:axId val="571426752"/>
      </c:scatterChart>
      <c:valAx>
        <c:axId val="571428192"/>
        <c:scaling>
          <c:orientation val="minMax"/>
          <c:max val="63"/>
          <c:min val="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HARGA  1 UNIT MTT (MILYAR Rp)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26752"/>
        <c:crosses val="autoZero"/>
        <c:crossBetween val="midCat"/>
      </c:valAx>
      <c:valAx>
        <c:axId val="571426752"/>
        <c:scaling>
          <c:orientation val="minMax"/>
          <c:max val="0.12000000000000001"/>
          <c:min val="6.0000000000000012E-2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28192"/>
        <c:crosses val="autoZero"/>
        <c:crossBetween val="midCat"/>
        <c:majorUnit val="1.0000000000000002E-2"/>
      </c:valAx>
      <c:spPr>
        <a:solidFill>
          <a:schemeClr val="bg1"/>
        </a:solidFill>
        <a:ln w="22225" cmpd="sng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path path="rect">
        <a:fillToRect l="100000" t="100000"/>
      </a:path>
    </a:gradFill>
    <a:ln w="127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baseline="0">
                <a:solidFill>
                  <a:sysClr val="windowText" lastClr="000000"/>
                </a:solidFill>
              </a:rPr>
              <a:t>SENSITIFITAS IRR TERHADAP BIOP MTT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[11]Calc!$G$90:$H$90</c:f>
              <c:strCache>
                <c:ptCount val="1"/>
                <c:pt idx="0">
                  <c:v>Biop MTT IRR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[11]Calc!$G$91:$G$93</c:f>
              <c:numCache>
                <c:formatCode>General</c:formatCode>
                <c:ptCount val="3"/>
                <c:pt idx="0">
                  <c:v>8464.8092378310503</c:v>
                </c:pt>
                <c:pt idx="1">
                  <c:v>8837.2608442956171</c:v>
                </c:pt>
                <c:pt idx="2">
                  <c:v>9311.2901616141553</c:v>
                </c:pt>
              </c:numCache>
            </c:numRef>
          </c:xVal>
          <c:yVal>
            <c:numRef>
              <c:f>[11]Calc!$H$91:$H$93</c:f>
              <c:numCache>
                <c:formatCode>General</c:formatCode>
                <c:ptCount val="3"/>
                <c:pt idx="0">
                  <c:v>0.10445836547314695</c:v>
                </c:pt>
                <c:pt idx="1">
                  <c:v>9.3488716994652929E-2</c:v>
                </c:pt>
                <c:pt idx="2">
                  <c:v>7.9063688561431658E-2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9-4A42-9758-C6EAF79E90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0786080"/>
        <c:axId val="520786560"/>
      </c:scatterChart>
      <c:valAx>
        <c:axId val="5207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BIOP MTT (Rp)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86560"/>
        <c:crosses val="autoZero"/>
        <c:crossBetween val="midCat"/>
      </c:valAx>
      <c:valAx>
        <c:axId val="5207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I R R</a:t>
                </a:r>
                <a:endParaRPr lang="en-US" sz="8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86080"/>
        <c:crosses val="autoZero"/>
        <c:crossBetween val="midCat"/>
      </c:valAx>
      <c:spPr>
        <a:solidFill>
          <a:schemeClr val="bg1"/>
        </a:solidFill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27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openxmlformats.org/officeDocument/2006/relationships/image" Target="../media/image14.png"/><Relationship Id="rId3" Type="http://schemas.openxmlformats.org/officeDocument/2006/relationships/image" Target="../media/image1.png"/><Relationship Id="rId21" Type="http://schemas.openxmlformats.org/officeDocument/2006/relationships/image" Target="../media/image11.svg"/><Relationship Id="rId7" Type="http://schemas.openxmlformats.org/officeDocument/2006/relationships/image" Target="../media/image5.png"/><Relationship Id="rId17" Type="http://schemas.openxmlformats.org/officeDocument/2006/relationships/image" Target="../media/image7.svg"/><Relationship Id="rId25" Type="http://schemas.openxmlformats.org/officeDocument/2006/relationships/chart" Target="../charts/chart3.xml"/><Relationship Id="rId2" Type="http://schemas.openxmlformats.org/officeDocument/2006/relationships/hyperlink" Target="#Datasumsi!A1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29" Type="http://schemas.openxmlformats.org/officeDocument/2006/relationships/image" Target="../media/image17.sv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24" Type="http://schemas.openxmlformats.org/officeDocument/2006/relationships/image" Target="../media/image13.sv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image" Target="../media/image16.png"/><Relationship Id="rId19" Type="http://schemas.openxmlformats.org/officeDocument/2006/relationships/chart" Target="../charts/chart1.xml"/><Relationship Id="rId31" Type="http://schemas.openxmlformats.org/officeDocument/2006/relationships/image" Target="../media/image19.svg"/><Relationship Id="rId4" Type="http://schemas.openxmlformats.org/officeDocument/2006/relationships/image" Target="../media/image2.svg"/><Relationship Id="rId9" Type="http://schemas.openxmlformats.org/officeDocument/2006/relationships/customXml" Target="../ink/ink1.xml"/><Relationship Id="rId14" Type="http://schemas.openxmlformats.org/officeDocument/2006/relationships/customXml" Target="../ink/ink2.xml"/><Relationship Id="rId22" Type="http://schemas.openxmlformats.org/officeDocument/2006/relationships/chart" Target="../charts/chart2.xml"/><Relationship Id="rId27" Type="http://schemas.openxmlformats.org/officeDocument/2006/relationships/image" Target="../media/image15.svg"/><Relationship Id="rId30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Datasumsi!A1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Datasumsi!A1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15</xdr:row>
      <xdr:rowOff>156838</xdr:rowOff>
    </xdr:from>
    <xdr:to>
      <xdr:col>17</xdr:col>
      <xdr:colOff>469900</xdr:colOff>
      <xdr:row>26</xdr:row>
      <xdr:rowOff>65368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A1075E3-4524-6899-E553-991A38E60B02}"/>
            </a:ext>
          </a:extLst>
        </xdr:cNvPr>
        <xdr:cNvSpPr/>
      </xdr:nvSpPr>
      <xdr:spPr>
        <a:xfrm>
          <a:off x="6627906" y="3098382"/>
          <a:ext cx="5033869" cy="2065662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 rad="12700">
            <a:schemeClr val="tx1">
              <a:alpha val="80000"/>
            </a:schemeClr>
          </a:glow>
          <a:outerShdw blurRad="50800" dist="50800" dir="5400000" algn="ctr" rotWithShape="0">
            <a:schemeClr val="tx1"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2036</xdr:colOff>
      <xdr:row>0</xdr:row>
      <xdr:rowOff>0</xdr:rowOff>
    </xdr:from>
    <xdr:to>
      <xdr:col>22</xdr:col>
      <xdr:colOff>352380</xdr:colOff>
      <xdr:row>2</xdr:row>
      <xdr:rowOff>122671</xdr:rowOff>
    </xdr:to>
    <xdr:sp macro="" textlink="">
      <xdr:nvSpPr>
        <xdr:cNvPr id="3" name="Flowchart: Manual Input 5">
          <a:extLst>
            <a:ext uri="{FF2B5EF4-FFF2-40B4-BE49-F238E27FC236}">
              <a16:creationId xmlns:a16="http://schemas.microsoft.com/office/drawing/2014/main" id="{998EBB51-DF87-4E16-9D82-6C05EF45444D}"/>
            </a:ext>
          </a:extLst>
        </xdr:cNvPr>
        <xdr:cNvSpPr/>
      </xdr:nvSpPr>
      <xdr:spPr>
        <a:xfrm rot="10800000" flipV="1">
          <a:off x="2036" y="0"/>
          <a:ext cx="14857652" cy="517511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>
          <a:gsLst>
            <a:gs pos="100000">
              <a:schemeClr val="accent1">
                <a:lumMod val="50000"/>
              </a:schemeClr>
            </a:gs>
            <a:gs pos="49000">
              <a:srgbClr val="1C1A1B">
                <a:lumMod val="72000"/>
              </a:srgbClr>
            </a:gs>
            <a:gs pos="100000">
              <a:srgbClr val="F30D5A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2036</xdr:colOff>
      <xdr:row>0</xdr:row>
      <xdr:rowOff>0</xdr:rowOff>
    </xdr:from>
    <xdr:to>
      <xdr:col>9</xdr:col>
      <xdr:colOff>521581</xdr:colOff>
      <xdr:row>2</xdr:row>
      <xdr:rowOff>129887</xdr:rowOff>
    </xdr:to>
    <xdr:sp macro="" textlink="">
      <xdr:nvSpPr>
        <xdr:cNvPr id="4" name="Flowchart: Manual Input 5">
          <a:extLst>
            <a:ext uri="{FF2B5EF4-FFF2-40B4-BE49-F238E27FC236}">
              <a16:creationId xmlns:a16="http://schemas.microsoft.com/office/drawing/2014/main" id="{18E81D6C-33DA-4A3F-96D4-C7AA43B39824}"/>
            </a:ext>
          </a:extLst>
        </xdr:cNvPr>
        <xdr:cNvSpPr/>
      </xdr:nvSpPr>
      <xdr:spPr>
        <a:xfrm rot="10800000" flipV="1">
          <a:off x="2036" y="0"/>
          <a:ext cx="6454353" cy="524727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 flip="none" rotWithShape="1">
          <a:gsLst>
            <a:gs pos="100000">
              <a:srgbClr val="D12121"/>
            </a:gs>
            <a:gs pos="0">
              <a:srgbClr val="1C1A1B">
                <a:lumMod val="72000"/>
              </a:srgbClr>
            </a:gs>
            <a:gs pos="71000">
              <a:srgbClr val="D1212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2036</xdr:colOff>
      <xdr:row>0</xdr:row>
      <xdr:rowOff>102210</xdr:rowOff>
    </xdr:from>
    <xdr:to>
      <xdr:col>9</xdr:col>
      <xdr:colOff>65707</xdr:colOff>
      <xdr:row>2</xdr:row>
      <xdr:rowOff>27676</xdr:rowOff>
    </xdr:to>
    <xdr:sp macro="" textlink="PivotTable!A6">
      <xdr:nvSpPr>
        <xdr:cNvPr id="5" name="TextBox 4">
          <a:extLst>
            <a:ext uri="{FF2B5EF4-FFF2-40B4-BE49-F238E27FC236}">
              <a16:creationId xmlns:a16="http://schemas.microsoft.com/office/drawing/2014/main" id="{B93A66BF-91B5-4371-996D-C3F949E7484A}"/>
            </a:ext>
          </a:extLst>
        </xdr:cNvPr>
        <xdr:cNvSpPr txBox="1"/>
      </xdr:nvSpPr>
      <xdr:spPr>
        <a:xfrm>
          <a:off x="2036" y="102210"/>
          <a:ext cx="5998479" cy="320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E76DEE-8942-4A6B-A175-CC16DEAFBA01}" type="TxLink">
            <a:rPr lang="en-US" sz="1400" b="1" i="0" u="none" strike="noStrike" kern="1200">
              <a:solidFill>
                <a:schemeClr val="bg1"/>
              </a:solidFill>
              <a:latin typeface="Bahnschrift"/>
            </a:rPr>
            <a:pPr/>
            <a:t>INVESTMENT | STUDI KASUS XX</a:t>
          </a:fld>
          <a:endParaRPr lang="en-ID" sz="1800" b="1" kern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17</xdr:col>
      <xdr:colOff>21327</xdr:colOff>
      <xdr:row>0</xdr:row>
      <xdr:rowOff>102600</xdr:rowOff>
    </xdr:from>
    <xdr:to>
      <xdr:col>17</xdr:col>
      <xdr:colOff>385659</xdr:colOff>
      <xdr:row>2</xdr:row>
      <xdr:rowOff>55821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9422EA2-0271-F489-5E1C-8FBE8528DC96}"/>
            </a:ext>
          </a:extLst>
        </xdr:cNvPr>
        <xdr:cNvSpPr/>
      </xdr:nvSpPr>
      <xdr:spPr>
        <a:xfrm>
          <a:off x="11206508" y="102600"/>
          <a:ext cx="364332" cy="351052"/>
        </a:xfrm>
        <a:prstGeom prst="ellipse">
          <a:avLst/>
        </a:prstGeom>
        <a:solidFill>
          <a:schemeClr val="bg1"/>
        </a:solidFill>
        <a:ln>
          <a:noFill/>
        </a:ln>
        <a:effectLst>
          <a:glow>
            <a:schemeClr val="accent3">
              <a:satMod val="175000"/>
            </a:schemeClr>
          </a:glow>
          <a:outerShdw dist="38100" dir="5400000" algn="t" rotWithShape="0">
            <a:prstClr val="black">
              <a:alpha val="40000"/>
            </a:prstClr>
          </a:outerShdw>
          <a:softEdge rad="38100"/>
        </a:effectLst>
        <a:scene3d>
          <a:camera prst="orthographicFront"/>
          <a:lightRig rig="threePt" dir="t"/>
        </a:scene3d>
        <a:sp3d>
          <a:bevelT w="127000" h="254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13</xdr:col>
      <xdr:colOff>233469</xdr:colOff>
      <xdr:row>0</xdr:row>
      <xdr:rowOff>137548</xdr:rowOff>
    </xdr:from>
    <xdr:to>
      <xdr:col>16</xdr:col>
      <xdr:colOff>535014</xdr:colOff>
      <xdr:row>2</xdr:row>
      <xdr:rowOff>19050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id="{800311F8-83FB-F3AE-72A0-1C52371A2D04}"/>
            </a:ext>
          </a:extLst>
        </xdr:cNvPr>
        <xdr:cNvGrpSpPr/>
      </xdr:nvGrpSpPr>
      <xdr:grpSpPr>
        <a:xfrm>
          <a:off x="8818669" y="137548"/>
          <a:ext cx="2282745" cy="275202"/>
          <a:chOff x="8827294" y="137548"/>
          <a:chExt cx="2284735" cy="27482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341DDDB7-F00D-392D-7EC4-9AF2F53DDF5C}"/>
              </a:ext>
            </a:extLst>
          </xdr:cNvPr>
          <xdr:cNvGrpSpPr/>
        </xdr:nvGrpSpPr>
        <xdr:grpSpPr>
          <a:xfrm>
            <a:off x="8827294" y="137548"/>
            <a:ext cx="2284735" cy="274823"/>
            <a:chOff x="8855358" y="137548"/>
            <a:chExt cx="2291212" cy="276613"/>
          </a:xfrm>
        </xdr:grpSpPr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733E4051-2A3C-9169-4972-C7542D93FE55}"/>
                </a:ext>
              </a:extLst>
            </xdr:cNvPr>
            <xdr:cNvGrpSpPr/>
          </xdr:nvGrpSpPr>
          <xdr:grpSpPr>
            <a:xfrm>
              <a:off x="8855358" y="137548"/>
              <a:ext cx="2291212" cy="276613"/>
              <a:chOff x="8855358" y="137548"/>
              <a:chExt cx="2291212" cy="276613"/>
            </a:xfrm>
          </xdr:grpSpPr>
          <xdr:grpSp>
            <xdr:nvGrpSpPr>
              <xdr:cNvPr id="161" name="Group 160">
                <a:hlinkClick xmlns:r="http://schemas.openxmlformats.org/officeDocument/2006/relationships" r:id="rId1"/>
                <a:extLst>
                  <a:ext uri="{FF2B5EF4-FFF2-40B4-BE49-F238E27FC236}">
                    <a16:creationId xmlns:a16="http://schemas.microsoft.com/office/drawing/2014/main" id="{89AC3D57-8D55-9C43-B503-F1C3550C80D8}"/>
                  </a:ext>
                </a:extLst>
              </xdr:cNvPr>
              <xdr:cNvGrpSpPr/>
            </xdr:nvGrpSpPr>
            <xdr:grpSpPr>
              <a:xfrm>
                <a:off x="8855358" y="137549"/>
                <a:ext cx="1093666" cy="276612"/>
                <a:chOff x="8818669" y="137549"/>
                <a:chExt cx="1088022" cy="275201"/>
              </a:xfrm>
            </xdr:grpSpPr>
            <xdr:sp macro="" textlink="">
              <xdr:nvSpPr>
                <xdr:cNvPr id="10" name="Rectangle: Rounded Corners 9">
                  <a:extLst>
                    <a:ext uri="{FF2B5EF4-FFF2-40B4-BE49-F238E27FC236}">
                      <a16:creationId xmlns:a16="http://schemas.microsoft.com/office/drawing/2014/main" id="{8BA3FE81-41EB-ECAC-17A3-CF858B0D8BD1}"/>
                    </a:ext>
                  </a:extLst>
                </xdr:cNvPr>
                <xdr:cNvSpPr/>
              </xdr:nvSpPr>
              <xdr:spPr>
                <a:xfrm>
                  <a:off x="8818669" y="137549"/>
                  <a:ext cx="1088022" cy="275201"/>
                </a:xfrm>
                <a:prstGeom prst="roundRect">
                  <a:avLst/>
                </a:prstGeom>
                <a:gradFill flip="none" rotWithShape="1">
                  <a:gsLst>
                    <a:gs pos="0">
                      <a:srgbClr val="740000">
                        <a:shade val="30000"/>
                        <a:satMod val="115000"/>
                      </a:srgbClr>
                    </a:gs>
                    <a:gs pos="50000">
                      <a:srgbClr val="740000">
                        <a:shade val="67500"/>
                        <a:satMod val="115000"/>
                      </a:srgbClr>
                    </a:gs>
                    <a:gs pos="100000">
                      <a:srgbClr val="740000">
                        <a:shade val="100000"/>
                        <a:satMod val="115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ID"/>
                </a:p>
              </xdr:txBody>
            </xdr:sp>
            <xdr:sp macro="" textlink="">
              <xdr:nvSpPr>
                <xdr:cNvPr id="11" name="Rectangle: Rounded Corners 10">
                  <a:extLst>
                    <a:ext uri="{FF2B5EF4-FFF2-40B4-BE49-F238E27FC236}">
                      <a16:creationId xmlns:a16="http://schemas.microsoft.com/office/drawing/2014/main" id="{222258B9-E7B8-9E6B-61A0-8ECD01D6122E}"/>
                    </a:ext>
                  </a:extLst>
                </xdr:cNvPr>
                <xdr:cNvSpPr/>
              </xdr:nvSpPr>
              <xdr:spPr>
                <a:xfrm>
                  <a:off x="9015453" y="190182"/>
                  <a:ext cx="882187" cy="188447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1000">
                      <a:latin typeface="Bahnschrift" panose="020B0502040204020203" pitchFamily="34" charset="0"/>
                    </a:rPr>
                    <a:t>Dashboard</a:t>
                  </a:r>
                  <a:endParaRPr lang="en-ID" sz="1000"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12" name="Rectangle: Rounded Corners 11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654BFEF1-99EE-04F6-65CB-77A5B6F2A586}"/>
                  </a:ext>
                </a:extLst>
              </xdr:cNvPr>
              <xdr:cNvSpPr/>
            </xdr:nvSpPr>
            <xdr:spPr>
              <a:xfrm>
                <a:off x="10055304" y="137548"/>
                <a:ext cx="1091266" cy="275039"/>
              </a:xfrm>
              <a:prstGeom prst="roundRect">
                <a:avLst/>
              </a:prstGeom>
              <a:gradFill flip="none" rotWithShape="1">
                <a:gsLst>
                  <a:gs pos="0">
                    <a:srgbClr val="740000">
                      <a:shade val="30000"/>
                      <a:satMod val="115000"/>
                    </a:srgbClr>
                  </a:gs>
                  <a:gs pos="50000">
                    <a:srgbClr val="740000">
                      <a:shade val="67500"/>
                      <a:satMod val="115000"/>
                    </a:srgbClr>
                  </a:gs>
                  <a:gs pos="100000">
                    <a:srgbClr val="74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ID"/>
              </a:p>
            </xdr:txBody>
          </xdr:sp>
        </xdr:grpSp>
        <xdr:sp macro="" textlink="">
          <xdr:nvSpPr>
            <xdr:cNvPr id="13" name="Rectangle: Rounded Corners 12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25CAE08C-79AE-239C-C17C-E78684F603DE}"/>
                </a:ext>
              </a:extLst>
            </xdr:cNvPr>
            <xdr:cNvSpPr/>
          </xdr:nvSpPr>
          <xdr:spPr>
            <a:xfrm>
              <a:off x="10254848" y="190183"/>
              <a:ext cx="885126" cy="189153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000">
                  <a:latin typeface="Bahnschrift" panose="020B0502040204020203" pitchFamily="34" charset="0"/>
                </a:rPr>
                <a:t>Assumption</a:t>
              </a:r>
              <a:endParaRPr lang="en-ID" sz="1000">
                <a:latin typeface="Bahnschrift" panose="020B0502040204020203" pitchFamily="34" charset="0"/>
              </a:endParaRPr>
            </a:p>
          </xdr:txBody>
        </xdr:sp>
      </xdr:grpSp>
      <xdr:pic>
        <xdr:nvPicPr>
          <xdr:cNvPr id="14" name="Graphic 13" descr="Home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24B69D4-8CD2-21E0-29A2-81CD4B2B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893324" y="143474"/>
            <a:ext cx="233681" cy="234965"/>
          </a:xfrm>
          <a:prstGeom prst="rect">
            <a:avLst/>
          </a:prstGeom>
        </xdr:spPr>
      </xdr:pic>
      <xdr:pic>
        <xdr:nvPicPr>
          <xdr:cNvPr id="15" name="Graphic 14" descr="Bank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254603D-5735-D697-064D-3872E8000D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076585" y="143021"/>
            <a:ext cx="233807" cy="23541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116324</xdr:colOff>
      <xdr:row>3</xdr:row>
      <xdr:rowOff>60236</xdr:rowOff>
    </xdr:from>
    <xdr:to>
      <xdr:col>3</xdr:col>
      <xdr:colOff>573310</xdr:colOff>
      <xdr:row>16</xdr:row>
      <xdr:rowOff>831</xdr:rowOff>
    </xdr:to>
    <xdr:grpSp>
      <xdr:nvGrpSpPr>
        <xdr:cNvPr id="156" name="Group 155">
          <a:extLst>
            <a:ext uri="{FF2B5EF4-FFF2-40B4-BE49-F238E27FC236}">
              <a16:creationId xmlns:a16="http://schemas.microsoft.com/office/drawing/2014/main" id="{AC01D8AD-8433-FC60-B80F-DF290BB98DAD}"/>
            </a:ext>
          </a:extLst>
        </xdr:cNvPr>
        <xdr:cNvGrpSpPr/>
      </xdr:nvGrpSpPr>
      <xdr:grpSpPr>
        <a:xfrm>
          <a:off x="116324" y="650786"/>
          <a:ext cx="2438186" cy="2499645"/>
          <a:chOff x="2617361" y="580212"/>
          <a:chExt cx="2493635" cy="2460542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2390469E-8B87-4D7D-C3BE-EC64BEAC62A7}"/>
              </a:ext>
            </a:extLst>
          </xdr:cNvPr>
          <xdr:cNvGrpSpPr/>
        </xdr:nvGrpSpPr>
        <xdr:grpSpPr>
          <a:xfrm>
            <a:off x="2622007" y="580212"/>
            <a:ext cx="2476051" cy="1151492"/>
            <a:chOff x="0" y="102945"/>
            <a:chExt cx="2492544" cy="1180708"/>
          </a:xfrm>
          <a:solidFill>
            <a:schemeClr val="bg1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30B9967B-4F10-122E-C93C-7BB3952EFCF4}"/>
                </a:ext>
              </a:extLst>
            </xdr:cNvPr>
            <xdr:cNvGrpSpPr/>
          </xdr:nvGrpSpPr>
          <xdr:grpSpPr>
            <a:xfrm>
              <a:off x="2" y="102945"/>
              <a:ext cx="2492542" cy="1180708"/>
              <a:chOff x="307" y="77419"/>
              <a:chExt cx="2002772" cy="887953"/>
            </a:xfrm>
            <a:grpFill/>
          </xdr:grpSpPr>
          <xdr:sp macro="" textlink="">
            <xdr:nvSpPr>
              <xdr:cNvPr id="29" name="Rectangle 8">
                <a:extLst>
                  <a:ext uri="{FF2B5EF4-FFF2-40B4-BE49-F238E27FC236}">
                    <a16:creationId xmlns:a16="http://schemas.microsoft.com/office/drawing/2014/main" id="{67E22C49-75D9-5DB7-6542-221102FB96C0}"/>
                  </a:ext>
                </a:extLst>
              </xdr:cNvPr>
              <xdr:cNvSpPr/>
            </xdr:nvSpPr>
            <xdr:spPr>
              <a:xfrm>
                <a:off x="307" y="77419"/>
                <a:ext cx="2002772" cy="887953"/>
              </a:xfrm>
              <a:prstGeom prst="rect">
                <a:avLst/>
              </a:prstGeom>
              <a:grpFill/>
              <a:ln>
                <a:noFill/>
              </a:ln>
              <a:effectLst>
                <a:glow rad="63500">
                  <a:schemeClr val="tx1">
                    <a:alpha val="40000"/>
                  </a:schemeClr>
                </a:glow>
                <a:outerShdw blurRad="88900" dist="88900" algn="tl" rotWithShape="0">
                  <a:srgbClr val="002060">
                    <a:alpha val="2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en-US" sz="1100"/>
              </a:p>
            </xdr:txBody>
          </xdr:sp>
          <xdr:sp macro="" textlink="">
            <xdr:nvSpPr>
              <xdr:cNvPr id="30" name="TextBox 127">
                <a:extLst>
                  <a:ext uri="{FF2B5EF4-FFF2-40B4-BE49-F238E27FC236}">
                    <a16:creationId xmlns:a16="http://schemas.microsoft.com/office/drawing/2014/main" id="{3A15561B-B587-8E73-AE42-24513BE797C5}"/>
                  </a:ext>
                </a:extLst>
              </xdr:cNvPr>
              <xdr:cNvSpPr txBox="1"/>
            </xdr:nvSpPr>
            <xdr:spPr>
              <a:xfrm>
                <a:off x="506162" y="128808"/>
                <a:ext cx="1308623" cy="18713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ID" sz="1100" b="1" kern="1200">
                    <a:solidFill>
                      <a:sysClr val="windowText" lastClr="000000"/>
                    </a:solidFill>
                    <a:latin typeface="Bahnschrift" panose="020B0502040204020203" pitchFamily="34" charset="0"/>
                  </a:rPr>
                  <a:t>Investment Decision</a:t>
                </a:r>
              </a:p>
            </xdr:txBody>
          </xdr:sp>
          <xdr:sp macro="" textlink="PivotTable!A7">
            <xdr:nvSpPr>
              <xdr:cNvPr id="31" name="TextBox 128">
                <a:extLst>
                  <a:ext uri="{FF2B5EF4-FFF2-40B4-BE49-F238E27FC236}">
                    <a16:creationId xmlns:a16="http://schemas.microsoft.com/office/drawing/2014/main" id="{6B8D82E2-4422-979A-1FD1-0784E84ECF93}"/>
                  </a:ext>
                </a:extLst>
              </xdr:cNvPr>
              <xdr:cNvSpPr txBox="1"/>
            </xdr:nvSpPr>
            <xdr:spPr>
              <a:xfrm>
                <a:off x="506162" y="699494"/>
                <a:ext cx="1308623" cy="177207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fld id="{340F69C1-AF00-44DE-9515-FE1243811A59}" type="TxLink">
                  <a:rPr lang="en-US" sz="1200" b="1" i="0" u="none" strike="noStrike" kern="1200">
                    <a:solidFill>
                      <a:srgbClr val="A80000"/>
                    </a:solidFill>
                    <a:latin typeface="Bahnschrift"/>
                  </a:rPr>
                  <a:pPr algn="l"/>
                  <a:t>VERY FEASIBLE</a:t>
                </a:fld>
                <a:endParaRPr lang="en-ID" sz="1200" b="1" kern="1200">
                  <a:solidFill>
                    <a:srgbClr val="A80000"/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PivotTable!$L$6">
            <xdr:nvSpPr>
              <xdr:cNvPr id="32" name="TextBox 154">
                <a:extLst>
                  <a:ext uri="{FF2B5EF4-FFF2-40B4-BE49-F238E27FC236}">
                    <a16:creationId xmlns:a16="http://schemas.microsoft.com/office/drawing/2014/main" id="{82D6F790-C96D-2248-90AB-E58E0C4D0DA1}"/>
                  </a:ext>
                </a:extLst>
              </xdr:cNvPr>
              <xdr:cNvSpPr txBox="1"/>
            </xdr:nvSpPr>
            <xdr:spPr>
              <a:xfrm>
                <a:off x="506162" y="375616"/>
                <a:ext cx="800265" cy="326986"/>
              </a:xfrm>
              <a:prstGeom prst="rect">
                <a:avLst/>
              </a:prstGeom>
              <a:noFill/>
              <a:ln w="6350" cmpd="sng">
                <a:noFill/>
                <a:prstDash val="soli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>
                <a:scene3d>
                  <a:camera prst="orthographicFront"/>
                  <a:lightRig rig="threePt" dir="t"/>
                </a:scene3d>
                <a:sp3d extrusionH="57150">
                  <a:bevelT w="6350" h="6350"/>
                </a:sp3d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fld id="{CB7E84AD-6A12-43D2-9BC1-4A1F81578B27}" type="TxLink">
                  <a:rPr lang="en-US" sz="3200" b="0" i="0" u="none" strike="noStrike" kern="1200">
                    <a:solidFill>
                      <a:srgbClr val="DA0000"/>
                    </a:solidFill>
                    <a:effectLst>
                      <a:glow rad="25400">
                        <a:schemeClr val="bg1">
                          <a:lumMod val="95000"/>
                          <a:alpha val="40000"/>
                        </a:schemeClr>
                      </a:glow>
                      <a:outerShdw sx="1000" sy="1000" algn="ctr" rotWithShape="0">
                        <a:schemeClr val="bg1">
                          <a:lumMod val="50000"/>
                        </a:schemeClr>
                      </a:outerShdw>
                    </a:effectLst>
                    <a:latin typeface="Bahnschrift"/>
                  </a:rPr>
                  <a:pPr algn="l"/>
                  <a:t>4.2</a:t>
                </a:fld>
                <a:endParaRPr lang="en-ID" sz="3200" b="1" kern="1200">
                  <a:solidFill>
                    <a:srgbClr val="DA0000"/>
                  </a:solidFill>
                  <a:effectLst>
                    <a:glow rad="25400">
                      <a:schemeClr val="bg1">
                        <a:lumMod val="95000"/>
                        <a:alpha val="40000"/>
                      </a:schemeClr>
                    </a:glow>
                    <a:outerShdw sx="1000" sy="1000" algn="ctr" rotWithShape="0">
                      <a:schemeClr val="bg1">
                        <a:lumMod val="50000"/>
                      </a:schemeClr>
                    </a:outerShdw>
                  </a:effectLst>
                  <a:latin typeface="Bahnschrift" panose="020B0502040204020203" pitchFamily="34" charset="0"/>
                </a:endParaRPr>
              </a:p>
            </xdr:txBody>
          </xdr:sp>
          <xdr:sp macro="" textlink="PivotTable!$N$6">
            <xdr:nvSpPr>
              <xdr:cNvPr id="33" name="TextBox 155">
                <a:extLst>
                  <a:ext uri="{FF2B5EF4-FFF2-40B4-BE49-F238E27FC236}">
                    <a16:creationId xmlns:a16="http://schemas.microsoft.com/office/drawing/2014/main" id="{60502BC1-4EB1-5882-B789-BAD63E3EF0B7}"/>
                  </a:ext>
                </a:extLst>
              </xdr:cNvPr>
              <xdr:cNvSpPr txBox="1"/>
            </xdr:nvSpPr>
            <xdr:spPr>
              <a:xfrm>
                <a:off x="1603174" y="386531"/>
                <a:ext cx="323850" cy="76745"/>
              </a:xfrm>
              <a:prstGeom prst="rect">
                <a:avLst/>
              </a:prstGeom>
              <a:grpFill/>
              <a:ln w="6350" cmpd="sng">
                <a:noFill/>
                <a:prstDash val="soli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fld id="{39EC1814-F287-41AA-965C-73F23C6E65BD}" type="TxLink">
                  <a:rPr lang="en-US" sz="800" b="0" i="0" u="none" strike="noStrike" kern="1200">
                    <a:solidFill>
                      <a:srgbClr val="000000"/>
                    </a:solidFill>
                    <a:latin typeface="Bahnschrift"/>
                  </a:rPr>
                  <a:pPr/>
                  <a:t>2.1</a:t>
                </a:fld>
                <a:endParaRPr lang="en-ID" sz="700" kern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PivotTable!$M$6">
            <xdr:nvSpPr>
              <xdr:cNvPr id="34" name="TextBox 156">
                <a:extLst>
                  <a:ext uri="{FF2B5EF4-FFF2-40B4-BE49-F238E27FC236}">
                    <a16:creationId xmlns:a16="http://schemas.microsoft.com/office/drawing/2014/main" id="{153EF55F-AD74-0238-CD62-4FB52AB0CCEC}"/>
                  </a:ext>
                </a:extLst>
              </xdr:cNvPr>
              <xdr:cNvSpPr txBox="1"/>
            </xdr:nvSpPr>
            <xdr:spPr>
              <a:xfrm>
                <a:off x="1613481" y="474554"/>
                <a:ext cx="318037" cy="90199"/>
              </a:xfrm>
              <a:prstGeom prst="rect">
                <a:avLst/>
              </a:prstGeom>
              <a:grpFill/>
              <a:ln w="6350" cmpd="sng">
                <a:noFill/>
                <a:prstDash val="soli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fld id="{C9076A9C-9D49-4BD7-A41F-46809D670733}" type="TxLink">
                  <a:rPr lang="en-US" sz="800" b="0" i="0" u="none" strike="noStrike" kern="1200">
                    <a:solidFill>
                      <a:srgbClr val="000000"/>
                    </a:solidFill>
                    <a:latin typeface="Bahnschrift"/>
                  </a:rPr>
                  <a:pPr/>
                  <a:t>2.1</a:t>
                </a:fld>
                <a:endParaRPr lang="en-ID" sz="700" kern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pic>
            <xdr:nvPicPr>
              <xdr:cNvPr id="35" name="Picture 34">
                <a:extLst>
                  <a:ext uri="{FF2B5EF4-FFF2-40B4-BE49-F238E27FC236}">
                    <a16:creationId xmlns:a16="http://schemas.microsoft.com/office/drawing/2014/main" id="{E2531EEA-DB0B-4289-E6B5-37D0A38C103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BEBA8EAE-BF5A-486C-A8C5-ECC9F3942E4B}">
                    <a14:imgProps xmlns:a14="http://schemas.microsoft.com/office/drawing/2010/main">
                      <a14:imgLayer r:embed="rId8">
                        <a14:imgEffect>
                          <a14:backgroundRemoval t="6944" b="93241" l="10000" r="90000">
                            <a14:foregroundMark x1="66389" y1="75370" x2="74352" y2="71204"/>
                            <a14:foregroundMark x1="84722" y1="38889" x2="84907" y2="60093"/>
                            <a14:foregroundMark x1="83241" y1="62963" x2="69722" y2="78889"/>
                            <a14:foregroundMark x1="65463" y1="81481" x2="68241" y2="81667"/>
                            <a14:foregroundMark x1="17315" y1="38056" x2="15556" y2="55185"/>
                            <a14:foregroundMark x1="15556" y1="55185" x2="33426" y2="78148"/>
                            <a14:foregroundMark x1="27315" y1="90648" x2="43519" y2="93333"/>
                            <a14:foregroundMark x1="43519" y1="93333" x2="40833" y2="91111"/>
                            <a14:foregroundMark x1="58704" y1="89815" x2="72500" y2="90741"/>
                            <a14:foregroundMark x1="42500" y1="9444" x2="50093" y2="6944"/>
                            <a14:backgroundMark x1="67064" y1="79534" x2="68631" y2="78120"/>
                            <a14:backgroundMark x1="63981" y1="82315" x2="66299" y2="80224"/>
                          </a14:backgroundRemoval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2803" y="128808"/>
                <a:ext cx="415996" cy="391928"/>
              </a:xfrm>
              <a:prstGeom prst="rect">
                <a:avLst/>
              </a:prstGeom>
              <a:grpFill/>
            </xdr:spPr>
          </xdr:pic>
          <xdr:sp macro="" textlink="">
            <xdr:nvSpPr>
              <xdr:cNvPr id="36" name="TextBox 20">
                <a:extLst>
                  <a:ext uri="{FF2B5EF4-FFF2-40B4-BE49-F238E27FC236}">
                    <a16:creationId xmlns:a16="http://schemas.microsoft.com/office/drawing/2014/main" id="{2BE0C051-2AC3-2C95-BA7A-6BEACAB20518}"/>
                  </a:ext>
                </a:extLst>
              </xdr:cNvPr>
              <xdr:cNvSpPr txBox="1"/>
            </xdr:nvSpPr>
            <xdr:spPr>
              <a:xfrm>
                <a:off x="506162" y="325365"/>
                <a:ext cx="782946" cy="6772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ID" sz="600" b="0" kern="1200">
                    <a:solidFill>
                      <a:sysClr val="windowText" lastClr="000000"/>
                    </a:solidFill>
                    <a:latin typeface="Bahnschrift" panose="020B0502040204020203" pitchFamily="34" charset="0"/>
                  </a:rPr>
                  <a:t>Total Score:</a:t>
                </a:r>
              </a:p>
            </xdr:txBody>
          </xdr:sp>
          <xdr:sp macro="" textlink="">
            <xdr:nvSpPr>
              <xdr:cNvPr id="37" name="TextBox 27">
                <a:extLst>
                  <a:ext uri="{FF2B5EF4-FFF2-40B4-BE49-F238E27FC236}">
                    <a16:creationId xmlns:a16="http://schemas.microsoft.com/office/drawing/2014/main" id="{D8561249-A09E-92EC-D60C-DF86E449FBB2}"/>
                  </a:ext>
                </a:extLst>
              </xdr:cNvPr>
              <xdr:cNvSpPr txBox="1"/>
            </xdr:nvSpPr>
            <xdr:spPr>
              <a:xfrm>
                <a:off x="1208269" y="364220"/>
                <a:ext cx="473996" cy="11721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ID" sz="700" b="0" kern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Bahnschrift" panose="020B0502040204020203" pitchFamily="34" charset="0"/>
                  </a:rPr>
                  <a:t>Financial</a:t>
                </a:r>
                <a:endParaRPr lang="en-ID" sz="500" b="0" kern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38" name="TextBox 29">
                <a:extLst>
                  <a:ext uri="{FF2B5EF4-FFF2-40B4-BE49-F238E27FC236}">
                    <a16:creationId xmlns:a16="http://schemas.microsoft.com/office/drawing/2014/main" id="{3B3B4AC6-8EA1-3E7D-7183-F5D8D304776D}"/>
                  </a:ext>
                </a:extLst>
              </xdr:cNvPr>
              <xdr:cNvSpPr txBox="1"/>
            </xdr:nvSpPr>
            <xdr:spPr>
              <a:xfrm>
                <a:off x="1215998" y="457471"/>
                <a:ext cx="407085" cy="117883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ID" sz="700" b="0" kern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Bahnschrift" panose="020B0502040204020203" pitchFamily="34" charset="0"/>
                  </a:rPr>
                  <a:t>Safety</a:t>
                </a:r>
                <a:endParaRPr lang="en-ID" sz="800" b="0" kern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PivotTable!AN6">
            <xdr:nvSpPr>
              <xdr:cNvPr id="158" name="TextBox 156">
                <a:extLst>
                  <a:ext uri="{FF2B5EF4-FFF2-40B4-BE49-F238E27FC236}">
                    <a16:creationId xmlns:a16="http://schemas.microsoft.com/office/drawing/2014/main" id="{A956036B-3238-F899-7018-A44EF158BA1A}"/>
                  </a:ext>
                </a:extLst>
              </xdr:cNvPr>
              <xdr:cNvSpPr txBox="1"/>
            </xdr:nvSpPr>
            <xdr:spPr>
              <a:xfrm>
                <a:off x="1066431" y="594039"/>
                <a:ext cx="386228" cy="90199"/>
              </a:xfrm>
              <a:prstGeom prst="rect">
                <a:avLst/>
              </a:prstGeom>
              <a:noFill/>
              <a:ln w="6350" cmpd="sng">
                <a:noFill/>
                <a:prstDash val="soli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pPr algn="r"/>
                <a:fld id="{2C9816AA-A5C9-4E5F-9B70-F389B2D235F7}" type="TxLink">
                  <a:rPr lang="en-US" sz="500" b="0" i="0" u="none" strike="noStrike" kern="1200">
                    <a:solidFill>
                      <a:srgbClr val="FF0000"/>
                    </a:solidFill>
                    <a:latin typeface="Bahnschrift"/>
                  </a:rPr>
                  <a:pPr algn="r"/>
                  <a:t>Very High</a:t>
                </a:fld>
                <a:endParaRPr lang="en-US" sz="100" b="0" i="0" u="none" strike="noStrike" kern="1200">
                  <a:solidFill>
                    <a:srgbClr val="FF0000"/>
                  </a:solidFill>
                  <a:latin typeface="Bahnschrift"/>
                </a:endParaRPr>
              </a:p>
            </xdr:txBody>
          </xdr:sp>
        </xdr:grpSp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9">
              <xdr14:nvContentPartPr>
                <xdr14:cNvPr id="28" name="Ink 27">
                  <a:extLst>
                    <a:ext uri="{FF2B5EF4-FFF2-40B4-BE49-F238E27FC236}">
                      <a16:creationId xmlns:a16="http://schemas.microsoft.com/office/drawing/2014/main" id="{23023D2F-DE2A-D382-436B-35B732489498}"/>
                    </a:ext>
                  </a:extLst>
                </xdr14:cNvPr>
                <xdr14:cNvContentPartPr/>
              </xdr14:nvContentPartPr>
              <xdr14:nvPr macro=""/>
              <xdr14:xfrm>
                <a:off x="0" y="843271"/>
                <a:ext cx="749704" cy="440381"/>
              </xdr14:xfrm>
            </xdr14:contentPart>
          </mc:Choice>
          <mc:Fallback xmlns="">
            <xdr:pic>
              <xdr:nvPicPr>
                <xdr:cNvPr id="140" name="Ink 139">
                  <a:extLst>
                    <a:ext uri="{FF2B5EF4-FFF2-40B4-BE49-F238E27FC236}">
                      <a16:creationId xmlns:a16="http://schemas.microsoft.com/office/drawing/2014/main" id="{BF41E78F-5EF6-0D0D-6A28-61E183A57A9A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3"/>
                <a:stretch>
                  <a:fillRect/>
                </a:stretch>
              </xdr:blipFill>
              <xdr:spPr>
                <a:xfrm>
                  <a:off x="-9015" y="834035"/>
                  <a:ext cx="767374" cy="458484"/>
                </a:xfrm>
                <a:prstGeom prst="rect">
                  <a:avLst/>
                </a:prstGeom>
              </xdr:spPr>
            </xdr:pic>
          </mc:Fallback>
        </mc:AlternateContent>
      </xdr:grp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1E27DF97-0E07-8EBB-6BEB-B7C4533C20DC}"/>
              </a:ext>
            </a:extLst>
          </xdr:cNvPr>
          <xdr:cNvGrpSpPr/>
        </xdr:nvGrpSpPr>
        <xdr:grpSpPr>
          <a:xfrm>
            <a:off x="2617361" y="1764810"/>
            <a:ext cx="2493635" cy="1275944"/>
            <a:chOff x="-24843" y="16918"/>
            <a:chExt cx="2508355" cy="1159026"/>
          </a:xfr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grpSpPr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5B4BFFEC-C2AF-799A-B9C7-A32E18C96C01}"/>
                </a:ext>
              </a:extLst>
            </xdr:cNvPr>
            <xdr:cNvGrpSpPr/>
          </xdr:nvGrpSpPr>
          <xdr:grpSpPr>
            <a:xfrm>
              <a:off x="-24843" y="16918"/>
              <a:ext cx="2508355" cy="1159026"/>
              <a:chOff x="-24843" y="16918"/>
              <a:chExt cx="2508355" cy="1159026"/>
            </a:xfrm>
          </xdr:grpSpPr>
          <xdr:grpSp>
            <xdr:nvGrpSpPr>
              <xdr:cNvPr id="21" name="Group 20">
                <a:extLst>
                  <a:ext uri="{FF2B5EF4-FFF2-40B4-BE49-F238E27FC236}">
                    <a16:creationId xmlns:a16="http://schemas.microsoft.com/office/drawing/2014/main" id="{6ECB10EA-2D44-5DF1-75EF-317C97DE89D1}"/>
                  </a:ext>
                </a:extLst>
              </xdr:cNvPr>
              <xdr:cNvGrpSpPr/>
            </xdr:nvGrpSpPr>
            <xdr:grpSpPr>
              <a:xfrm>
                <a:off x="-24843" y="16918"/>
                <a:ext cx="2508355" cy="1098825"/>
                <a:chOff x="-19862" y="11674"/>
                <a:chExt cx="2005340" cy="758268"/>
              </a:xfrm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grpSpPr>
            <xdr:sp macro="" textlink="">
              <xdr:nvSpPr>
                <xdr:cNvPr id="24" name="Rectangle: Rounded Corners 23">
                  <a:extLst>
                    <a:ext uri="{FF2B5EF4-FFF2-40B4-BE49-F238E27FC236}">
                      <a16:creationId xmlns:a16="http://schemas.microsoft.com/office/drawing/2014/main" id="{B319E195-37FF-83AE-D5C0-3DC8F46C185E}"/>
                    </a:ext>
                  </a:extLst>
                </xdr:cNvPr>
                <xdr:cNvSpPr/>
              </xdr:nvSpPr>
              <xdr:spPr>
                <a:xfrm>
                  <a:off x="-19862" y="11674"/>
                  <a:ext cx="1999494" cy="758268"/>
                </a:xfrm>
                <a:prstGeom prst="rect">
                  <a:avLst/>
                </a:prstGeom>
                <a:solidFill>
                  <a:srgbClr val="00193A">
                    <a:alpha val="65000"/>
                  </a:srgbClr>
                </a:solidFill>
                <a:ln>
                  <a:noFill/>
                </a:ln>
                <a:effectLst>
                  <a:glow>
                    <a:schemeClr val="tx1"/>
                  </a:glow>
                  <a:outerShdw blurRad="50800" dist="50800" algn="ctr" rotWithShape="0">
                    <a:schemeClr val="tx1">
                      <a:alpha val="40000"/>
                    </a:schemeClr>
                  </a:outerShdw>
                </a:effectLst>
                <a:scene3d>
                  <a:camera prst="orthographicFront"/>
                  <a:lightRig rig="threePt" dir="t"/>
                </a:scene3d>
                <a:sp3d>
                  <a:bevelT w="25400" h="254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" name="TextBox 57">
                  <a:extLst>
                    <a:ext uri="{FF2B5EF4-FFF2-40B4-BE49-F238E27FC236}">
                      <a16:creationId xmlns:a16="http://schemas.microsoft.com/office/drawing/2014/main" id="{138D236D-F363-B91D-4D98-7A790BDA871A}"/>
                    </a:ext>
                  </a:extLst>
                </xdr:cNvPr>
                <xdr:cNvSpPr txBox="1"/>
              </xdr:nvSpPr>
              <xdr:spPr>
                <a:xfrm>
                  <a:off x="494981" y="73591"/>
                  <a:ext cx="1490497" cy="18713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r>
                    <a:rPr lang="en-ID" sz="1100" b="1" kern="1200">
                      <a:solidFill>
                        <a:schemeClr val="bg1"/>
                      </a:solidFill>
                      <a:latin typeface="Bahnschrift" panose="020B0502040204020203" pitchFamily="34" charset="0"/>
                    </a:rPr>
                    <a:t>Financial Feasibility</a:t>
                  </a:r>
                </a:p>
              </xdr:txBody>
            </xdr:sp>
            <xdr:sp macro="" textlink="PivotTable!$A$8">
              <xdr:nvSpPr>
                <xdr:cNvPr id="26" name="TextBox 59">
                  <a:extLst>
                    <a:ext uri="{FF2B5EF4-FFF2-40B4-BE49-F238E27FC236}">
                      <a16:creationId xmlns:a16="http://schemas.microsoft.com/office/drawing/2014/main" id="{93A24304-1BB2-FB6C-D36C-6D372B1E258C}"/>
                    </a:ext>
                  </a:extLst>
                </xdr:cNvPr>
                <xdr:cNvSpPr txBox="1"/>
              </xdr:nvSpPr>
              <xdr:spPr>
                <a:xfrm>
                  <a:off x="473198" y="201739"/>
                  <a:ext cx="1446198" cy="335245"/>
                </a:xfrm>
                <a:prstGeom prst="rect">
                  <a:avLst/>
                </a:prstGeom>
                <a:noFill/>
                <a:ln w="6350" cmpd="sng">
                  <a:noFill/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fld id="{1AEBF709-B785-4F8A-910D-C6C660718AA0}" type="TxLink">
                    <a:rPr lang="en-US" sz="1000" b="1" i="0" u="none" strike="noStrike" kern="1200">
                      <a:solidFill>
                        <a:srgbClr val="FFC000"/>
                      </a:solidFill>
                      <a:effectLst>
                        <a:glow rad="38100">
                          <a:schemeClr val="tx1">
                            <a:alpha val="40000"/>
                          </a:schemeClr>
                        </a:glow>
                      </a:effectLst>
                      <a:latin typeface="Bahnschrift"/>
                    </a:rPr>
                    <a:pPr algn="l"/>
                    <a:t>INVESTMENT IS FEASIBLE, IRR &gt; 9.35%</a:t>
                  </a:fld>
                  <a:endParaRPr lang="en-ID" sz="4800" b="1" i="0" u="none" strike="noStrike" kern="1200">
                    <a:solidFill>
                      <a:srgbClr val="FFC000"/>
                    </a:solidFill>
                    <a:effectLst>
                      <a:glow rad="38100">
                        <a:schemeClr val="tx1">
                          <a:alpha val="40000"/>
                        </a:schemeClr>
                      </a:glow>
                    </a:effectLst>
                    <a:latin typeface="Bahnschrift" panose="020B0502040204020203" pitchFamily="34" charset="0"/>
                  </a:endParaRPr>
                </a:p>
              </xdr:txBody>
            </xdr:sp>
          </xdr:grpSp>
          <mc:AlternateContent xmlns:mc="http://schemas.openxmlformats.org/markup-compatibility/2006" xmlns:xdr14="http://schemas.microsoft.com/office/excel/2010/spreadsheetDrawing">
            <mc:Choice Requires="xdr14">
              <xdr14:contentPart xmlns:r="http://schemas.openxmlformats.org/officeDocument/2006/relationships" r:id="rId14">
                <xdr14:nvContentPartPr>
                  <xdr14:cNvPr id="22" name="Ink 21">
                    <a:extLst>
                      <a:ext uri="{FF2B5EF4-FFF2-40B4-BE49-F238E27FC236}">
                        <a16:creationId xmlns:a16="http://schemas.microsoft.com/office/drawing/2014/main" id="{16D5294A-5DEE-98EC-A652-8CBF830AF472}"/>
                      </a:ext>
                    </a:extLst>
                  </xdr14:cNvPr>
                  <xdr14:cNvContentPartPr/>
                </xdr14:nvContentPartPr>
                <xdr14:nvPr macro=""/>
                <xdr14:xfrm>
                  <a:off x="-6402" y="744664"/>
                  <a:ext cx="677697" cy="431280"/>
                </xdr14:xfrm>
              </xdr14:contentPart>
            </mc:Choice>
            <mc:Fallback xmlns="">
              <xdr:pic>
                <xdr:nvPicPr>
                  <xdr:cNvPr id="134" name="Ink 133">
                    <a:extLst>
                      <a:ext uri="{FF2B5EF4-FFF2-40B4-BE49-F238E27FC236}">
                        <a16:creationId xmlns:a16="http://schemas.microsoft.com/office/drawing/2014/main" id="{A898CC8E-385A-016B-A6D4-57764B7CE067}"/>
                      </a:ext>
                    </a:extLst>
                  </xdr:cNvPr>
                  <xdr:cNvPicPr/>
                </xdr:nvPicPr>
                <xdr:blipFill>
                  <a:blip xmlns:r="http://schemas.openxmlformats.org/officeDocument/2006/relationships" r:embed="rId15"/>
                  <a:stretch>
                    <a:fillRect/>
                  </a:stretch>
                </xdr:blipFill>
                <xdr:spPr>
                  <a:xfrm>
                    <a:off x="-9165" y="761079"/>
                    <a:ext cx="586891" cy="379697"/>
                  </a:xfrm>
                  <a:prstGeom prst="rect">
                    <a:avLst/>
                  </a:prstGeom>
                </xdr:spPr>
              </xdr:pic>
            </mc:Fallback>
          </mc:AlternateContent>
          <xdr:pic>
            <xdr:nvPicPr>
              <xdr:cNvPr id="23" name="Graphic 69" descr="Bar graph with upward trend with solid fill">
                <a:extLst>
                  <a:ext uri="{FF2B5EF4-FFF2-40B4-BE49-F238E27FC236}">
                    <a16:creationId xmlns:a16="http://schemas.microsoft.com/office/drawing/2014/main" id="{BE56F7E8-C5DF-E65A-AC08-923A4BFAC19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tretch>
                <a:fillRect/>
              </a:stretch>
            </xdr:blipFill>
            <xdr:spPr>
              <a:xfrm>
                <a:off x="98711" y="106643"/>
                <a:ext cx="528800" cy="527542"/>
              </a:xfrm>
              <a:prstGeom prst="rect">
                <a:avLst/>
              </a:prstGeom>
            </xdr:spPr>
          </xdr:pic>
        </xdr:grpSp>
        <xdr:sp macro="" textlink="PivotTable!A9">
          <xdr:nvSpPr>
            <xdr:cNvPr id="20" name="TextBox 73">
              <a:extLst>
                <a:ext uri="{FF2B5EF4-FFF2-40B4-BE49-F238E27FC236}">
                  <a16:creationId xmlns:a16="http://schemas.microsoft.com/office/drawing/2014/main" id="{D14D3D7B-31B5-E763-A286-A37ED542082B}"/>
                </a:ext>
              </a:extLst>
            </xdr:cNvPr>
            <xdr:cNvSpPr txBox="1"/>
          </xdr:nvSpPr>
          <xdr:spPr>
            <a:xfrm>
              <a:off x="612742" y="698788"/>
              <a:ext cx="1849298" cy="362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B1066AA8-3414-4838-B07C-77029D43AD5B}" type="TxLink">
                <a:rPr lang="en-US" sz="800" b="0" i="0" u="none" strike="noStrike" kern="1200">
                  <a:solidFill>
                    <a:srgbClr val="FFFFFF"/>
                  </a:solidFill>
                  <a:latin typeface="Bahnschrift"/>
                </a:rPr>
                <a:pPr/>
                <a:t>Proyek investasi tersebut Layak secara Aspek Finansial</a:t>
              </a:fld>
              <a:endParaRPr lang="en-ID" sz="700" kern="12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3</xdr:col>
      <xdr:colOff>576725</xdr:colOff>
      <xdr:row>3</xdr:row>
      <xdr:rowOff>43538</xdr:rowOff>
    </xdr:from>
    <xdr:to>
      <xdr:col>13</xdr:col>
      <xdr:colOff>551917</xdr:colOff>
      <xdr:row>15</xdr:row>
      <xdr:rowOff>132813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4A0AFFB1-7F35-400C-A72D-1114534B0B53}"/>
            </a:ext>
          </a:extLst>
        </xdr:cNvPr>
        <xdr:cNvGrpSpPr/>
      </xdr:nvGrpSpPr>
      <xdr:grpSpPr>
        <a:xfrm>
          <a:off x="2557925" y="634088"/>
          <a:ext cx="6579192" cy="2451475"/>
          <a:chOff x="4641721" y="642590"/>
          <a:chExt cx="6423495" cy="2368154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8B3AA5EB-CB33-F136-D9EE-7366BE82FCB9}"/>
              </a:ext>
            </a:extLst>
          </xdr:cNvPr>
          <xdr:cNvGrpSpPr/>
        </xdr:nvGrpSpPr>
        <xdr:grpSpPr>
          <a:xfrm>
            <a:off x="4641721" y="1935567"/>
            <a:ext cx="6423494" cy="1075177"/>
            <a:chOff x="4579761" y="1917114"/>
            <a:chExt cx="6383524" cy="1085811"/>
          </a:xfrm>
        </xdr:grpSpPr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204A7694-375E-1342-64EC-162CEC73DB4B}"/>
                </a:ext>
              </a:extLst>
            </xdr:cNvPr>
            <xdr:cNvGrpSpPr/>
          </xdr:nvGrpSpPr>
          <xdr:grpSpPr>
            <a:xfrm>
              <a:off x="4579761" y="1917114"/>
              <a:ext cx="6383524" cy="1085811"/>
              <a:chOff x="5191044" y="681797"/>
              <a:chExt cx="6405146" cy="1033566"/>
            </a:xfrm>
          </xdr:grpSpPr>
          <xdr:sp macro="" textlink="">
            <xdr:nvSpPr>
              <xdr:cNvPr id="74" name="Rectangle: Rounded Corners 233">
                <a:extLst>
                  <a:ext uri="{FF2B5EF4-FFF2-40B4-BE49-F238E27FC236}">
                    <a16:creationId xmlns:a16="http://schemas.microsoft.com/office/drawing/2014/main" id="{71ABC4CF-3C08-CD39-013C-F52F69B9EA3F}"/>
                  </a:ext>
                </a:extLst>
              </xdr:cNvPr>
              <xdr:cNvSpPr/>
            </xdr:nvSpPr>
            <xdr:spPr>
              <a:xfrm>
                <a:off x="5191044" y="681797"/>
                <a:ext cx="6405146" cy="1033566"/>
              </a:xfrm>
              <a:prstGeom prst="rect">
                <a:avLst/>
              </a:prstGeom>
              <a:solidFill>
                <a:srgbClr val="00193A">
                  <a:alpha val="65000"/>
                </a:srgbClr>
              </a:solidFill>
              <a:ln>
                <a:noFill/>
              </a:ln>
              <a:effectLst>
                <a:outerShdw blurRad="50800" dist="38100" dir="5400000" algn="t" rotWithShape="0">
                  <a:schemeClr val="tx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75" name="Group 74">
                <a:extLst>
                  <a:ext uri="{FF2B5EF4-FFF2-40B4-BE49-F238E27FC236}">
                    <a16:creationId xmlns:a16="http://schemas.microsoft.com/office/drawing/2014/main" id="{310E3C9C-3AA9-71A6-7C89-ADBD7EA5D280}"/>
                  </a:ext>
                </a:extLst>
              </xdr:cNvPr>
              <xdr:cNvGrpSpPr/>
            </xdr:nvGrpSpPr>
            <xdr:grpSpPr>
              <a:xfrm>
                <a:off x="5401012" y="1018432"/>
                <a:ext cx="1123233" cy="160278"/>
                <a:chOff x="5406738" y="1063469"/>
                <a:chExt cx="512804" cy="159896"/>
              </a:xfrm>
            </xdr:grpSpPr>
            <xdr:sp macro="" textlink="">
              <xdr:nvSpPr>
                <xdr:cNvPr id="98" name="Rectangle: Rounded Corners 257">
                  <a:extLst>
                    <a:ext uri="{FF2B5EF4-FFF2-40B4-BE49-F238E27FC236}">
                      <a16:creationId xmlns:a16="http://schemas.microsoft.com/office/drawing/2014/main" id="{64614225-DA00-3EB3-7AA0-C248CD73EBF8}"/>
                    </a:ext>
                  </a:extLst>
                </xdr:cNvPr>
                <xdr:cNvSpPr/>
              </xdr:nvSpPr>
              <xdr:spPr>
                <a:xfrm>
                  <a:off x="5406738" y="1063534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POLICY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9" name="Rectangle: Rounded Corners 258">
                  <a:extLst>
                    <a:ext uri="{FF2B5EF4-FFF2-40B4-BE49-F238E27FC236}">
                      <a16:creationId xmlns:a16="http://schemas.microsoft.com/office/drawing/2014/main" id="{274E95EC-AC02-F9E7-ECA4-DEF81525DBC6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AL6">
            <xdr:nvSpPr>
              <xdr:cNvPr id="76" name="TextBox 75">
                <a:extLst>
                  <a:ext uri="{FF2B5EF4-FFF2-40B4-BE49-F238E27FC236}">
                    <a16:creationId xmlns:a16="http://schemas.microsoft.com/office/drawing/2014/main" id="{E7F417E7-133C-2EA8-E250-4440330B82A3}"/>
                  </a:ext>
                </a:extLst>
              </xdr:cNvPr>
              <xdr:cNvSpPr txBox="1"/>
            </xdr:nvSpPr>
            <xdr:spPr>
              <a:xfrm>
                <a:off x="5424672" y="1213726"/>
                <a:ext cx="1092509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BA60EFCC-B3A0-4F79-886B-E4AE7D3BDB9D}" type="TxLink">
                  <a:rPr lang="en-US" sz="1200" b="0" i="0" u="none" strike="noStrike" kern="120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Bahnschrift"/>
                  </a:rPr>
                  <a:pPr algn="ctr"/>
                  <a:t>High</a:t>
                </a:fld>
                <a:endParaRPr lang="en-US" sz="10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grpSp>
            <xdr:nvGrpSpPr>
              <xdr:cNvPr id="77" name="Group 76">
                <a:extLst>
                  <a:ext uri="{FF2B5EF4-FFF2-40B4-BE49-F238E27FC236}">
                    <a16:creationId xmlns:a16="http://schemas.microsoft.com/office/drawing/2014/main" id="{B3253DC2-2E80-7709-0F38-3DD4907FBE2D}"/>
                  </a:ext>
                </a:extLst>
              </xdr:cNvPr>
              <xdr:cNvGrpSpPr/>
            </xdr:nvGrpSpPr>
            <xdr:grpSpPr>
              <a:xfrm>
                <a:off x="6620791" y="1011336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96" name="Rectangle: Rounded Corners 255">
                  <a:extLst>
                    <a:ext uri="{FF2B5EF4-FFF2-40B4-BE49-F238E27FC236}">
                      <a16:creationId xmlns:a16="http://schemas.microsoft.com/office/drawing/2014/main" id="{310174E1-33F2-DAD9-B5D9-C8014EDD3EBC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PLAN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7" name="Rectangle: Rounded Corners 256">
                  <a:extLst>
                    <a:ext uri="{FF2B5EF4-FFF2-40B4-BE49-F238E27FC236}">
                      <a16:creationId xmlns:a16="http://schemas.microsoft.com/office/drawing/2014/main" id="{7F192FFB-22C9-FE3D-547D-1B990E380281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AL7">
            <xdr:nvSpPr>
              <xdr:cNvPr id="78" name="TextBox 77">
                <a:extLst>
                  <a:ext uri="{FF2B5EF4-FFF2-40B4-BE49-F238E27FC236}">
                    <a16:creationId xmlns:a16="http://schemas.microsoft.com/office/drawing/2014/main" id="{0AED6A53-FD24-5BD9-EF7E-A011BE01AAD0}"/>
                  </a:ext>
                </a:extLst>
              </xdr:cNvPr>
              <xdr:cNvSpPr txBox="1"/>
            </xdr:nvSpPr>
            <xdr:spPr>
              <a:xfrm>
                <a:off x="6662106" y="1187653"/>
                <a:ext cx="1070214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B456D993-A978-4FA3-9770-7E78BEFA3ED8}" type="TxLink">
                  <a:rPr lang="en-US" sz="1100" b="0" i="0" u="none" strike="noStrike" kern="120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Bahnschrift"/>
                  </a:rPr>
                  <a:pPr algn="ctr"/>
                  <a:t>High</a:t>
                </a:fld>
                <a:endParaRPr lang="en-US" sz="11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0B4E73AC-289D-D27C-818F-772F6B5AA1CB}"/>
                  </a:ext>
                </a:extLst>
              </xdr:cNvPr>
              <xdr:cNvGrpSpPr/>
            </xdr:nvGrpSpPr>
            <xdr:grpSpPr>
              <a:xfrm>
                <a:off x="7841114" y="1011272"/>
                <a:ext cx="1122559" cy="160277"/>
                <a:chOff x="5406738" y="1063469"/>
                <a:chExt cx="512804" cy="159895"/>
              </a:xfrm>
            </xdr:grpSpPr>
            <xdr:sp macro="" textlink="">
              <xdr:nvSpPr>
                <xdr:cNvPr id="94" name="Rectangle: Rounded Corners 253">
                  <a:extLst>
                    <a:ext uri="{FF2B5EF4-FFF2-40B4-BE49-F238E27FC236}">
                      <a16:creationId xmlns:a16="http://schemas.microsoft.com/office/drawing/2014/main" id="{7A656D45-8CA1-1DB6-0E09-B90D16E089FF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DO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5" name="Rectangle: Rounded Corners 254">
                  <a:extLst>
                    <a:ext uri="{FF2B5EF4-FFF2-40B4-BE49-F238E27FC236}">
                      <a16:creationId xmlns:a16="http://schemas.microsoft.com/office/drawing/2014/main" id="{1C7FC846-ACF8-01FF-177F-8423EEBF1CA4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80" name="Group 79">
                <a:extLst>
                  <a:ext uri="{FF2B5EF4-FFF2-40B4-BE49-F238E27FC236}">
                    <a16:creationId xmlns:a16="http://schemas.microsoft.com/office/drawing/2014/main" id="{1A8364D5-FB1C-F8C4-64F7-976406FA7667}"/>
                  </a:ext>
                </a:extLst>
              </xdr:cNvPr>
              <xdr:cNvGrpSpPr/>
            </xdr:nvGrpSpPr>
            <xdr:grpSpPr>
              <a:xfrm>
                <a:off x="9061438" y="1011208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92" name="Rectangle: Rounded Corners 251">
                  <a:extLst>
                    <a:ext uri="{FF2B5EF4-FFF2-40B4-BE49-F238E27FC236}">
                      <a16:creationId xmlns:a16="http://schemas.microsoft.com/office/drawing/2014/main" id="{FD5379EF-87E1-293E-3062-ACCD124175CC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CHECK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3" name="Rectangle: Rounded Corners 252">
                  <a:extLst>
                    <a:ext uri="{FF2B5EF4-FFF2-40B4-BE49-F238E27FC236}">
                      <a16:creationId xmlns:a16="http://schemas.microsoft.com/office/drawing/2014/main" id="{E001F13E-8F3E-1DCD-E510-166C1C4308FF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81" name="Group 80">
                <a:extLst>
                  <a:ext uri="{FF2B5EF4-FFF2-40B4-BE49-F238E27FC236}">
                    <a16:creationId xmlns:a16="http://schemas.microsoft.com/office/drawing/2014/main" id="{0D694815-5FF9-D0E6-D3B1-913E984AE144}"/>
                  </a:ext>
                </a:extLst>
              </xdr:cNvPr>
              <xdr:cNvGrpSpPr/>
            </xdr:nvGrpSpPr>
            <xdr:grpSpPr>
              <a:xfrm>
                <a:off x="10281762" y="1011144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90" name="Rectangle: Rounded Corners 249">
                  <a:extLst>
                    <a:ext uri="{FF2B5EF4-FFF2-40B4-BE49-F238E27FC236}">
                      <a16:creationId xmlns:a16="http://schemas.microsoft.com/office/drawing/2014/main" id="{30182798-8CA8-F8E0-B167-312F1E727528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ACTION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1" name="Rectangle: Rounded Corners 250">
                  <a:extLst>
                    <a:ext uri="{FF2B5EF4-FFF2-40B4-BE49-F238E27FC236}">
                      <a16:creationId xmlns:a16="http://schemas.microsoft.com/office/drawing/2014/main" id="{2C31A575-DBA9-6742-6161-6D88D5F1220E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AL8">
            <xdr:nvSpPr>
              <xdr:cNvPr id="82" name="TextBox 81">
                <a:extLst>
                  <a:ext uri="{FF2B5EF4-FFF2-40B4-BE49-F238E27FC236}">
                    <a16:creationId xmlns:a16="http://schemas.microsoft.com/office/drawing/2014/main" id="{50EBE123-7144-61E6-1305-953D9480D29C}"/>
                  </a:ext>
                </a:extLst>
              </xdr:cNvPr>
              <xdr:cNvSpPr txBox="1"/>
            </xdr:nvSpPr>
            <xdr:spPr>
              <a:xfrm>
                <a:off x="7854948" y="1191588"/>
                <a:ext cx="1109232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54DE901-603E-441A-8EDB-948B3826373C}" type="TxLink">
                  <a:rPr lang="en-US" sz="1100" b="0" i="0" u="none" strike="noStrike" kern="120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Bahnschrift"/>
                  </a:rPr>
                  <a:pPr algn="ctr"/>
                  <a:t>Very High</a:t>
                </a:fld>
                <a:endParaRPr lang="en-US" sz="11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PivotTable!AL9">
            <xdr:nvSpPr>
              <xdr:cNvPr id="83" name="TextBox 82">
                <a:extLst>
                  <a:ext uri="{FF2B5EF4-FFF2-40B4-BE49-F238E27FC236}">
                    <a16:creationId xmlns:a16="http://schemas.microsoft.com/office/drawing/2014/main" id="{AA49B2BE-1570-6CED-BCD9-D1F3EE26BA05}"/>
                  </a:ext>
                </a:extLst>
              </xdr:cNvPr>
              <xdr:cNvSpPr txBox="1"/>
            </xdr:nvSpPr>
            <xdr:spPr>
              <a:xfrm>
                <a:off x="9053364" y="1184537"/>
                <a:ext cx="1120379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fld id="{1250A079-5D2F-4C6D-93C0-646800482302}" type="TxLink">
                  <a:rPr lang="en-US" sz="1100" b="0" i="0" u="none" strike="noStrike">
                    <a:solidFill>
                      <a:schemeClr val="accent5">
                        <a:lumMod val="20000"/>
                        <a:lumOff val="80000"/>
                      </a:schemeClr>
                    </a:solidFill>
                    <a:effectLst/>
                    <a:latin typeface="Bahnschrift"/>
                  </a:rPr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t>Very High</a:t>
                </a:fld>
                <a:endParaRPr lang="en-ID" sz="1100">
                  <a:solidFill>
                    <a:schemeClr val="accent5">
                      <a:lumMod val="20000"/>
                      <a:lumOff val="80000"/>
                    </a:schemeClr>
                  </a:solidFill>
                  <a:effectLst/>
                  <a:latin typeface="Bahnschrift" panose="020B0502040204020203" pitchFamily="34" charset="0"/>
                </a:endParaRPr>
              </a:p>
            </xdr:txBody>
          </xdr:sp>
          <xdr:sp macro="" textlink="PivotTable!AL10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DFAE3AC1-8D53-FA9A-1806-F185A3D1A5F1}"/>
                  </a:ext>
                </a:extLst>
              </xdr:cNvPr>
              <xdr:cNvSpPr txBox="1"/>
            </xdr:nvSpPr>
            <xdr:spPr>
              <a:xfrm>
                <a:off x="10311559" y="1202232"/>
                <a:ext cx="1086935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8A1F66EF-DAD8-47DE-A042-36CF3143134F}" type="TxLink">
                  <a:rPr lang="en-US" sz="1200" b="0" i="0" u="none" strike="noStrike" kern="120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Bahnschrift"/>
                  </a:rPr>
                  <a:pPr algn="ctr"/>
                  <a:t>Moderate</a:t>
                </a:fld>
                <a:endParaRPr lang="en-US" sz="105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C5871385-5956-5784-085C-C68171114F18}"/>
                  </a:ext>
                </a:extLst>
              </xdr:cNvPr>
              <xdr:cNvSpPr txBox="1"/>
            </xdr:nvSpPr>
            <xdr:spPr>
              <a:xfrm>
                <a:off x="5401016" y="1509314"/>
                <a:ext cx="1123229" cy="80072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12%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86" name="TextBox 85">
                <a:extLst>
                  <a:ext uri="{FF2B5EF4-FFF2-40B4-BE49-F238E27FC236}">
                    <a16:creationId xmlns:a16="http://schemas.microsoft.com/office/drawing/2014/main" id="{D21B698F-500C-1AA9-737A-F4DF6EE6ACE9}"/>
                  </a:ext>
                </a:extLst>
              </xdr:cNvPr>
              <xdr:cNvSpPr txBox="1"/>
            </xdr:nvSpPr>
            <xdr:spPr>
              <a:xfrm>
                <a:off x="6628272" y="1509778"/>
                <a:ext cx="1103975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12%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87" name="TextBox 86">
                <a:extLst>
                  <a:ext uri="{FF2B5EF4-FFF2-40B4-BE49-F238E27FC236}">
                    <a16:creationId xmlns:a16="http://schemas.microsoft.com/office/drawing/2014/main" id="{68EDEF1B-0558-9D84-F0A9-EC72B795B482}"/>
                  </a:ext>
                </a:extLst>
              </xdr:cNvPr>
              <xdr:cNvSpPr txBox="1"/>
            </xdr:nvSpPr>
            <xdr:spPr>
              <a:xfrm>
                <a:off x="7848746" y="1509778"/>
                <a:ext cx="1115071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8%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88" name="TextBox 87">
                <a:extLst>
                  <a:ext uri="{FF2B5EF4-FFF2-40B4-BE49-F238E27FC236}">
                    <a16:creationId xmlns:a16="http://schemas.microsoft.com/office/drawing/2014/main" id="{68C64C0B-6EDA-55D1-7D61-1B9A96F8632D}"/>
                  </a:ext>
                </a:extLst>
              </xdr:cNvPr>
              <xdr:cNvSpPr txBox="1"/>
            </xdr:nvSpPr>
            <xdr:spPr>
              <a:xfrm>
                <a:off x="9069220" y="1496855"/>
                <a:ext cx="1131713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8%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89" name="TextBox 88">
                <a:extLst>
                  <a:ext uri="{FF2B5EF4-FFF2-40B4-BE49-F238E27FC236}">
                    <a16:creationId xmlns:a16="http://schemas.microsoft.com/office/drawing/2014/main" id="{90BD8562-1FF8-8106-9D58-AF960B201369}"/>
                  </a:ext>
                </a:extLst>
              </xdr:cNvPr>
              <xdr:cNvSpPr txBox="1"/>
            </xdr:nvSpPr>
            <xdr:spPr>
              <a:xfrm>
                <a:off x="10293394" y="1481386"/>
                <a:ext cx="1122468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10%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</xdr:grp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3CAA9489-E487-8E8B-EFA0-A6073B3FEEE4}"/>
                </a:ext>
              </a:extLst>
            </xdr:cNvPr>
            <xdr:cNvSpPr txBox="1"/>
          </xdr:nvSpPr>
          <xdr:spPr>
            <a:xfrm>
              <a:off x="4661068" y="1971966"/>
              <a:ext cx="995851" cy="202647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ID" sz="1000" b="0" kern="1200">
                  <a:solidFill>
                    <a:schemeClr val="bg1"/>
                  </a:solidFill>
                  <a:latin typeface="Bahnschrift" panose="020B0502040204020203" pitchFamily="34" charset="0"/>
                </a:rPr>
                <a:t>Safety 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D4F0E050-7227-82B3-34F3-998674AB3F6E}"/>
              </a:ext>
            </a:extLst>
          </xdr:cNvPr>
          <xdr:cNvGrpSpPr/>
        </xdr:nvGrpSpPr>
        <xdr:grpSpPr>
          <a:xfrm>
            <a:off x="4648621" y="642590"/>
            <a:ext cx="6416595" cy="1271833"/>
            <a:chOff x="4636204" y="645375"/>
            <a:chExt cx="6392783" cy="1278589"/>
          </a:xfrm>
        </xdr:grpSpPr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65411C50-81A9-A96A-8F54-502E35AC8DE5}"/>
                </a:ext>
              </a:extLst>
            </xdr:cNvPr>
            <xdr:cNvGrpSpPr/>
          </xdr:nvGrpSpPr>
          <xdr:grpSpPr>
            <a:xfrm>
              <a:off x="4636204" y="645375"/>
              <a:ext cx="6392783" cy="1278589"/>
              <a:chOff x="5196581" y="601184"/>
              <a:chExt cx="6396847" cy="1122786"/>
            </a:xfrm>
          </xdr:grpSpPr>
          <xdr:sp macro="" textlink="">
            <xdr:nvSpPr>
              <xdr:cNvPr id="45" name="Rectangle: Rounded Corners 166">
                <a:extLst>
                  <a:ext uri="{FF2B5EF4-FFF2-40B4-BE49-F238E27FC236}">
                    <a16:creationId xmlns:a16="http://schemas.microsoft.com/office/drawing/2014/main" id="{79087200-EFD4-A9EF-EB7E-74944C76DDD9}"/>
                  </a:ext>
                </a:extLst>
              </xdr:cNvPr>
              <xdr:cNvSpPr/>
            </xdr:nvSpPr>
            <xdr:spPr>
              <a:xfrm>
                <a:off x="5196581" y="601184"/>
                <a:ext cx="6396847" cy="1122786"/>
              </a:xfrm>
              <a:prstGeom prst="rect">
                <a:avLst/>
              </a:prstGeom>
              <a:solidFill>
                <a:srgbClr val="00193A">
                  <a:alpha val="65000"/>
                </a:srgbClr>
              </a:solidFill>
              <a:ln>
                <a:noFill/>
              </a:ln>
              <a:effectLst>
                <a:outerShdw blurRad="50800" dist="38100" dir="5400000" algn="t" rotWithShape="0">
                  <a:schemeClr val="tx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46" name="Group 45">
                <a:extLst>
                  <a:ext uri="{FF2B5EF4-FFF2-40B4-BE49-F238E27FC236}">
                    <a16:creationId xmlns:a16="http://schemas.microsoft.com/office/drawing/2014/main" id="{4E9EEDF1-76F6-D1D3-506F-D5710F13AD4B}"/>
                  </a:ext>
                </a:extLst>
              </xdr:cNvPr>
              <xdr:cNvGrpSpPr/>
            </xdr:nvGrpSpPr>
            <xdr:grpSpPr>
              <a:xfrm>
                <a:off x="5401012" y="1018432"/>
                <a:ext cx="1123233" cy="160277"/>
                <a:chOff x="5406738" y="1063469"/>
                <a:chExt cx="512804" cy="159895"/>
              </a:xfrm>
            </xdr:grpSpPr>
            <xdr:sp macro="" textlink="">
              <xdr:nvSpPr>
                <xdr:cNvPr id="70" name="Rectangle: Rounded Corners 191">
                  <a:extLst>
                    <a:ext uri="{FF2B5EF4-FFF2-40B4-BE49-F238E27FC236}">
                      <a16:creationId xmlns:a16="http://schemas.microsoft.com/office/drawing/2014/main" id="{E4DAE2D4-CF95-BC2E-27D6-12C1DB3066C2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NPV</a:t>
                  </a:r>
                </a:p>
              </xdr:txBody>
            </xdr:sp>
            <xdr:sp macro="" textlink="">
              <xdr:nvSpPr>
                <xdr:cNvPr id="71" name="Rectangle: Rounded Corners 192">
                  <a:extLst>
                    <a:ext uri="{FF2B5EF4-FFF2-40B4-BE49-F238E27FC236}">
                      <a16:creationId xmlns:a16="http://schemas.microsoft.com/office/drawing/2014/main" id="{1657F716-5141-170D-7A30-6F6D246AF775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$V$6">
            <xdr:nvSpPr>
              <xdr:cNvPr id="47" name="TextBox 46">
                <a:extLst>
                  <a:ext uri="{FF2B5EF4-FFF2-40B4-BE49-F238E27FC236}">
                    <a16:creationId xmlns:a16="http://schemas.microsoft.com/office/drawing/2014/main" id="{B9DDE16E-AF70-1DB5-BB7F-6E22CBDED0E2}"/>
                  </a:ext>
                </a:extLst>
              </xdr:cNvPr>
              <xdr:cNvSpPr txBox="1"/>
            </xdr:nvSpPr>
            <xdr:spPr>
              <a:xfrm>
                <a:off x="5368398" y="1203672"/>
                <a:ext cx="1148665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CA2B1A4-6AA1-4866-979C-FAD627EAD57E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  <a:cs typeface="Times New Roman"/>
                  </a:rPr>
                  <a:pPr algn="ctr"/>
                  <a:t> Rp15.10 </a:t>
                </a:fld>
                <a:endParaRPr lang="en-ID" sz="2800" kern="1200">
                  <a:solidFill>
                    <a:schemeClr val="accent5">
                      <a:lumMod val="20000"/>
                      <a:lumOff val="80000"/>
                    </a:schemeClr>
                  </a:solidFill>
                </a:endParaRPr>
              </a:p>
            </xdr:txBody>
          </xdr:sp>
          <xdr:grpSp>
            <xdr:nvGrpSpPr>
              <xdr:cNvPr id="48" name="Group 47">
                <a:extLst>
                  <a:ext uri="{FF2B5EF4-FFF2-40B4-BE49-F238E27FC236}">
                    <a16:creationId xmlns:a16="http://schemas.microsoft.com/office/drawing/2014/main" id="{CD99935A-5C70-8473-3A70-502ECC105A6F}"/>
                  </a:ext>
                </a:extLst>
              </xdr:cNvPr>
              <xdr:cNvGrpSpPr/>
            </xdr:nvGrpSpPr>
            <xdr:grpSpPr>
              <a:xfrm>
                <a:off x="6620791" y="1011336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68" name="Rectangle: Rounded Corners 208">
                  <a:extLst>
                    <a:ext uri="{FF2B5EF4-FFF2-40B4-BE49-F238E27FC236}">
                      <a16:creationId xmlns:a16="http://schemas.microsoft.com/office/drawing/2014/main" id="{CE85C81D-96AF-EBDC-4784-FABF3580F337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IRR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69" name="Rectangle: Rounded Corners 209">
                  <a:extLst>
                    <a:ext uri="{FF2B5EF4-FFF2-40B4-BE49-F238E27FC236}">
                      <a16:creationId xmlns:a16="http://schemas.microsoft.com/office/drawing/2014/main" id="{F0832510-CB1A-8B7D-EF1E-D4388A8337CB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$W$6">
            <xdr:nvSpPr>
              <xdr:cNvPr id="49" name="TextBox 48">
                <a:extLst>
                  <a:ext uri="{FF2B5EF4-FFF2-40B4-BE49-F238E27FC236}">
                    <a16:creationId xmlns:a16="http://schemas.microsoft.com/office/drawing/2014/main" id="{42F66A89-9E09-9FAC-7515-F7104DD68F17}"/>
                  </a:ext>
                </a:extLst>
              </xdr:cNvPr>
              <xdr:cNvSpPr txBox="1"/>
            </xdr:nvSpPr>
            <xdr:spPr>
              <a:xfrm>
                <a:off x="6626681" y="1187653"/>
                <a:ext cx="1113365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EE1118BE-8BD2-4C83-A9E4-EE287A57C9E6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pPr algn="ctr"/>
                  <a:t>14.64%</a:t>
                </a:fld>
                <a:endParaRPr lang="en-US" sz="16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grpSp>
            <xdr:nvGrpSpPr>
              <xdr:cNvPr id="50" name="Group 49">
                <a:extLst>
                  <a:ext uri="{FF2B5EF4-FFF2-40B4-BE49-F238E27FC236}">
                    <a16:creationId xmlns:a16="http://schemas.microsoft.com/office/drawing/2014/main" id="{3EF2EED5-B673-0BFB-AB2F-CEE24FF0F715}"/>
                  </a:ext>
                </a:extLst>
              </xdr:cNvPr>
              <xdr:cNvGrpSpPr/>
            </xdr:nvGrpSpPr>
            <xdr:grpSpPr>
              <a:xfrm>
                <a:off x="7841114" y="1011272"/>
                <a:ext cx="1122559" cy="160277"/>
                <a:chOff x="5406738" y="1063469"/>
                <a:chExt cx="512804" cy="159895"/>
              </a:xfrm>
            </xdr:grpSpPr>
            <xdr:sp macro="" textlink="">
              <xdr:nvSpPr>
                <xdr:cNvPr id="66" name="Rectangle: Rounded Corners 212">
                  <a:extLst>
                    <a:ext uri="{FF2B5EF4-FFF2-40B4-BE49-F238E27FC236}">
                      <a16:creationId xmlns:a16="http://schemas.microsoft.com/office/drawing/2014/main" id="{281EB56C-3722-2E02-4ABC-90BB729E182A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PP</a:t>
                  </a:r>
                </a:p>
              </xdr:txBody>
            </xdr:sp>
            <xdr:sp macro="" textlink="">
              <xdr:nvSpPr>
                <xdr:cNvPr id="67" name="Rectangle: Rounded Corners 213">
                  <a:extLst>
                    <a:ext uri="{FF2B5EF4-FFF2-40B4-BE49-F238E27FC236}">
                      <a16:creationId xmlns:a16="http://schemas.microsoft.com/office/drawing/2014/main" id="{854ECA2C-842D-FDBE-0DF0-426330B8B510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51" name="Group 50">
                <a:extLst>
                  <a:ext uri="{FF2B5EF4-FFF2-40B4-BE49-F238E27FC236}">
                    <a16:creationId xmlns:a16="http://schemas.microsoft.com/office/drawing/2014/main" id="{FCFDE330-6487-C9A7-D76E-559670EE6C9D}"/>
                  </a:ext>
                </a:extLst>
              </xdr:cNvPr>
              <xdr:cNvGrpSpPr/>
            </xdr:nvGrpSpPr>
            <xdr:grpSpPr>
              <a:xfrm>
                <a:off x="9061438" y="1011208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64" name="Rectangle: Rounded Corners 215">
                  <a:extLst>
                    <a:ext uri="{FF2B5EF4-FFF2-40B4-BE49-F238E27FC236}">
                      <a16:creationId xmlns:a16="http://schemas.microsoft.com/office/drawing/2014/main" id="{AC3A6196-3143-4436-2753-0D6EFD21CD7A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PI</a:t>
                  </a:r>
                </a:p>
              </xdr:txBody>
            </xdr:sp>
            <xdr:sp macro="" textlink="">
              <xdr:nvSpPr>
                <xdr:cNvPr id="65" name="Rectangle: Rounded Corners 216">
                  <a:extLst>
                    <a:ext uri="{FF2B5EF4-FFF2-40B4-BE49-F238E27FC236}">
                      <a16:creationId xmlns:a16="http://schemas.microsoft.com/office/drawing/2014/main" id="{2DD0AF7F-8D7E-B0A5-3C60-D6CE5A060DF7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52" name="Group 51">
                <a:extLst>
                  <a:ext uri="{FF2B5EF4-FFF2-40B4-BE49-F238E27FC236}">
                    <a16:creationId xmlns:a16="http://schemas.microsoft.com/office/drawing/2014/main" id="{B4BE7ADD-DC28-81CE-9320-3A1D2F3CC185}"/>
                  </a:ext>
                </a:extLst>
              </xdr:cNvPr>
              <xdr:cNvGrpSpPr/>
            </xdr:nvGrpSpPr>
            <xdr:grpSpPr>
              <a:xfrm>
                <a:off x="10281762" y="1011144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62" name="Rectangle: Rounded Corners 218">
                  <a:extLst>
                    <a:ext uri="{FF2B5EF4-FFF2-40B4-BE49-F238E27FC236}">
                      <a16:creationId xmlns:a16="http://schemas.microsoft.com/office/drawing/2014/main" id="{93394B2A-3ED2-CCBE-A3A4-1292A2853FEF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BCR</a:t>
                  </a:r>
                </a:p>
              </xdr:txBody>
            </xdr:sp>
            <xdr:sp macro="" textlink="">
              <xdr:nvSpPr>
                <xdr:cNvPr id="63" name="Rectangle: Rounded Corners 219">
                  <a:extLst>
                    <a:ext uri="{FF2B5EF4-FFF2-40B4-BE49-F238E27FC236}">
                      <a16:creationId xmlns:a16="http://schemas.microsoft.com/office/drawing/2014/main" id="{E0B509F8-8767-8AEE-BD42-E8AA6B00CA04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$X$6">
            <xdr:nvSpPr>
              <xdr:cNvPr id="53" name="TextBox 52">
                <a:extLst>
                  <a:ext uri="{FF2B5EF4-FFF2-40B4-BE49-F238E27FC236}">
                    <a16:creationId xmlns:a16="http://schemas.microsoft.com/office/drawing/2014/main" id="{66336DEC-C126-F364-DBE7-22DA1BC555C0}"/>
                  </a:ext>
                </a:extLst>
              </xdr:cNvPr>
              <xdr:cNvSpPr txBox="1"/>
            </xdr:nvSpPr>
            <xdr:spPr>
              <a:xfrm>
                <a:off x="7842698" y="1185697"/>
                <a:ext cx="516900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D46AC13E-A9F1-426B-BA05-04677E7BAEFB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pPr algn="r"/>
                  <a:t>7</a:t>
                </a:fld>
                <a:endParaRPr lang="en-US" sz="20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PivotTable!$Y$6">
            <xdr:nvSpPr>
              <xdr:cNvPr id="54" name="TextBox 53">
                <a:extLst>
                  <a:ext uri="{FF2B5EF4-FFF2-40B4-BE49-F238E27FC236}">
                    <a16:creationId xmlns:a16="http://schemas.microsoft.com/office/drawing/2014/main" id="{00DFF13E-5BAA-2FEE-4452-C439118A9139}"/>
                  </a:ext>
                </a:extLst>
              </xdr:cNvPr>
              <xdr:cNvSpPr txBox="1"/>
            </xdr:nvSpPr>
            <xdr:spPr>
              <a:xfrm>
                <a:off x="9061152" y="1184537"/>
                <a:ext cx="1119856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26262C2-FFE6-4C92-BF36-4288AB44A382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pPr algn="ctr"/>
                  <a:t>1.38</a:t>
                </a:fld>
                <a:endParaRPr lang="en-US" sz="16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PivotTable!$Z$6">
            <xdr:nvSpPr>
              <xdr:cNvPr id="55" name="TextBox 54">
                <a:extLst>
                  <a:ext uri="{FF2B5EF4-FFF2-40B4-BE49-F238E27FC236}">
                    <a16:creationId xmlns:a16="http://schemas.microsoft.com/office/drawing/2014/main" id="{047695F4-E9DD-75FB-602C-19639D6ADE0C}"/>
                  </a:ext>
                </a:extLst>
              </xdr:cNvPr>
              <xdr:cNvSpPr txBox="1"/>
            </xdr:nvSpPr>
            <xdr:spPr>
              <a:xfrm>
                <a:off x="10284879" y="1182736"/>
                <a:ext cx="1119856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30260B0A-B4AD-403C-B72C-ACD9EC4B69E1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pPr algn="ctr"/>
                  <a:t>151.37%</a:t>
                </a:fld>
                <a:endParaRPr lang="en-US" sz="12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">
            <xdr:nvSpPr>
              <xdr:cNvPr id="56" name="TextBox 55">
                <a:extLst>
                  <a:ext uri="{FF2B5EF4-FFF2-40B4-BE49-F238E27FC236}">
                    <a16:creationId xmlns:a16="http://schemas.microsoft.com/office/drawing/2014/main" id="{1C6562BE-FC1F-DC13-738B-014D1FD8A2BD}"/>
                  </a:ext>
                </a:extLst>
              </xdr:cNvPr>
              <xdr:cNvSpPr txBox="1"/>
            </xdr:nvSpPr>
            <xdr:spPr>
              <a:xfrm>
                <a:off x="5401016" y="1509314"/>
                <a:ext cx="1123700" cy="80072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12%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047104CF-F027-FAE0-1CE1-81FDB1EB2CFB}"/>
                  </a:ext>
                </a:extLst>
              </xdr:cNvPr>
              <xdr:cNvSpPr txBox="1"/>
            </xdr:nvSpPr>
            <xdr:spPr>
              <a:xfrm>
                <a:off x="6620875" y="1509778"/>
                <a:ext cx="1124317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12%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FE597893-6DC0-DE8A-BB05-6DD9D2515003}"/>
                  </a:ext>
                </a:extLst>
              </xdr:cNvPr>
              <xdr:cNvSpPr txBox="1"/>
            </xdr:nvSpPr>
            <xdr:spPr>
              <a:xfrm>
                <a:off x="7841349" y="1509778"/>
                <a:ext cx="1126165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8%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5ED259AE-B3D9-88D2-2594-12ED46F12672}"/>
                  </a:ext>
                </a:extLst>
              </xdr:cNvPr>
              <xdr:cNvSpPr txBox="1"/>
            </xdr:nvSpPr>
            <xdr:spPr>
              <a:xfrm>
                <a:off x="9065522" y="1496855"/>
                <a:ext cx="1133562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8%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60" name="TextBox 59">
                <a:extLst>
                  <a:ext uri="{FF2B5EF4-FFF2-40B4-BE49-F238E27FC236}">
                    <a16:creationId xmlns:a16="http://schemas.microsoft.com/office/drawing/2014/main" id="{140CF677-3B62-F440-888F-36EBA40CB970}"/>
                  </a:ext>
                </a:extLst>
              </xdr:cNvPr>
              <xdr:cNvSpPr txBox="1"/>
            </xdr:nvSpPr>
            <xdr:spPr>
              <a:xfrm>
                <a:off x="10288422" y="1481386"/>
                <a:ext cx="1125590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10%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PivotTable!$X$6">
            <xdr:nvSpPr>
              <xdr:cNvPr id="61" name="TextBox 60">
                <a:extLst>
                  <a:ext uri="{FF2B5EF4-FFF2-40B4-BE49-F238E27FC236}">
                    <a16:creationId xmlns:a16="http://schemas.microsoft.com/office/drawing/2014/main" id="{6C4E0DC0-81AE-B5D0-5323-D5C28E568FC3}"/>
                  </a:ext>
                </a:extLst>
              </xdr:cNvPr>
              <xdr:cNvSpPr txBox="1"/>
            </xdr:nvSpPr>
            <xdr:spPr>
              <a:xfrm>
                <a:off x="8171279" y="1185697"/>
                <a:ext cx="781199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t>Tahun</a:t>
                </a:r>
                <a:endParaRPr lang="en-US" sz="20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</xdr:grp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C60DD2C-1D51-9665-71BF-0F261AC7F12A}"/>
                </a:ext>
              </a:extLst>
            </xdr:cNvPr>
            <xdr:cNvSpPr txBox="1"/>
          </xdr:nvSpPr>
          <xdr:spPr>
            <a:xfrm>
              <a:off x="4710842" y="817537"/>
              <a:ext cx="1364936" cy="148531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ID" sz="1000" kern="1200">
                  <a:solidFill>
                    <a:schemeClr val="bg1"/>
                  </a:solidFill>
                  <a:latin typeface="Bahnschrift" panose="020B0502040204020203" pitchFamily="34" charset="0"/>
                </a:rPr>
                <a:t>Financial</a:t>
              </a:r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512C575C-B898-3E7C-A89F-DE50106849B6}"/>
                </a:ext>
              </a:extLst>
            </xdr:cNvPr>
            <xdr:cNvSpPr txBox="1"/>
          </xdr:nvSpPr>
          <xdr:spPr>
            <a:xfrm>
              <a:off x="9770964" y="746511"/>
              <a:ext cx="1058502" cy="182745"/>
            </a:xfrm>
            <a:prstGeom prst="rect">
              <a:avLst/>
            </a:prstGeom>
            <a:solidFill>
              <a:srgbClr val="C00000"/>
            </a:solidFill>
            <a:ln w="9525" cmpd="sng">
              <a:noFill/>
            </a:ln>
            <a:scene3d>
              <a:camera prst="orthographicFront"/>
              <a:lightRig rig="threePt" dir="t"/>
            </a:scene3d>
            <a:sp3d>
              <a:bevelT w="12700" h="12700"/>
            </a:sp3d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D" sz="800" kern="1200">
                  <a:solidFill>
                    <a:schemeClr val="bg1"/>
                  </a:solidFill>
                  <a:latin typeface="Bahnschrift" panose="020B0502040204020203" pitchFamily="34" charset="0"/>
                </a:rPr>
                <a:t>Criteria</a:t>
              </a:r>
              <a:r>
                <a:rPr lang="en-ID" sz="800" kern="1200" baseline="0">
                  <a:solidFill>
                    <a:schemeClr val="bg1"/>
                  </a:solidFill>
                  <a:latin typeface="Bahnschrift" panose="020B0502040204020203" pitchFamily="34" charset="0"/>
                </a:rPr>
                <a:t> Investment</a:t>
              </a:r>
              <a:endParaRPr lang="en-ID" sz="800" kern="12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13</xdr:col>
      <xdr:colOff>582259</xdr:colOff>
      <xdr:row>3</xdr:row>
      <xdr:rowOff>43295</xdr:rowOff>
    </xdr:from>
    <xdr:to>
      <xdr:col>17</xdr:col>
      <xdr:colOff>465924</xdr:colOff>
      <xdr:row>15</xdr:row>
      <xdr:rowOff>138907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1F40CE91-0D6B-47BD-9311-6061D88C0C5C}"/>
            </a:ext>
          </a:extLst>
        </xdr:cNvPr>
        <xdr:cNvGrpSpPr/>
      </xdr:nvGrpSpPr>
      <xdr:grpSpPr>
        <a:xfrm>
          <a:off x="9167459" y="633845"/>
          <a:ext cx="2525265" cy="2457812"/>
          <a:chOff x="1309330" y="3527400"/>
          <a:chExt cx="2522320" cy="2530521"/>
        </a:xfrm>
      </xdr:grpSpPr>
      <xdr:sp macro="" textlink="">
        <xdr:nvSpPr>
          <xdr:cNvPr id="101" name="Rectangle: Rounded Corners 100">
            <a:extLst>
              <a:ext uri="{FF2B5EF4-FFF2-40B4-BE49-F238E27FC236}">
                <a16:creationId xmlns:a16="http://schemas.microsoft.com/office/drawing/2014/main" id="{2AE93AC6-5536-8DBD-5A80-B3D9F051574E}"/>
              </a:ext>
            </a:extLst>
          </xdr:cNvPr>
          <xdr:cNvSpPr/>
        </xdr:nvSpPr>
        <xdr:spPr>
          <a:xfrm>
            <a:off x="1309330" y="3527400"/>
            <a:ext cx="2522320" cy="2530520"/>
          </a:xfrm>
          <a:prstGeom prst="rect">
            <a:avLst/>
          </a:prstGeom>
          <a:solidFill>
            <a:srgbClr val="691111"/>
          </a:solidFill>
          <a:ln>
            <a:noFill/>
          </a:ln>
          <a:effectLst>
            <a:glow rad="12700">
              <a:schemeClr val="tx1">
                <a:alpha val="80000"/>
              </a:schemeClr>
            </a:glow>
            <a:outerShdw sx="1000" sy="1000" algn="tl" rotWithShape="0">
              <a:srgbClr val="002060"/>
            </a:outerShdw>
          </a:effectLst>
          <a:scene3d>
            <a:camera prst="orthographicFront"/>
            <a:lightRig rig="threePt" dir="t"/>
          </a:scene3d>
          <a:sp3d>
            <a:bevelT w="31750" h="3175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>
              <a:latin typeface="Avenir"/>
            </a:endParaRPr>
          </a:p>
        </xdr:txBody>
      </xdr:sp>
      <xdr:pic>
        <xdr:nvPicPr>
          <xdr:cNvPr id="102" name="table">
            <a:extLst>
              <a:ext uri="{FF2B5EF4-FFF2-40B4-BE49-F238E27FC236}">
                <a16:creationId xmlns:a16="http://schemas.microsoft.com/office/drawing/2014/main" id="{19907DC4-E0DA-A366-C565-61FB1E16B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523134" y="4000521"/>
            <a:ext cx="2110928" cy="2057400"/>
          </a:xfrm>
          <a:prstGeom prst="rect">
            <a:avLst/>
          </a:prstGeom>
        </xdr:spPr>
      </xdr:pic>
      <xdr:sp macro="" textlink="">
        <xdr:nvSpPr>
          <xdr:cNvPr id="103" name="TextBox 20">
            <a:extLst>
              <a:ext uri="{FF2B5EF4-FFF2-40B4-BE49-F238E27FC236}">
                <a16:creationId xmlns:a16="http://schemas.microsoft.com/office/drawing/2014/main" id="{1DCB3DCE-B897-DB73-04FE-0C039E9F26E2}"/>
              </a:ext>
            </a:extLst>
          </xdr:cNvPr>
          <xdr:cNvSpPr txBox="1"/>
        </xdr:nvSpPr>
        <xdr:spPr>
          <a:xfrm>
            <a:off x="1561811" y="3721511"/>
            <a:ext cx="1252079" cy="1940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 b="0">
                <a:solidFill>
                  <a:srgbClr val="FFFF00"/>
                </a:solidFill>
                <a:latin typeface="Bahnschrift" panose="020B0502040204020203" pitchFamily="34" charset="0"/>
              </a:rPr>
              <a:t>Summary</a:t>
            </a:r>
            <a:endParaRPr lang="en-GB" sz="1000" b="0">
              <a:solidFill>
                <a:srgbClr val="FFFF00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4" name="Rectangle: Rounded Corners 103">
            <a:extLst>
              <a:ext uri="{FF2B5EF4-FFF2-40B4-BE49-F238E27FC236}">
                <a16:creationId xmlns:a16="http://schemas.microsoft.com/office/drawing/2014/main" id="{D1A33E24-840D-0A32-D704-066FB6393156}"/>
              </a:ext>
            </a:extLst>
          </xdr:cNvPr>
          <xdr:cNvSpPr/>
        </xdr:nvSpPr>
        <xdr:spPr>
          <a:xfrm>
            <a:off x="2942650" y="3722698"/>
            <a:ext cx="683555" cy="191645"/>
          </a:xfrm>
          <a:prstGeom prst="rect">
            <a:avLst/>
          </a:prstGeom>
          <a:solidFill>
            <a:srgbClr val="C00000"/>
          </a:solidFill>
          <a:ln>
            <a:noFill/>
          </a:ln>
          <a:scene3d>
            <a:camera prst="orthographicFront"/>
            <a:lightRig rig="threePt" dir="t"/>
          </a:scene3d>
          <a:sp3d>
            <a:bevelT w="12700"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>
              <a:solidFill>
                <a:srgbClr val="002340"/>
              </a:solidFill>
            </a:endParaRPr>
          </a:p>
        </xdr:txBody>
      </xdr:sp>
      <xdr:sp macro="" textlink="">
        <xdr:nvSpPr>
          <xdr:cNvPr id="105" name="TextBox 30">
            <a:extLst>
              <a:ext uri="{FF2B5EF4-FFF2-40B4-BE49-F238E27FC236}">
                <a16:creationId xmlns:a16="http://schemas.microsoft.com/office/drawing/2014/main" id="{D1E4B4AE-0422-2FAA-4E2A-4E7FF245886C}"/>
              </a:ext>
            </a:extLst>
          </xdr:cNvPr>
          <xdr:cNvSpPr txBox="1"/>
        </xdr:nvSpPr>
        <xdr:spPr>
          <a:xfrm>
            <a:off x="2989871" y="3735114"/>
            <a:ext cx="591087" cy="1291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 b="0">
                <a:solidFill>
                  <a:schemeClr val="bg1"/>
                </a:solidFill>
                <a:latin typeface="Bahnschrift" panose="020B0502040204020203" pitchFamily="34" charset="0"/>
              </a:rPr>
              <a:t>Investment</a:t>
            </a:r>
            <a:endParaRPr lang="en-GB" sz="800" b="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6" name="TextBox 43">
            <a:extLst>
              <a:ext uri="{FF2B5EF4-FFF2-40B4-BE49-F238E27FC236}">
                <a16:creationId xmlns:a16="http://schemas.microsoft.com/office/drawing/2014/main" id="{654AE265-542D-B802-C6BF-C3F1FC265B82}"/>
              </a:ext>
            </a:extLst>
          </xdr:cNvPr>
          <xdr:cNvSpPr txBox="1"/>
        </xdr:nvSpPr>
        <xdr:spPr>
          <a:xfrm>
            <a:off x="1512123" y="3995033"/>
            <a:ext cx="1003003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Cost of Capital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7" name="TextBox 44">
            <a:extLst>
              <a:ext uri="{FF2B5EF4-FFF2-40B4-BE49-F238E27FC236}">
                <a16:creationId xmlns:a16="http://schemas.microsoft.com/office/drawing/2014/main" id="{6B65CDCA-289F-1708-444D-E072B927A46C}"/>
              </a:ext>
            </a:extLst>
          </xdr:cNvPr>
          <xdr:cNvSpPr txBox="1"/>
        </xdr:nvSpPr>
        <xdr:spPr>
          <a:xfrm>
            <a:off x="1512123" y="4242566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Initial Investment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8" name="TextBox 45">
            <a:extLst>
              <a:ext uri="{FF2B5EF4-FFF2-40B4-BE49-F238E27FC236}">
                <a16:creationId xmlns:a16="http://schemas.microsoft.com/office/drawing/2014/main" id="{CC7EE3C8-975A-A8DF-ED42-37E877E7A720}"/>
              </a:ext>
            </a:extLst>
          </xdr:cNvPr>
          <xdr:cNvSpPr txBox="1"/>
        </xdr:nvSpPr>
        <xdr:spPr>
          <a:xfrm>
            <a:off x="1512122" y="4462463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Salvage Value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9" name="TextBox 46">
            <a:extLst>
              <a:ext uri="{FF2B5EF4-FFF2-40B4-BE49-F238E27FC236}">
                <a16:creationId xmlns:a16="http://schemas.microsoft.com/office/drawing/2014/main" id="{D014046E-B19B-DF5E-1062-309CFEC490E0}"/>
              </a:ext>
            </a:extLst>
          </xdr:cNvPr>
          <xdr:cNvSpPr txBox="1"/>
        </xdr:nvSpPr>
        <xdr:spPr>
          <a:xfrm>
            <a:off x="1512122" y="4689295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Revenue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0" name="TextBox 48">
            <a:extLst>
              <a:ext uri="{FF2B5EF4-FFF2-40B4-BE49-F238E27FC236}">
                <a16:creationId xmlns:a16="http://schemas.microsoft.com/office/drawing/2014/main" id="{B1704F17-217D-2163-A4B0-8BD34D8FFFD3}"/>
              </a:ext>
            </a:extLst>
          </xdr:cNvPr>
          <xdr:cNvSpPr txBox="1"/>
        </xdr:nvSpPr>
        <xdr:spPr>
          <a:xfrm>
            <a:off x="1512122" y="4914838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OPEX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1" name="TextBox 49">
            <a:extLst>
              <a:ext uri="{FF2B5EF4-FFF2-40B4-BE49-F238E27FC236}">
                <a16:creationId xmlns:a16="http://schemas.microsoft.com/office/drawing/2014/main" id="{FCE664A4-B84F-0B84-27BF-B7B21BC09A24}"/>
              </a:ext>
            </a:extLst>
          </xdr:cNvPr>
          <xdr:cNvSpPr txBox="1"/>
        </xdr:nvSpPr>
        <xdr:spPr>
          <a:xfrm>
            <a:off x="1512121" y="5140561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Inflasi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2" name="TextBox 50">
            <a:extLst>
              <a:ext uri="{FF2B5EF4-FFF2-40B4-BE49-F238E27FC236}">
                <a16:creationId xmlns:a16="http://schemas.microsoft.com/office/drawing/2014/main" id="{96CD254A-A091-257C-1263-ED79081A0B10}"/>
              </a:ext>
            </a:extLst>
          </xdr:cNvPr>
          <xdr:cNvSpPr txBox="1"/>
        </xdr:nvSpPr>
        <xdr:spPr>
          <a:xfrm>
            <a:off x="1512121" y="5373240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Tax Rate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C$6">
        <xdr:nvSpPr>
          <xdr:cNvPr id="113" name="TextBox 51">
            <a:extLst>
              <a:ext uri="{FF2B5EF4-FFF2-40B4-BE49-F238E27FC236}">
                <a16:creationId xmlns:a16="http://schemas.microsoft.com/office/drawing/2014/main" id="{FC69EE73-C258-0E7F-B10B-F267183C40B9}"/>
              </a:ext>
            </a:extLst>
          </xdr:cNvPr>
          <xdr:cNvSpPr txBox="1"/>
        </xdr:nvSpPr>
        <xdr:spPr>
          <a:xfrm>
            <a:off x="2810664" y="4007569"/>
            <a:ext cx="813357" cy="2296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BC594700-8DFD-439D-9BAD-329D17219E35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9.35%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D$6">
        <xdr:nvSpPr>
          <xdr:cNvPr id="114" name="TextBox 52">
            <a:extLst>
              <a:ext uri="{FF2B5EF4-FFF2-40B4-BE49-F238E27FC236}">
                <a16:creationId xmlns:a16="http://schemas.microsoft.com/office/drawing/2014/main" id="{1E30BF36-4D1E-D19B-74AD-5C268CB17965}"/>
              </a:ext>
            </a:extLst>
          </xdr:cNvPr>
          <xdr:cNvSpPr txBox="1"/>
        </xdr:nvSpPr>
        <xdr:spPr>
          <a:xfrm>
            <a:off x="2580401" y="4237144"/>
            <a:ext cx="813357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3B11E14D-7D29-4A30-B931-727F463E94AA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 Rp40.00 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5" name="TextBox 53">
            <a:extLst>
              <a:ext uri="{FF2B5EF4-FFF2-40B4-BE49-F238E27FC236}">
                <a16:creationId xmlns:a16="http://schemas.microsoft.com/office/drawing/2014/main" id="{35FA4D05-4055-6E2A-2F47-53D7DEFA8169}"/>
              </a:ext>
            </a:extLst>
          </xdr:cNvPr>
          <xdr:cNvSpPr txBox="1"/>
        </xdr:nvSpPr>
        <xdr:spPr>
          <a:xfrm>
            <a:off x="3223609" y="4264803"/>
            <a:ext cx="416720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Billion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E$6">
        <xdr:nvSpPr>
          <xdr:cNvPr id="116" name="TextBox 55">
            <a:extLst>
              <a:ext uri="{FF2B5EF4-FFF2-40B4-BE49-F238E27FC236}">
                <a16:creationId xmlns:a16="http://schemas.microsoft.com/office/drawing/2014/main" id="{A24792AC-06A3-B1A4-672A-2054003FEA45}"/>
              </a:ext>
            </a:extLst>
          </xdr:cNvPr>
          <xdr:cNvSpPr txBox="1"/>
        </xdr:nvSpPr>
        <xdr:spPr>
          <a:xfrm>
            <a:off x="2693354" y="4464722"/>
            <a:ext cx="690556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638DD358-F09B-4BEC-AC24-73A04652CE3F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 Rp4.00 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F$6">
        <xdr:nvSpPr>
          <xdr:cNvPr id="117" name="TextBox 57">
            <a:extLst>
              <a:ext uri="{FF2B5EF4-FFF2-40B4-BE49-F238E27FC236}">
                <a16:creationId xmlns:a16="http://schemas.microsoft.com/office/drawing/2014/main" id="{6A124876-64D9-0107-6FD1-E7CED09EFB16}"/>
              </a:ext>
            </a:extLst>
          </xdr:cNvPr>
          <xdr:cNvSpPr txBox="1"/>
        </xdr:nvSpPr>
        <xdr:spPr>
          <a:xfrm>
            <a:off x="2580261" y="4692206"/>
            <a:ext cx="813357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59C2445D-56F1-4074-BEAD-D8ECDE74F70E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 Rp333.13 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8" name="TextBox 59">
            <a:extLst>
              <a:ext uri="{FF2B5EF4-FFF2-40B4-BE49-F238E27FC236}">
                <a16:creationId xmlns:a16="http://schemas.microsoft.com/office/drawing/2014/main" id="{0B04977C-32EB-F2F5-FF0D-16A3DA33F8E3}"/>
              </a:ext>
            </a:extLst>
          </xdr:cNvPr>
          <xdr:cNvSpPr txBox="1"/>
        </xdr:nvSpPr>
        <xdr:spPr>
          <a:xfrm>
            <a:off x="3217342" y="4492583"/>
            <a:ext cx="416720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Billion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9" name="TextBox 60">
            <a:extLst>
              <a:ext uri="{FF2B5EF4-FFF2-40B4-BE49-F238E27FC236}">
                <a16:creationId xmlns:a16="http://schemas.microsoft.com/office/drawing/2014/main" id="{A77F159D-6499-C002-9EAB-E737D3C4DD1E}"/>
              </a:ext>
            </a:extLst>
          </xdr:cNvPr>
          <xdr:cNvSpPr txBox="1"/>
        </xdr:nvSpPr>
        <xdr:spPr>
          <a:xfrm>
            <a:off x="3223608" y="4714849"/>
            <a:ext cx="416720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Billion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20" name="TextBox 61">
            <a:extLst>
              <a:ext uri="{FF2B5EF4-FFF2-40B4-BE49-F238E27FC236}">
                <a16:creationId xmlns:a16="http://schemas.microsoft.com/office/drawing/2014/main" id="{6A61F416-3A47-6517-EB5B-B0118EFBF586}"/>
              </a:ext>
            </a:extLst>
          </xdr:cNvPr>
          <xdr:cNvSpPr txBox="1"/>
        </xdr:nvSpPr>
        <xdr:spPr>
          <a:xfrm>
            <a:off x="3217342" y="4945398"/>
            <a:ext cx="416720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Billion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G$6">
        <xdr:nvSpPr>
          <xdr:cNvPr id="121" name="TextBox 62">
            <a:extLst>
              <a:ext uri="{FF2B5EF4-FFF2-40B4-BE49-F238E27FC236}">
                <a16:creationId xmlns:a16="http://schemas.microsoft.com/office/drawing/2014/main" id="{9FB51D99-8F63-662B-61D6-A081A4A8AAFE}"/>
              </a:ext>
            </a:extLst>
          </xdr:cNvPr>
          <xdr:cNvSpPr txBox="1"/>
        </xdr:nvSpPr>
        <xdr:spPr>
          <a:xfrm>
            <a:off x="2580261" y="4919784"/>
            <a:ext cx="813357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9264C09E-1E17-478B-8EE6-6BCB6AC93BAD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 Rp220.07 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H$6">
        <xdr:nvSpPr>
          <xdr:cNvPr id="122" name="TextBox 63">
            <a:extLst>
              <a:ext uri="{FF2B5EF4-FFF2-40B4-BE49-F238E27FC236}">
                <a16:creationId xmlns:a16="http://schemas.microsoft.com/office/drawing/2014/main" id="{CF20A32E-70BD-5523-0D81-DF2C57A6811F}"/>
              </a:ext>
            </a:extLst>
          </xdr:cNvPr>
          <xdr:cNvSpPr txBox="1"/>
        </xdr:nvSpPr>
        <xdr:spPr>
          <a:xfrm>
            <a:off x="2826829" y="5146965"/>
            <a:ext cx="813357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7CF361B9-6321-4A2D-85CE-75827AC32C46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3.50%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23" name="TextBox 50">
            <a:extLst>
              <a:ext uri="{FF2B5EF4-FFF2-40B4-BE49-F238E27FC236}">
                <a16:creationId xmlns:a16="http://schemas.microsoft.com/office/drawing/2014/main" id="{3EDC2B9E-CD3F-C36C-9859-A69768676604}"/>
              </a:ext>
            </a:extLst>
          </xdr:cNvPr>
          <xdr:cNvSpPr txBox="1"/>
        </xdr:nvSpPr>
        <xdr:spPr>
          <a:xfrm>
            <a:off x="1512121" y="5600874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Duration Project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24" name="TextBox 65">
            <a:extLst>
              <a:ext uri="{FF2B5EF4-FFF2-40B4-BE49-F238E27FC236}">
                <a16:creationId xmlns:a16="http://schemas.microsoft.com/office/drawing/2014/main" id="{C913BF93-7360-7005-DAA1-20B6A52702CF}"/>
              </a:ext>
            </a:extLst>
          </xdr:cNvPr>
          <xdr:cNvSpPr txBox="1"/>
        </xdr:nvSpPr>
        <xdr:spPr>
          <a:xfrm>
            <a:off x="3233169" y="5623815"/>
            <a:ext cx="397598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Tahun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I$6">
        <xdr:nvSpPr>
          <xdr:cNvPr id="125" name="TextBox 63">
            <a:extLst>
              <a:ext uri="{FF2B5EF4-FFF2-40B4-BE49-F238E27FC236}">
                <a16:creationId xmlns:a16="http://schemas.microsoft.com/office/drawing/2014/main" id="{06694C13-E1D7-91B3-F584-E81B65EADFB6}"/>
              </a:ext>
            </a:extLst>
          </xdr:cNvPr>
          <xdr:cNvSpPr txBox="1"/>
        </xdr:nvSpPr>
        <xdr:spPr>
          <a:xfrm>
            <a:off x="2993320" y="5366347"/>
            <a:ext cx="646866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D42D4811-AE6C-43B2-AEC5-B8951C74B50A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25%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J$6">
        <xdr:nvSpPr>
          <xdr:cNvPr id="126" name="TextBox 63">
            <a:extLst>
              <a:ext uri="{FF2B5EF4-FFF2-40B4-BE49-F238E27FC236}">
                <a16:creationId xmlns:a16="http://schemas.microsoft.com/office/drawing/2014/main" id="{BE40F5F6-0553-D74C-723B-6220AC5BE9AE}"/>
              </a:ext>
            </a:extLst>
          </xdr:cNvPr>
          <xdr:cNvSpPr txBox="1"/>
        </xdr:nvSpPr>
        <xdr:spPr>
          <a:xfrm>
            <a:off x="2896654" y="5593528"/>
            <a:ext cx="48994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F8579602-4DB2-4673-90D3-F80D87A6BEB4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15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116113</xdr:colOff>
      <xdr:row>15</xdr:row>
      <xdr:rowOff>156061</xdr:rowOff>
    </xdr:from>
    <xdr:to>
      <xdr:col>5</xdr:col>
      <xdr:colOff>54200</xdr:colOff>
      <xdr:row>26</xdr:row>
      <xdr:rowOff>53978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BEDE985B-A3B8-4FDE-A806-B773B51491E9}"/>
            </a:ext>
          </a:extLst>
        </xdr:cNvPr>
        <xdr:cNvGrpSpPr/>
      </xdr:nvGrpSpPr>
      <xdr:grpSpPr>
        <a:xfrm>
          <a:off x="116113" y="3108811"/>
          <a:ext cx="3240087" cy="2063267"/>
          <a:chOff x="1174274" y="3725784"/>
          <a:chExt cx="3224631" cy="1995838"/>
        </a:xfrm>
        <a:effectLst>
          <a:outerShdw blurRad="50800" dist="50800" dir="5400000" algn="ctr" rotWithShape="0">
            <a:srgbClr val="000000">
              <a:alpha val="40000"/>
            </a:srgbClr>
          </a:outerShdw>
        </a:effectLst>
      </xdr:grpSpPr>
      <xdr:sp macro="" textlink="">
        <xdr:nvSpPr>
          <xdr:cNvPr id="128" name="Rectangle: Rounded Corners 127">
            <a:extLst>
              <a:ext uri="{FF2B5EF4-FFF2-40B4-BE49-F238E27FC236}">
                <a16:creationId xmlns:a16="http://schemas.microsoft.com/office/drawing/2014/main" id="{C859DEFA-4F1C-AE0D-451A-9BC70831255D}"/>
              </a:ext>
            </a:extLst>
          </xdr:cNvPr>
          <xdr:cNvSpPr/>
        </xdr:nvSpPr>
        <xdr:spPr>
          <a:xfrm>
            <a:off x="1174274" y="3725784"/>
            <a:ext cx="3224631" cy="1995838"/>
          </a:xfrm>
          <a:prstGeom prst="rect">
            <a:avLst/>
          </a:prstGeom>
          <a:solidFill>
            <a:srgbClr val="00193A">
              <a:alpha val="60000"/>
            </a:srgbClr>
          </a:solidFill>
          <a:ln>
            <a:noFill/>
          </a:ln>
          <a:effectLst>
            <a:glow>
              <a:schemeClr val="tx1"/>
            </a:glow>
            <a:outerShdw blurRad="50800" dist="50800" dir="5400000" algn="tl" rotWithShape="0">
              <a:schemeClr val="tx1"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25400" h="254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>
              <a:latin typeface="Avenir"/>
            </a:endParaRPr>
          </a:p>
        </xdr:txBody>
      </xdr:sp>
      <xdr:sp macro="" textlink="">
        <xdr:nvSpPr>
          <xdr:cNvPr id="129" name="TextBox 20">
            <a:extLst>
              <a:ext uri="{FF2B5EF4-FFF2-40B4-BE49-F238E27FC236}">
                <a16:creationId xmlns:a16="http://schemas.microsoft.com/office/drawing/2014/main" id="{09A03979-E6B7-A281-8218-DFAD89B6F6FD}"/>
              </a:ext>
            </a:extLst>
          </xdr:cNvPr>
          <xdr:cNvSpPr txBox="1"/>
        </xdr:nvSpPr>
        <xdr:spPr>
          <a:xfrm>
            <a:off x="1381215" y="3831530"/>
            <a:ext cx="1581953" cy="1940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 b="0">
                <a:solidFill>
                  <a:schemeClr val="bg1"/>
                </a:solidFill>
                <a:latin typeface="Bahnschrift" panose="020B0502040204020203" pitchFamily="34" charset="0"/>
              </a:rPr>
              <a:t>Detail Financial Score</a:t>
            </a:r>
            <a:endParaRPr lang="en-GB" sz="1000" b="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130" name="Chart 129">
            <a:extLst>
              <a:ext uri="{FF2B5EF4-FFF2-40B4-BE49-F238E27FC236}">
                <a16:creationId xmlns:a16="http://schemas.microsoft.com/office/drawing/2014/main" id="{5AFF9F0C-A23E-74A2-21FD-FEB58C8C1CD0}"/>
              </a:ext>
            </a:extLst>
          </xdr:cNvPr>
          <xdr:cNvGraphicFramePr>
            <a:graphicFrameLocks/>
          </xdr:cNvGraphicFramePr>
        </xdr:nvGraphicFramePr>
        <xdr:xfrm>
          <a:off x="1209837" y="4123213"/>
          <a:ext cx="1759023" cy="15765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pic>
        <xdr:nvPicPr>
          <xdr:cNvPr id="131" name="Graphic 130">
            <a:extLst>
              <a:ext uri="{FF2B5EF4-FFF2-40B4-BE49-F238E27FC236}">
                <a16:creationId xmlns:a16="http://schemas.microsoft.com/office/drawing/2014/main" id="{763EDA8F-91DB-2CE7-8504-AD8FBB2C5E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extLs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3016951" y="4069673"/>
            <a:ext cx="1209675" cy="1401343"/>
          </a:xfrm>
          <a:prstGeom prst="rect">
            <a:avLst/>
          </a:prstGeom>
        </xdr:spPr>
      </xdr:pic>
      <xdr:grpSp>
        <xdr:nvGrpSpPr>
          <xdr:cNvPr id="132" name="Group 131">
            <a:extLst>
              <a:ext uri="{FF2B5EF4-FFF2-40B4-BE49-F238E27FC236}">
                <a16:creationId xmlns:a16="http://schemas.microsoft.com/office/drawing/2014/main" id="{C0C49DBE-7FB5-931C-EBE3-3D205BFB8ED6}"/>
              </a:ext>
            </a:extLst>
          </xdr:cNvPr>
          <xdr:cNvGrpSpPr/>
        </xdr:nvGrpSpPr>
        <xdr:grpSpPr>
          <a:xfrm>
            <a:off x="2985046" y="4306958"/>
            <a:ext cx="1170328" cy="1363639"/>
            <a:chOff x="6914001" y="2335787"/>
            <a:chExt cx="1170328" cy="1363639"/>
          </a:xfrm>
        </xdr:grpSpPr>
        <xdr:sp macro="" textlink="PivotTable!$AC$6">
          <xdr:nvSpPr>
            <xdr:cNvPr id="133" name="TextBox 51">
              <a:extLst>
                <a:ext uri="{FF2B5EF4-FFF2-40B4-BE49-F238E27FC236}">
                  <a16:creationId xmlns:a16="http://schemas.microsoft.com/office/drawing/2014/main" id="{D220185E-FD95-E29E-DFCF-C0CD5E2BEA1E}"/>
                </a:ext>
              </a:extLst>
            </xdr:cNvPr>
            <xdr:cNvSpPr txBox="1"/>
          </xdr:nvSpPr>
          <xdr:spPr>
            <a:xfrm>
              <a:off x="7631288" y="2335787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E54871E-D2DD-4192-B178-AAB1AA8AE43F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0.6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7">
          <xdr:nvSpPr>
            <xdr:cNvPr id="134" name="TextBox 51">
              <a:extLst>
                <a:ext uri="{FF2B5EF4-FFF2-40B4-BE49-F238E27FC236}">
                  <a16:creationId xmlns:a16="http://schemas.microsoft.com/office/drawing/2014/main" id="{5AED7F06-640E-4000-34B6-A56FCC0CA221}"/>
                </a:ext>
              </a:extLst>
            </xdr:cNvPr>
            <xdr:cNvSpPr txBox="1"/>
          </xdr:nvSpPr>
          <xdr:spPr>
            <a:xfrm>
              <a:off x="7631288" y="2579085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C3A36FF-6EB2-486A-BEE8-546BDF184536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0.6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8">
          <xdr:nvSpPr>
            <xdr:cNvPr id="135" name="TextBox 51">
              <a:extLst>
                <a:ext uri="{FF2B5EF4-FFF2-40B4-BE49-F238E27FC236}">
                  <a16:creationId xmlns:a16="http://schemas.microsoft.com/office/drawing/2014/main" id="{D24A43BE-9BB3-AA9D-C2D3-099DB2F5965F}"/>
                </a:ext>
              </a:extLst>
            </xdr:cNvPr>
            <xdr:cNvSpPr txBox="1"/>
          </xdr:nvSpPr>
          <xdr:spPr>
            <a:xfrm>
              <a:off x="7631288" y="2798639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75348A2-7F93-46C1-86D6-479D81A80A12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0.24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9">
          <xdr:nvSpPr>
            <xdr:cNvPr id="136" name="TextBox 51">
              <a:extLst>
                <a:ext uri="{FF2B5EF4-FFF2-40B4-BE49-F238E27FC236}">
                  <a16:creationId xmlns:a16="http://schemas.microsoft.com/office/drawing/2014/main" id="{251896A4-AC8A-95C7-8BE1-C8FFCE162E78}"/>
                </a:ext>
              </a:extLst>
            </xdr:cNvPr>
            <xdr:cNvSpPr txBox="1"/>
          </xdr:nvSpPr>
          <xdr:spPr>
            <a:xfrm>
              <a:off x="7631288" y="3026705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9F5BAFA-4000-43CE-B3E8-F542ED71ED76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0.16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10">
          <xdr:nvSpPr>
            <xdr:cNvPr id="137" name="TextBox 51">
              <a:extLst>
                <a:ext uri="{FF2B5EF4-FFF2-40B4-BE49-F238E27FC236}">
                  <a16:creationId xmlns:a16="http://schemas.microsoft.com/office/drawing/2014/main" id="{A1A30394-DECE-EC51-1358-A10A5BDC4871}"/>
                </a:ext>
              </a:extLst>
            </xdr:cNvPr>
            <xdr:cNvSpPr txBox="1"/>
          </xdr:nvSpPr>
          <xdr:spPr>
            <a:xfrm>
              <a:off x="7631288" y="3254771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D9F3D7B-F1D5-4B7F-9047-E452A7DB67B4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0.5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10">
          <xdr:nvSpPr>
            <xdr:cNvPr id="16" name="TextBox 51">
              <a:extLst>
                <a:ext uri="{FF2B5EF4-FFF2-40B4-BE49-F238E27FC236}">
                  <a16:creationId xmlns:a16="http://schemas.microsoft.com/office/drawing/2014/main" id="{61E7C98D-1BDC-00ED-8093-78A06C0CECF5}"/>
                </a:ext>
              </a:extLst>
            </xdr:cNvPr>
            <xdr:cNvSpPr txBox="1"/>
          </xdr:nvSpPr>
          <xdr:spPr>
            <a:xfrm>
              <a:off x="6914001" y="3469759"/>
              <a:ext cx="49095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1" i="0" u="none" strike="noStrike">
                  <a:solidFill>
                    <a:srgbClr val="FFFFFF"/>
                  </a:solidFill>
                  <a:latin typeface="Bahnschrift"/>
                </a:rPr>
                <a:t>Total</a:t>
              </a:r>
              <a:endParaRPr lang="en-ID" sz="900" b="1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N$6">
          <xdr:nvSpPr>
            <xdr:cNvPr id="151" name="TextBox 51">
              <a:extLst>
                <a:ext uri="{FF2B5EF4-FFF2-40B4-BE49-F238E27FC236}">
                  <a16:creationId xmlns:a16="http://schemas.microsoft.com/office/drawing/2014/main" id="{98B800DA-7489-3DAC-3382-F16682385D87}"/>
                </a:ext>
              </a:extLst>
            </xdr:cNvPr>
            <xdr:cNvSpPr txBox="1"/>
          </xdr:nvSpPr>
          <xdr:spPr>
            <a:xfrm>
              <a:off x="7593371" y="3469759"/>
              <a:ext cx="49095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36C6F82-81DC-448A-89E8-5F09039D1789}" type="TxLink">
                <a:rPr lang="en-US" sz="900" b="1" i="0" u="none" strike="noStrike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rPr>
                <a:pPr algn="ctr"/>
                <a:t>2.1</a:t>
              </a:fld>
              <a:endParaRPr lang="en-ID" sz="900" b="1">
                <a:solidFill>
                  <a:schemeClr val="accent5">
                    <a:lumMod val="20000"/>
                    <a:lumOff val="80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5</xdr:col>
      <xdr:colOff>64092</xdr:colOff>
      <xdr:row>15</xdr:row>
      <xdr:rowOff>154472</xdr:rowOff>
    </xdr:from>
    <xdr:to>
      <xdr:col>10</xdr:col>
      <xdr:colOff>42659</xdr:colOff>
      <xdr:row>26</xdr:row>
      <xdr:rowOff>60325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A91A8600-3C30-4CE3-83B1-54589A509084}"/>
            </a:ext>
          </a:extLst>
        </xdr:cNvPr>
        <xdr:cNvGrpSpPr/>
      </xdr:nvGrpSpPr>
      <xdr:grpSpPr>
        <a:xfrm>
          <a:off x="3366092" y="3107222"/>
          <a:ext cx="3280567" cy="2071203"/>
          <a:chOff x="5527497" y="2890940"/>
          <a:chExt cx="3278900" cy="2068940"/>
        </a:xfrm>
        <a:effectLst>
          <a:outerShdw blurRad="50800" dist="50800" dir="5400000" algn="ctr" rotWithShape="0">
            <a:srgbClr val="000000">
              <a:alpha val="40000"/>
            </a:srgbClr>
          </a:outerShdw>
        </a:effectLst>
      </xdr:grpSpPr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4997A9B9-A4CB-49FE-0B75-1E8CEC07BFF7}"/>
              </a:ext>
            </a:extLst>
          </xdr:cNvPr>
          <xdr:cNvGrpSpPr/>
        </xdr:nvGrpSpPr>
        <xdr:grpSpPr>
          <a:xfrm>
            <a:off x="5527497" y="2890940"/>
            <a:ext cx="3278900" cy="2068940"/>
            <a:chOff x="5527497" y="2890939"/>
            <a:chExt cx="3278899" cy="2068939"/>
          </a:xfrm>
        </xdr:grpSpPr>
        <xdr:sp macro="" textlink="">
          <xdr:nvSpPr>
            <xdr:cNvPr id="146" name="Rectangle: Rounded Corners 145">
              <a:extLst>
                <a:ext uri="{FF2B5EF4-FFF2-40B4-BE49-F238E27FC236}">
                  <a16:creationId xmlns:a16="http://schemas.microsoft.com/office/drawing/2014/main" id="{957FB0BB-435C-CF86-F519-C5BD48515CCD}"/>
                </a:ext>
              </a:extLst>
            </xdr:cNvPr>
            <xdr:cNvSpPr/>
          </xdr:nvSpPr>
          <xdr:spPr>
            <a:xfrm>
              <a:off x="5527497" y="2890939"/>
              <a:ext cx="3278899" cy="2068939"/>
            </a:xfrm>
            <a:prstGeom prst="rect">
              <a:avLst/>
            </a:prstGeom>
            <a:solidFill>
              <a:srgbClr val="00193A">
                <a:alpha val="60000"/>
              </a:srgbClr>
            </a:solidFill>
            <a:ln>
              <a:noFill/>
            </a:ln>
            <a:effectLst>
              <a:glow>
                <a:schemeClr val="tx1"/>
              </a:glow>
              <a:outerShdw blurRad="50800" dist="50800" dir="5400000" algn="ctr" rotWithShape="0">
                <a:srgbClr val="000000">
                  <a:alpha val="40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25400" h="25400"/>
            </a:sp3d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>
                <a:latin typeface="Avenir"/>
              </a:endParaRPr>
            </a:p>
          </xdr:txBody>
        </xdr:sp>
        <xdr:sp macro="" textlink="">
          <xdr:nvSpPr>
            <xdr:cNvPr id="147" name="TextBox 20">
              <a:extLst>
                <a:ext uri="{FF2B5EF4-FFF2-40B4-BE49-F238E27FC236}">
                  <a16:creationId xmlns:a16="http://schemas.microsoft.com/office/drawing/2014/main" id="{684C93F4-9B45-AA02-8F71-F575BC51A871}"/>
                </a:ext>
              </a:extLst>
            </xdr:cNvPr>
            <xdr:cNvSpPr txBox="1"/>
          </xdr:nvSpPr>
          <xdr:spPr>
            <a:xfrm>
              <a:off x="5755686" y="3042762"/>
              <a:ext cx="1597172" cy="19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36000" tIns="36000" rIns="36000" bIns="36000" rtlCol="0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000" b="0">
                  <a:solidFill>
                    <a:schemeClr val="bg1"/>
                  </a:solidFill>
                  <a:latin typeface="Bahnschrift" panose="020B0502040204020203" pitchFamily="34" charset="0"/>
                </a:rPr>
                <a:t>Detail Safety Score</a:t>
              </a:r>
              <a:endParaRPr lang="en-GB" sz="1000" b="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graphicFrame macro="">
          <xdr:nvGraphicFramePr>
            <xdr:cNvPr id="148" name="Chart 147">
              <a:extLst>
                <a:ext uri="{FF2B5EF4-FFF2-40B4-BE49-F238E27FC236}">
                  <a16:creationId xmlns:a16="http://schemas.microsoft.com/office/drawing/2014/main" id="{AA580D05-72A1-332D-0113-473FD8A36E10}"/>
                </a:ext>
              </a:extLst>
            </xdr:cNvPr>
            <xdr:cNvGraphicFramePr>
              <a:graphicFrameLocks/>
            </xdr:cNvGraphicFramePr>
          </xdr:nvGraphicFramePr>
          <xdr:xfrm>
            <a:off x="5575181" y="3276896"/>
            <a:ext cx="1931520" cy="15349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pic>
          <xdr:nvPicPr>
            <xdr:cNvPr id="149" name="Graphic 148">
              <a:extLst>
                <a:ext uri="{FF2B5EF4-FFF2-40B4-BE49-F238E27FC236}">
                  <a16:creationId xmlns:a16="http://schemas.microsoft.com/office/drawing/2014/main" id="{4637B4B4-11C3-1B4C-8839-3FD8736911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>
              <a:extLst>
                <a:ext uri="{96DAC541-7B7A-43D3-8B79-37D633B846F1}">
                  <asvg:svgBlip xmlns:asvg="http://schemas.microsoft.com/office/drawing/2016/SVG/main" r:embed="rId24"/>
                </a:ext>
              </a:extLst>
            </a:blip>
            <a:stretch>
              <a:fillRect/>
            </a:stretch>
          </xdr:blipFill>
          <xdr:spPr>
            <a:xfrm>
              <a:off x="7480520" y="3265589"/>
              <a:ext cx="1209675" cy="1390650"/>
            </a:xfrm>
            <a:prstGeom prst="rect">
              <a:avLst/>
            </a:prstGeom>
          </xdr:spPr>
        </xdr:pic>
      </xdr:grpSp>
      <xdr:grpSp>
        <xdr:nvGrpSpPr>
          <xdr:cNvPr id="140" name="Group 139">
            <a:extLst>
              <a:ext uri="{FF2B5EF4-FFF2-40B4-BE49-F238E27FC236}">
                <a16:creationId xmlns:a16="http://schemas.microsoft.com/office/drawing/2014/main" id="{28F8B1B4-2BEC-EB36-E705-DC736028028C}"/>
              </a:ext>
            </a:extLst>
          </xdr:cNvPr>
          <xdr:cNvGrpSpPr/>
        </xdr:nvGrpSpPr>
        <xdr:grpSpPr>
          <a:xfrm>
            <a:off x="7502906" y="3483315"/>
            <a:ext cx="1098475" cy="1378588"/>
            <a:chOff x="6974444" y="2339302"/>
            <a:chExt cx="1098475" cy="1378588"/>
          </a:xfrm>
        </xdr:grpSpPr>
        <xdr:sp macro="" textlink="PivotTable!$AF$6">
          <xdr:nvSpPr>
            <xdr:cNvPr id="141" name="TextBox 51">
              <a:extLst>
                <a:ext uri="{FF2B5EF4-FFF2-40B4-BE49-F238E27FC236}">
                  <a16:creationId xmlns:a16="http://schemas.microsoft.com/office/drawing/2014/main" id="{3D02FB07-4405-054E-4799-F7092C342484}"/>
                </a:ext>
              </a:extLst>
            </xdr:cNvPr>
            <xdr:cNvSpPr txBox="1"/>
          </xdr:nvSpPr>
          <xdr:spPr>
            <a:xfrm>
              <a:off x="7663071" y="2339302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BEAE37-B3B9-4CE5-A393-290D5E3B667F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0.48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7">
          <xdr:nvSpPr>
            <xdr:cNvPr id="142" name="TextBox 51">
              <a:extLst>
                <a:ext uri="{FF2B5EF4-FFF2-40B4-BE49-F238E27FC236}">
                  <a16:creationId xmlns:a16="http://schemas.microsoft.com/office/drawing/2014/main" id="{98DE458E-57AA-B42C-75FC-8483CB2EDA7F}"/>
                </a:ext>
              </a:extLst>
            </xdr:cNvPr>
            <xdr:cNvSpPr txBox="1"/>
          </xdr:nvSpPr>
          <xdr:spPr>
            <a:xfrm>
              <a:off x="7663071" y="2582600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3A23C1-7CE4-4662-9E82-5C344CEBF450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0.48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8">
          <xdr:nvSpPr>
            <xdr:cNvPr id="143" name="TextBox 51">
              <a:extLst>
                <a:ext uri="{FF2B5EF4-FFF2-40B4-BE49-F238E27FC236}">
                  <a16:creationId xmlns:a16="http://schemas.microsoft.com/office/drawing/2014/main" id="{08C0541E-D89E-668C-1B4C-679A54C460ED}"/>
                </a:ext>
              </a:extLst>
            </xdr:cNvPr>
            <xdr:cNvSpPr txBox="1"/>
          </xdr:nvSpPr>
          <xdr:spPr>
            <a:xfrm>
              <a:off x="7663071" y="2802155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9EF9D9-2407-41E4-A6E8-410BA00806E4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0.5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9">
          <xdr:nvSpPr>
            <xdr:cNvPr id="144" name="TextBox 51">
              <a:extLst>
                <a:ext uri="{FF2B5EF4-FFF2-40B4-BE49-F238E27FC236}">
                  <a16:creationId xmlns:a16="http://schemas.microsoft.com/office/drawing/2014/main" id="{3EC35538-7CF4-ED49-6134-C893C2F21E23}"/>
                </a:ext>
              </a:extLst>
            </xdr:cNvPr>
            <xdr:cNvSpPr txBox="1"/>
          </xdr:nvSpPr>
          <xdr:spPr>
            <a:xfrm>
              <a:off x="7663071" y="3030220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C5DFD3A-D557-4529-8472-F0664913765B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0.4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10">
          <xdr:nvSpPr>
            <xdr:cNvPr id="145" name="TextBox 51">
              <a:extLst>
                <a:ext uri="{FF2B5EF4-FFF2-40B4-BE49-F238E27FC236}">
                  <a16:creationId xmlns:a16="http://schemas.microsoft.com/office/drawing/2014/main" id="{4CE5639D-825A-3977-2435-702EA6058896}"/>
                </a:ext>
              </a:extLst>
            </xdr:cNvPr>
            <xdr:cNvSpPr txBox="1"/>
          </xdr:nvSpPr>
          <xdr:spPr>
            <a:xfrm>
              <a:off x="7663071" y="3258287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D17FE0C-7520-48B1-AFD3-4D8301502A85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0.24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10">
          <xdr:nvSpPr>
            <xdr:cNvPr id="153" name="TextBox 51">
              <a:extLst>
                <a:ext uri="{FF2B5EF4-FFF2-40B4-BE49-F238E27FC236}">
                  <a16:creationId xmlns:a16="http://schemas.microsoft.com/office/drawing/2014/main" id="{FAECAED1-00A0-DC03-F299-49FB328E786A}"/>
                </a:ext>
              </a:extLst>
            </xdr:cNvPr>
            <xdr:cNvSpPr txBox="1"/>
          </xdr:nvSpPr>
          <xdr:spPr>
            <a:xfrm>
              <a:off x="6974444" y="3488223"/>
              <a:ext cx="492893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1" i="0" u="none" strike="noStrike">
                  <a:solidFill>
                    <a:srgbClr val="FFFFFF"/>
                  </a:solidFill>
                  <a:latin typeface="Bahnschrift"/>
                </a:rPr>
                <a:t>Total</a:t>
              </a:r>
              <a:endParaRPr lang="en-ID" sz="900" b="1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M$6">
          <xdr:nvSpPr>
            <xdr:cNvPr id="155" name="TextBox 51">
              <a:extLst>
                <a:ext uri="{FF2B5EF4-FFF2-40B4-BE49-F238E27FC236}">
                  <a16:creationId xmlns:a16="http://schemas.microsoft.com/office/drawing/2014/main" id="{E9D8A9DC-2585-7CE6-5DD8-CF0C52AD539C}"/>
                </a:ext>
              </a:extLst>
            </xdr:cNvPr>
            <xdr:cNvSpPr txBox="1"/>
          </xdr:nvSpPr>
          <xdr:spPr>
            <a:xfrm>
              <a:off x="7666241" y="3488223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306F858-4701-4047-AF85-17C4BC0CB6C5}" type="TxLink">
                <a:rPr lang="en-US" sz="900" b="1" i="0" u="none" strike="noStrike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rPr>
                <a:pPr algn="ctr"/>
                <a:t>2.1</a:t>
              </a:fld>
              <a:endParaRPr lang="en-ID" sz="900" b="1">
                <a:solidFill>
                  <a:schemeClr val="accent5">
                    <a:lumMod val="20000"/>
                    <a:lumOff val="80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10</xdr:col>
      <xdr:colOff>230819</xdr:colOff>
      <xdr:row>17</xdr:row>
      <xdr:rowOff>80879</xdr:rowOff>
    </xdr:from>
    <xdr:to>
      <xdr:col>17</xdr:col>
      <xdr:colOff>77571</xdr:colOff>
      <xdr:row>26</xdr:row>
      <xdr:rowOff>51361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91FAF7BF-7FDE-4154-BCB6-1CD720332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578936</xdr:colOff>
      <xdr:row>1</xdr:row>
      <xdr:rowOff>174198</xdr:rowOff>
    </xdr:from>
    <xdr:to>
      <xdr:col>14</xdr:col>
      <xdr:colOff>26139</xdr:colOff>
      <xdr:row>1</xdr:row>
      <xdr:rowOff>177798</xdr:rowOff>
    </xdr:to>
    <xdr:sp macro="" textlink="">
      <xdr:nvSpPr>
        <xdr:cNvPr id="154" name="Rectangle: Rounded Corners 153">
          <a:extLst>
            <a:ext uri="{FF2B5EF4-FFF2-40B4-BE49-F238E27FC236}">
              <a16:creationId xmlns:a16="http://schemas.microsoft.com/office/drawing/2014/main" id="{9CF1CCFA-647C-499B-94C8-E4B03AF7FD7A}"/>
            </a:ext>
          </a:extLst>
        </xdr:cNvPr>
        <xdr:cNvSpPr/>
      </xdr:nvSpPr>
      <xdr:spPr>
        <a:xfrm rot="10800000">
          <a:off x="9166034" y="371267"/>
          <a:ext cx="107749" cy="36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 w="6350">
          <a:solidFill>
            <a:schemeClr val="accent2">
              <a:lumMod val="60000"/>
              <a:lumOff val="40000"/>
            </a:schemeClr>
          </a:solidFill>
        </a:ln>
        <a:scene3d>
          <a:camera prst="orthographicFront"/>
          <a:lightRig rig="threePt" dir="t"/>
        </a:scene3d>
        <a:sp3d>
          <a:bevelT w="6350" h="63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119465</xdr:colOff>
      <xdr:row>54</xdr:row>
      <xdr:rowOff>187423</xdr:rowOff>
    </xdr:from>
    <xdr:to>
      <xdr:col>17</xdr:col>
      <xdr:colOff>478313</xdr:colOff>
      <xdr:row>64</xdr:row>
      <xdr:rowOff>22669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4B0C62B2-28AD-6603-E412-314D55C337E2}"/>
            </a:ext>
          </a:extLst>
        </xdr:cNvPr>
        <xdr:cNvSpPr/>
      </xdr:nvSpPr>
      <xdr:spPr>
        <a:xfrm>
          <a:off x="119465" y="10875215"/>
          <a:ext cx="11574432" cy="1814467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 rad="12700">
            <a:srgbClr val="00193A">
              <a:alpha val="80000"/>
            </a:srgbClr>
          </a:glo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15</xdr:col>
      <xdr:colOff>625693</xdr:colOff>
      <xdr:row>16</xdr:row>
      <xdr:rowOff>73939</xdr:rowOff>
    </xdr:from>
    <xdr:to>
      <xdr:col>17</xdr:col>
      <xdr:colOff>319676</xdr:colOff>
      <xdr:row>17</xdr:row>
      <xdr:rowOff>65348</xdr:rowOff>
    </xdr:to>
    <xdr:sp macro="" textlink="">
      <xdr:nvSpPr>
        <xdr:cNvPr id="176" name="Rectangle: Rounded Corners 47">
          <a:extLst>
            <a:ext uri="{FF2B5EF4-FFF2-40B4-BE49-F238E27FC236}">
              <a16:creationId xmlns:a16="http://schemas.microsoft.com/office/drawing/2014/main" id="{617268CA-0EBC-E860-8F29-7B95EAA3A886}"/>
            </a:ext>
          </a:extLst>
        </xdr:cNvPr>
        <xdr:cNvSpPr/>
      </xdr:nvSpPr>
      <xdr:spPr>
        <a:xfrm>
          <a:off x="10558907" y="3194510"/>
          <a:ext cx="1018412" cy="186445"/>
        </a:xfrm>
        <a:prstGeom prst="rect">
          <a:avLst/>
        </a:prstGeom>
        <a:solidFill>
          <a:srgbClr val="C00000"/>
        </a:solidFill>
        <a:ln>
          <a:noFill/>
        </a:ln>
        <a:scene3d>
          <a:camera prst="orthographicFront"/>
          <a:lightRig rig="threePt" dir="t"/>
        </a:scene3d>
        <a:sp3d>
          <a:bevelT w="12700" h="12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rgbClr val="002340"/>
            </a:solidFill>
          </a:endParaRPr>
        </a:p>
      </xdr:txBody>
    </xdr:sp>
    <xdr:clientData/>
  </xdr:twoCellAnchor>
  <xdr:twoCellAnchor>
    <xdr:from>
      <xdr:col>16</xdr:col>
      <xdr:colOff>39905</xdr:colOff>
      <xdr:row>16</xdr:row>
      <xdr:rowOff>116247</xdr:rowOff>
    </xdr:from>
    <xdr:to>
      <xdr:col>17</xdr:col>
      <xdr:colOff>285866</xdr:colOff>
      <xdr:row>17</xdr:row>
      <xdr:rowOff>7148</xdr:rowOff>
    </xdr:to>
    <xdr:sp macro="" textlink="">
      <xdr:nvSpPr>
        <xdr:cNvPr id="177" name="TextBox 30">
          <a:extLst>
            <a:ext uri="{FF2B5EF4-FFF2-40B4-BE49-F238E27FC236}">
              <a16:creationId xmlns:a16="http://schemas.microsoft.com/office/drawing/2014/main" id="{580B7A40-772B-B4DD-EE16-FA9D24A27894}"/>
            </a:ext>
          </a:extLst>
        </xdr:cNvPr>
        <xdr:cNvSpPr txBox="1"/>
      </xdr:nvSpPr>
      <xdr:spPr>
        <a:xfrm>
          <a:off x="10635334" y="3236818"/>
          <a:ext cx="908175" cy="85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800" b="1">
              <a:solidFill>
                <a:schemeClr val="bg1"/>
              </a:solidFill>
              <a:latin typeface="Bahnschrift" panose="020B0502040204020203" pitchFamily="34" charset="0"/>
            </a:rPr>
            <a:t>Net Cash Flow</a:t>
          </a:r>
        </a:p>
      </xdr:txBody>
    </xdr:sp>
    <xdr:clientData/>
  </xdr:twoCellAnchor>
  <xdr:twoCellAnchor>
    <xdr:from>
      <xdr:col>0</xdr:col>
      <xdr:colOff>101763</xdr:colOff>
      <xdr:row>54</xdr:row>
      <xdr:rowOff>114839</xdr:rowOff>
    </xdr:from>
    <xdr:to>
      <xdr:col>17</xdr:col>
      <xdr:colOff>485069</xdr:colOff>
      <xdr:row>55</xdr:row>
      <xdr:rowOff>56628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2B190F86-FF61-1BF7-0D3A-AC55A1142141}"/>
            </a:ext>
          </a:extLst>
        </xdr:cNvPr>
        <xdr:cNvSpPr/>
      </xdr:nvSpPr>
      <xdr:spPr>
        <a:xfrm>
          <a:off x="101763" y="10711402"/>
          <a:ext cx="11628098" cy="138021"/>
        </a:xfrm>
        <a:prstGeom prst="rect">
          <a:avLst/>
        </a:prstGeom>
        <a:solidFill>
          <a:srgbClr val="C00000">
            <a:alpha val="65000"/>
          </a:srgbClr>
        </a:solidFill>
        <a:ln>
          <a:noFill/>
        </a:ln>
        <a:effectLst>
          <a:glow rad="12700">
            <a:srgbClr val="00193A">
              <a:alpha val="80000"/>
            </a:srgbClr>
          </a:glo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106212</xdr:colOff>
      <xdr:row>26</xdr:row>
      <xdr:rowOff>80635</xdr:rowOff>
    </xdr:from>
    <xdr:to>
      <xdr:col>6</xdr:col>
      <xdr:colOff>444500</xdr:colOff>
      <xdr:row>37</xdr:row>
      <xdr:rowOff>59267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5E16DF22-BB4B-E06A-1A83-D34E6F25BAFA}"/>
            </a:ext>
          </a:extLst>
        </xdr:cNvPr>
        <xdr:cNvSpPr/>
      </xdr:nvSpPr>
      <xdr:spPr>
        <a:xfrm>
          <a:off x="106212" y="5240010"/>
          <a:ext cx="4284359" cy="2161445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>
            <a:schemeClr val="tx1"/>
          </a:glow>
          <a:outerShdw blurRad="50800" dist="50800" dir="5400000" algn="tl" rotWithShape="0">
            <a:schemeClr val="tx1"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latin typeface="Avenir"/>
          </a:endParaRPr>
        </a:p>
      </xdr:txBody>
    </xdr:sp>
    <xdr:clientData/>
  </xdr:twoCellAnchor>
  <xdr:twoCellAnchor>
    <xdr:from>
      <xdr:col>0</xdr:col>
      <xdr:colOff>261384</xdr:colOff>
      <xdr:row>27</xdr:row>
      <xdr:rowOff>45328</xdr:rowOff>
    </xdr:from>
    <xdr:to>
      <xdr:col>3</xdr:col>
      <xdr:colOff>591175</xdr:colOff>
      <xdr:row>27</xdr:row>
      <xdr:rowOff>190756</xdr:rowOff>
    </xdr:to>
    <xdr:sp macro="" textlink="">
      <xdr:nvSpPr>
        <xdr:cNvPr id="181" name="TextBox 30">
          <a:extLst>
            <a:ext uri="{FF2B5EF4-FFF2-40B4-BE49-F238E27FC236}">
              <a16:creationId xmlns:a16="http://schemas.microsoft.com/office/drawing/2014/main" id="{5DBD8719-EA4F-F2F9-30B8-912B11D9E769}"/>
            </a:ext>
          </a:extLst>
        </xdr:cNvPr>
        <xdr:cNvSpPr txBox="1"/>
      </xdr:nvSpPr>
      <xdr:spPr>
        <a:xfrm>
          <a:off x="261384" y="5352114"/>
          <a:ext cx="2302827" cy="145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bg1"/>
              </a:solidFill>
              <a:latin typeface="Bahnschrift" panose="020B0502040204020203" pitchFamily="34" charset="0"/>
            </a:rPr>
            <a:t>Investment Feasibility Score Criteria</a:t>
          </a:r>
          <a:endParaRPr lang="en-GB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6</xdr:col>
      <xdr:colOff>453569</xdr:colOff>
      <xdr:row>26</xdr:row>
      <xdr:rowOff>80791</xdr:rowOff>
    </xdr:from>
    <xdr:to>
      <xdr:col>17</xdr:col>
      <xdr:colOff>481724</xdr:colOff>
      <xdr:row>37</xdr:row>
      <xdr:rowOff>54430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5E16DF22-BB4B-E06A-1A83-D34E6F25BAFA}"/>
            </a:ext>
          </a:extLst>
        </xdr:cNvPr>
        <xdr:cNvSpPr/>
      </xdr:nvSpPr>
      <xdr:spPr>
        <a:xfrm>
          <a:off x="4399640" y="5240166"/>
          <a:ext cx="7262620" cy="2156452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>
            <a:schemeClr val="tx1"/>
          </a:glow>
          <a:outerShdw blurRad="50800" dist="50800" dir="5400000" algn="tl" rotWithShape="0">
            <a:schemeClr val="tx1"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latin typeface="Avenir"/>
          </a:endParaRPr>
        </a:p>
      </xdr:txBody>
    </xdr:sp>
    <xdr:clientData/>
  </xdr:twoCellAnchor>
  <xdr:twoCellAnchor>
    <xdr:from>
      <xdr:col>0</xdr:col>
      <xdr:colOff>110273</xdr:colOff>
      <xdr:row>37</xdr:row>
      <xdr:rowOff>79375</xdr:rowOff>
    </xdr:from>
    <xdr:to>
      <xdr:col>17</xdr:col>
      <xdr:colOff>474075</xdr:colOff>
      <xdr:row>53</xdr:row>
      <xdr:rowOff>124732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5E16DF22-BB4B-E06A-1A83-D34E6F25BAFA}"/>
            </a:ext>
          </a:extLst>
        </xdr:cNvPr>
        <xdr:cNvSpPr/>
      </xdr:nvSpPr>
      <xdr:spPr>
        <a:xfrm>
          <a:off x="110273" y="7421563"/>
          <a:ext cx="11544338" cy="3220357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>
            <a:schemeClr val="tx1"/>
          </a:glow>
          <a:outerShdw blurRad="50800" dist="50800" dir="5400000" algn="tl" rotWithShape="0">
            <a:schemeClr val="tx1"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latin typeface="Avenir"/>
          </a:endParaRPr>
        </a:p>
      </xdr:txBody>
    </xdr:sp>
    <xdr:clientData/>
  </xdr:twoCellAnchor>
  <xdr:twoCellAnchor>
    <xdr:from>
      <xdr:col>6</xdr:col>
      <xdr:colOff>591991</xdr:colOff>
      <xdr:row>27</xdr:row>
      <xdr:rowOff>45328</xdr:rowOff>
    </xdr:from>
    <xdr:to>
      <xdr:col>10</xdr:col>
      <xdr:colOff>402212</xdr:colOff>
      <xdr:row>27</xdr:row>
      <xdr:rowOff>187122</xdr:rowOff>
    </xdr:to>
    <xdr:sp macro="" textlink="">
      <xdr:nvSpPr>
        <xdr:cNvPr id="196" name="TextBox 30">
          <a:extLst>
            <a:ext uri="{FF2B5EF4-FFF2-40B4-BE49-F238E27FC236}">
              <a16:creationId xmlns:a16="http://schemas.microsoft.com/office/drawing/2014/main" id="{8CFE98A7-9223-BCD1-A4A3-835B20EFEE61}"/>
            </a:ext>
          </a:extLst>
        </xdr:cNvPr>
        <xdr:cNvSpPr txBox="1"/>
      </xdr:nvSpPr>
      <xdr:spPr>
        <a:xfrm>
          <a:off x="4538062" y="5352114"/>
          <a:ext cx="2440936" cy="1417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bg1"/>
              </a:solidFill>
              <a:latin typeface="Bahnschrift" panose="020B0502040204020203" pitchFamily="34" charset="0"/>
            </a:rPr>
            <a:t>Financial Scale Criteria</a:t>
          </a:r>
          <a:endParaRPr lang="en-GB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6</xdr:col>
      <xdr:colOff>620337</xdr:colOff>
      <xdr:row>28</xdr:row>
      <xdr:rowOff>86304</xdr:rowOff>
    </xdr:from>
    <xdr:to>
      <xdr:col>17</xdr:col>
      <xdr:colOff>315889</xdr:colOff>
      <xdr:row>36</xdr:row>
      <xdr:rowOff>48172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ACA859E2-5414-BC94-C360-B37B8E7DE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66408" y="5642554"/>
          <a:ext cx="6930017" cy="1549368"/>
        </a:xfrm>
        <a:prstGeom prst="rect">
          <a:avLst/>
        </a:prstGeom>
      </xdr:spPr>
    </xdr:pic>
    <xdr:clientData/>
  </xdr:twoCellAnchor>
  <xdr:twoCellAnchor>
    <xdr:from>
      <xdr:col>0</xdr:col>
      <xdr:colOff>312176</xdr:colOff>
      <xdr:row>38</xdr:row>
      <xdr:rowOff>4353</xdr:rowOff>
    </xdr:from>
    <xdr:to>
      <xdr:col>4</xdr:col>
      <xdr:colOff>122397</xdr:colOff>
      <xdr:row>38</xdr:row>
      <xdr:rowOff>149297</xdr:rowOff>
    </xdr:to>
    <xdr:sp macro="" textlink="">
      <xdr:nvSpPr>
        <xdr:cNvPr id="202" name="TextBox 30">
          <a:extLst>
            <a:ext uri="{FF2B5EF4-FFF2-40B4-BE49-F238E27FC236}">
              <a16:creationId xmlns:a16="http://schemas.microsoft.com/office/drawing/2014/main" id="{B476DF5A-ADAC-46FC-945B-5913FCA70759}"/>
            </a:ext>
          </a:extLst>
        </xdr:cNvPr>
        <xdr:cNvSpPr txBox="1"/>
      </xdr:nvSpPr>
      <xdr:spPr>
        <a:xfrm>
          <a:off x="312176" y="7391088"/>
          <a:ext cx="2453894" cy="144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bg1"/>
              </a:solidFill>
              <a:latin typeface="Bahnschrift" panose="020B0502040204020203" pitchFamily="34" charset="0"/>
            </a:rPr>
            <a:t>Safety Scale Criteria</a:t>
          </a:r>
          <a:endParaRPr lang="en-GB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225275</xdr:colOff>
      <xdr:row>28</xdr:row>
      <xdr:rowOff>57954</xdr:rowOff>
    </xdr:from>
    <xdr:to>
      <xdr:col>6</xdr:col>
      <xdr:colOff>384479</xdr:colOff>
      <xdr:row>36</xdr:row>
      <xdr:rowOff>13504</xdr:rowOff>
    </xdr:to>
    <xdr:pic>
      <xdr:nvPicPr>
        <xdr:cNvPr id="210" name="Graphic 209">
          <a:extLst>
            <a:ext uri="{FF2B5EF4-FFF2-40B4-BE49-F238E27FC236}">
              <a16:creationId xmlns:a16="http://schemas.microsoft.com/office/drawing/2014/main" id="{C604A0BC-9237-F54A-6F1F-84AD9105F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225275" y="5614204"/>
          <a:ext cx="4105275" cy="1543050"/>
        </a:xfrm>
        <a:prstGeom prst="rect">
          <a:avLst/>
        </a:prstGeom>
      </xdr:spPr>
    </xdr:pic>
    <xdr:clientData/>
  </xdr:twoCellAnchor>
  <xdr:twoCellAnchor editAs="oneCell">
    <xdr:from>
      <xdr:col>0</xdr:col>
      <xdr:colOff>337060</xdr:colOff>
      <xdr:row>39</xdr:row>
      <xdr:rowOff>39685</xdr:rowOff>
    </xdr:from>
    <xdr:to>
      <xdr:col>17</xdr:col>
      <xdr:colOff>253149</xdr:colOff>
      <xdr:row>53</xdr:row>
      <xdr:rowOff>52385</xdr:rowOff>
    </xdr:to>
    <xdr:pic>
      <xdr:nvPicPr>
        <xdr:cNvPr id="211" name="Graphic 210">
          <a:extLst>
            <a:ext uri="{FF2B5EF4-FFF2-40B4-BE49-F238E27FC236}">
              <a16:creationId xmlns:a16="http://schemas.microsoft.com/office/drawing/2014/main" id="{4265799E-C86E-B50F-9E4B-6D6851A70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96DAC541-7B7A-43D3-8B79-37D633B846F1}">
              <asvg:svgBlip xmlns:asvg="http://schemas.microsoft.com/office/drawing/2016/SVG/main" r:embed="rId31"/>
            </a:ext>
          </a:extLst>
        </a:blip>
        <a:stretch>
          <a:fillRect/>
        </a:stretch>
      </xdr:blipFill>
      <xdr:spPr>
        <a:xfrm>
          <a:off x="337060" y="7778748"/>
          <a:ext cx="110966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88583</xdr:colOff>
      <xdr:row>2</xdr:row>
      <xdr:rowOff>124082</xdr:rowOff>
    </xdr:to>
    <xdr:sp macro="" textlink="">
      <xdr:nvSpPr>
        <xdr:cNvPr id="14" name="Flowchart: Manual Input 5">
          <a:extLst>
            <a:ext uri="{FF2B5EF4-FFF2-40B4-BE49-F238E27FC236}">
              <a16:creationId xmlns:a16="http://schemas.microsoft.com/office/drawing/2014/main" id="{A7E79656-9DD7-4B87-9444-2B9097063CB7}"/>
            </a:ext>
          </a:extLst>
        </xdr:cNvPr>
        <xdr:cNvSpPr/>
      </xdr:nvSpPr>
      <xdr:spPr>
        <a:xfrm rot="10800000" flipV="1">
          <a:off x="0" y="0"/>
          <a:ext cx="14941233" cy="517782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>
          <a:gsLst>
            <a:gs pos="100000">
              <a:schemeClr val="accent1">
                <a:lumMod val="50000"/>
              </a:schemeClr>
            </a:gs>
            <a:gs pos="49000">
              <a:srgbClr val="1C1A1B">
                <a:lumMod val="72000"/>
              </a:srgbClr>
            </a:gs>
            <a:gs pos="100000">
              <a:srgbClr val="F30D5A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335395</xdr:colOff>
      <xdr:row>2</xdr:row>
      <xdr:rowOff>129887</xdr:rowOff>
    </xdr:to>
    <xdr:sp macro="" textlink="">
      <xdr:nvSpPr>
        <xdr:cNvPr id="44" name="Flowchart: Manual Input 5">
          <a:extLst>
            <a:ext uri="{FF2B5EF4-FFF2-40B4-BE49-F238E27FC236}">
              <a16:creationId xmlns:a16="http://schemas.microsoft.com/office/drawing/2014/main" id="{1F515155-5CFD-484D-8617-57158CF23C33}"/>
            </a:ext>
          </a:extLst>
        </xdr:cNvPr>
        <xdr:cNvSpPr/>
      </xdr:nvSpPr>
      <xdr:spPr>
        <a:xfrm rot="10800000" flipV="1">
          <a:off x="0" y="0"/>
          <a:ext cx="6463145" cy="523587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 flip="none" rotWithShape="1">
          <a:gsLst>
            <a:gs pos="100000">
              <a:srgbClr val="D12121"/>
            </a:gs>
            <a:gs pos="0">
              <a:srgbClr val="1C1A1B">
                <a:lumMod val="72000"/>
              </a:srgbClr>
            </a:gs>
            <a:gs pos="71000">
              <a:srgbClr val="D1212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1</xdr:col>
      <xdr:colOff>25086</xdr:colOff>
      <xdr:row>3</xdr:row>
      <xdr:rowOff>0</xdr:rowOff>
    </xdr:from>
    <xdr:to>
      <xdr:col>3</xdr:col>
      <xdr:colOff>436168</xdr:colOff>
      <xdr:row>4</xdr:row>
      <xdr:rowOff>23457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A5F01C21-EB09-F025-1182-4821D2714B30}"/>
            </a:ext>
          </a:extLst>
        </xdr:cNvPr>
        <xdr:cNvGrpSpPr/>
      </xdr:nvGrpSpPr>
      <xdr:grpSpPr>
        <a:xfrm>
          <a:off x="518975" y="737626"/>
          <a:ext cx="2008203" cy="247952"/>
          <a:chOff x="6641592" y="695844"/>
          <a:chExt cx="1373970" cy="250800"/>
        </a:xfrm>
        <a:solidFill>
          <a:srgbClr val="C00000"/>
        </a:solidFill>
        <a:effectLst>
          <a:glow rad="50800">
            <a:schemeClr val="accent5">
              <a:lumMod val="40000"/>
              <a:lumOff val="60000"/>
              <a:alpha val="79000"/>
            </a:schemeClr>
          </a:glow>
        </a:effectLst>
      </xdr:grpSpPr>
      <xdr:sp macro="" textlink="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63CAA1BB-F38A-4407-8E67-ED122D791617}"/>
              </a:ext>
            </a:extLst>
          </xdr:cNvPr>
          <xdr:cNvSpPr/>
        </xdr:nvSpPr>
        <xdr:spPr>
          <a:xfrm>
            <a:off x="6641592" y="695844"/>
            <a:ext cx="1373970" cy="250800"/>
          </a:xfrm>
          <a:prstGeom prst="rect">
            <a:avLst/>
          </a:prstGeom>
          <a:grpFill/>
          <a:ln>
            <a:noFill/>
          </a:ln>
          <a:scene3d>
            <a:camera prst="orthographicFront"/>
            <a:lightRig rig="threePt" dir="t"/>
          </a:scene3d>
          <a:sp3d>
            <a:bevelT w="12700"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>
              <a:solidFill>
                <a:srgbClr val="002340"/>
              </a:solidFill>
            </a:endParaRPr>
          </a:p>
        </xdr:txBody>
      </xdr:sp>
      <xdr:sp macro="" textlink="">
        <xdr:nvSpPr>
          <xdr:cNvPr id="49" name="TextBox 30">
            <a:extLst>
              <a:ext uri="{FF2B5EF4-FFF2-40B4-BE49-F238E27FC236}">
                <a16:creationId xmlns:a16="http://schemas.microsoft.com/office/drawing/2014/main" id="{996836CF-6527-4A7F-B145-927B3BB9921C}"/>
              </a:ext>
            </a:extLst>
          </xdr:cNvPr>
          <xdr:cNvSpPr txBox="1"/>
        </xdr:nvSpPr>
        <xdr:spPr>
          <a:xfrm>
            <a:off x="6729643" y="752756"/>
            <a:ext cx="1225246" cy="12738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chemeClr val="bg1"/>
                </a:solidFill>
                <a:latin typeface="Bahnschrift" panose="020B0502040204020203" pitchFamily="34" charset="0"/>
              </a:rPr>
              <a:t>FINANCIAL ASPECT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11481</xdr:colOff>
      <xdr:row>28</xdr:row>
      <xdr:rowOff>190614</xdr:rowOff>
    </xdr:from>
    <xdr:to>
      <xdr:col>4</xdr:col>
      <xdr:colOff>167051</xdr:colOff>
      <xdr:row>30</xdr:row>
      <xdr:rowOff>48557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06717D0-491D-CCA9-A09D-5B5C418047AB}"/>
            </a:ext>
          </a:extLst>
        </xdr:cNvPr>
        <xdr:cNvGrpSpPr/>
      </xdr:nvGrpSpPr>
      <xdr:grpSpPr>
        <a:xfrm>
          <a:off x="505370" y="8368644"/>
          <a:ext cx="2560873" cy="255620"/>
          <a:chOff x="6641592" y="695844"/>
          <a:chExt cx="1373970" cy="250800"/>
        </a:xfrm>
        <a:solidFill>
          <a:srgbClr val="C00000"/>
        </a:solidFill>
        <a:effectLst>
          <a:glow rad="50800">
            <a:schemeClr val="accent5">
              <a:lumMod val="40000"/>
              <a:lumOff val="60000"/>
              <a:alpha val="79000"/>
            </a:schemeClr>
          </a:glow>
        </a:effectLst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321851D5-B600-D807-BDB3-A9061BEBE69D}"/>
              </a:ext>
            </a:extLst>
          </xdr:cNvPr>
          <xdr:cNvSpPr/>
        </xdr:nvSpPr>
        <xdr:spPr>
          <a:xfrm>
            <a:off x="6641592" y="695844"/>
            <a:ext cx="1373970" cy="250800"/>
          </a:xfrm>
          <a:prstGeom prst="rect">
            <a:avLst/>
          </a:prstGeom>
          <a:grpFill/>
          <a:ln>
            <a:noFill/>
          </a:ln>
          <a:scene3d>
            <a:camera prst="orthographicFront"/>
            <a:lightRig rig="threePt" dir="t"/>
          </a:scene3d>
          <a:sp3d>
            <a:bevelT w="12700"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>
              <a:solidFill>
                <a:srgbClr val="002340"/>
              </a:solidFill>
            </a:endParaRPr>
          </a:p>
        </xdr:txBody>
      </xdr:sp>
      <xdr:sp macro="" textlink="">
        <xdr:nvSpPr>
          <xdr:cNvPr id="12" name="TextBox 30">
            <a:extLst>
              <a:ext uri="{FF2B5EF4-FFF2-40B4-BE49-F238E27FC236}">
                <a16:creationId xmlns:a16="http://schemas.microsoft.com/office/drawing/2014/main" id="{F4EB59B6-5AB1-1494-D160-7344731C398A}"/>
              </a:ext>
            </a:extLst>
          </xdr:cNvPr>
          <xdr:cNvSpPr txBox="1"/>
        </xdr:nvSpPr>
        <xdr:spPr>
          <a:xfrm>
            <a:off x="6729643" y="752756"/>
            <a:ext cx="1225246" cy="12738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chemeClr val="bg1"/>
                </a:solidFill>
                <a:latin typeface="Bahnschrift" panose="020B0502040204020203" pitchFamily="34" charset="0"/>
              </a:rPr>
              <a:t>SAFETY ASPECT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102495</xdr:rowOff>
    </xdr:from>
    <xdr:to>
      <xdr:col>7</xdr:col>
      <xdr:colOff>710883</xdr:colOff>
      <xdr:row>2</xdr:row>
      <xdr:rowOff>27255</xdr:rowOff>
    </xdr:to>
    <xdr:sp macro="" textlink="PivotTable!A6">
      <xdr:nvSpPr>
        <xdr:cNvPr id="16" name="TextBox 15">
          <a:extLst>
            <a:ext uri="{FF2B5EF4-FFF2-40B4-BE49-F238E27FC236}">
              <a16:creationId xmlns:a16="http://schemas.microsoft.com/office/drawing/2014/main" id="{431D6375-384C-4CC5-8A22-7911594245EE}"/>
            </a:ext>
          </a:extLst>
        </xdr:cNvPr>
        <xdr:cNvSpPr txBox="1"/>
      </xdr:nvSpPr>
      <xdr:spPr>
        <a:xfrm>
          <a:off x="0" y="102495"/>
          <a:ext cx="6029008" cy="31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E76DEE-8942-4A6B-A175-CC16DEAFBA01}" type="TxLink">
            <a:rPr lang="en-US" sz="1400" b="1" i="0" u="none" strike="noStrike" kern="1200">
              <a:solidFill>
                <a:schemeClr val="bg1"/>
              </a:solidFill>
              <a:latin typeface="Bahnschrift"/>
            </a:rPr>
            <a:pPr/>
            <a:t>INVESTMENT | STUDI KASUS XX</a:t>
          </a:fld>
          <a:endParaRPr lang="en-ID" sz="1800" b="1" kern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14</xdr:col>
      <xdr:colOff>267070</xdr:colOff>
      <xdr:row>0</xdr:row>
      <xdr:rowOff>101600</xdr:rowOff>
    </xdr:from>
    <xdr:to>
      <xdr:col>14</xdr:col>
      <xdr:colOff>631402</xdr:colOff>
      <xdr:row>2</xdr:row>
      <xdr:rowOff>54821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7BF83B46-9AAB-D7C8-6701-5769035B0EE9}"/>
            </a:ext>
          </a:extLst>
        </xdr:cNvPr>
        <xdr:cNvSpPr/>
      </xdr:nvSpPr>
      <xdr:spPr>
        <a:xfrm>
          <a:off x="11248080" y="101600"/>
          <a:ext cx="364332" cy="350898"/>
        </a:xfrm>
        <a:prstGeom prst="ellipse">
          <a:avLst/>
        </a:prstGeom>
        <a:solidFill>
          <a:schemeClr val="bg1"/>
        </a:solidFill>
        <a:ln>
          <a:noFill/>
        </a:ln>
        <a:effectLst>
          <a:glow>
            <a:schemeClr val="accent3">
              <a:satMod val="175000"/>
            </a:schemeClr>
          </a:glow>
          <a:outerShdw dist="38100" dir="5400000" algn="t" rotWithShape="0">
            <a:prstClr val="black">
              <a:alpha val="40000"/>
            </a:prstClr>
          </a:outerShdw>
          <a:softEdge rad="38100"/>
        </a:effectLst>
        <a:scene3d>
          <a:camera prst="orthographicFront"/>
          <a:lightRig rig="threePt" dir="t"/>
        </a:scene3d>
        <a:sp3d>
          <a:bevelT w="127000" h="254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11</xdr:col>
      <xdr:colOff>260720</xdr:colOff>
      <xdr:row>0</xdr:row>
      <xdr:rowOff>139700</xdr:rowOff>
    </xdr:from>
    <xdr:to>
      <xdr:col>14</xdr:col>
      <xdr:colOff>124115</xdr:colOff>
      <xdr:row>2</xdr:row>
      <xdr:rowOff>21202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80287107-D604-413C-B7CA-BBFB908A6E7B}"/>
            </a:ext>
          </a:extLst>
        </xdr:cNvPr>
        <xdr:cNvGrpSpPr/>
      </xdr:nvGrpSpPr>
      <xdr:grpSpPr>
        <a:xfrm>
          <a:off x="8817185" y="139700"/>
          <a:ext cx="2287940" cy="279179"/>
          <a:chOff x="8827294" y="137548"/>
          <a:chExt cx="2284735" cy="274823"/>
        </a:xfrm>
      </xdr:grpSpPr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CC6A94F2-411C-2CD9-BB8E-38C7E40BE348}"/>
              </a:ext>
            </a:extLst>
          </xdr:cNvPr>
          <xdr:cNvGrpSpPr/>
        </xdr:nvGrpSpPr>
        <xdr:grpSpPr>
          <a:xfrm>
            <a:off x="8827294" y="137548"/>
            <a:ext cx="2284735" cy="274823"/>
            <a:chOff x="8855358" y="137548"/>
            <a:chExt cx="2291212" cy="276613"/>
          </a:xfrm>
        </xdr:grpSpPr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1C249D45-0E87-EE87-A5C5-3AC6E6B8D4F5}"/>
                </a:ext>
              </a:extLst>
            </xdr:cNvPr>
            <xdr:cNvGrpSpPr/>
          </xdr:nvGrpSpPr>
          <xdr:grpSpPr>
            <a:xfrm>
              <a:off x="8855358" y="137548"/>
              <a:ext cx="2291212" cy="276613"/>
              <a:chOff x="8855358" y="137548"/>
              <a:chExt cx="2291212" cy="276613"/>
            </a:xfrm>
          </xdr:grpSpPr>
          <xdr:grpSp>
            <xdr:nvGrpSpPr>
              <xdr:cNvPr id="64" name="Group 63">
                <a:hlinkClick xmlns:r="http://schemas.openxmlformats.org/officeDocument/2006/relationships" r:id="rId1"/>
                <a:extLst>
                  <a:ext uri="{FF2B5EF4-FFF2-40B4-BE49-F238E27FC236}">
                    <a16:creationId xmlns:a16="http://schemas.microsoft.com/office/drawing/2014/main" id="{C8FD96DE-5E69-AB5C-2879-98B5F4FDEA79}"/>
                  </a:ext>
                </a:extLst>
              </xdr:cNvPr>
              <xdr:cNvGrpSpPr/>
            </xdr:nvGrpSpPr>
            <xdr:grpSpPr>
              <a:xfrm>
                <a:off x="8855358" y="137549"/>
                <a:ext cx="1093666" cy="276612"/>
                <a:chOff x="8818669" y="137549"/>
                <a:chExt cx="1088022" cy="275201"/>
              </a:xfrm>
            </xdr:grpSpPr>
            <xdr:sp macro="" textlink="">
              <xdr:nvSpPr>
                <xdr:cNvPr id="72" name="Rectangle: Rounded Corners 71">
                  <a:extLst>
                    <a:ext uri="{FF2B5EF4-FFF2-40B4-BE49-F238E27FC236}">
                      <a16:creationId xmlns:a16="http://schemas.microsoft.com/office/drawing/2014/main" id="{E443B397-DBE4-D8D0-523E-7BF10BC4525B}"/>
                    </a:ext>
                  </a:extLst>
                </xdr:cNvPr>
                <xdr:cNvSpPr/>
              </xdr:nvSpPr>
              <xdr:spPr>
                <a:xfrm>
                  <a:off x="8818669" y="137549"/>
                  <a:ext cx="1088022" cy="275201"/>
                </a:xfrm>
                <a:prstGeom prst="roundRect">
                  <a:avLst/>
                </a:prstGeom>
                <a:gradFill flip="none" rotWithShape="1">
                  <a:gsLst>
                    <a:gs pos="0">
                      <a:srgbClr val="740000">
                        <a:shade val="30000"/>
                        <a:satMod val="115000"/>
                      </a:srgbClr>
                    </a:gs>
                    <a:gs pos="50000">
                      <a:srgbClr val="740000">
                        <a:shade val="67500"/>
                        <a:satMod val="115000"/>
                      </a:srgbClr>
                    </a:gs>
                    <a:gs pos="100000">
                      <a:srgbClr val="740000">
                        <a:shade val="100000"/>
                        <a:satMod val="115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ID"/>
                </a:p>
              </xdr:txBody>
            </xdr:sp>
            <xdr:sp macro="" textlink="">
              <xdr:nvSpPr>
                <xdr:cNvPr id="73" name="Rectangle: Rounded Corners 72">
                  <a:extLst>
                    <a:ext uri="{FF2B5EF4-FFF2-40B4-BE49-F238E27FC236}">
                      <a16:creationId xmlns:a16="http://schemas.microsoft.com/office/drawing/2014/main" id="{6883A2CD-98A3-BE89-9CD7-C68636D33087}"/>
                    </a:ext>
                  </a:extLst>
                </xdr:cNvPr>
                <xdr:cNvSpPr/>
              </xdr:nvSpPr>
              <xdr:spPr>
                <a:xfrm>
                  <a:off x="9015453" y="190182"/>
                  <a:ext cx="882187" cy="188447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1000">
                      <a:latin typeface="Bahnschrift" panose="020B0502040204020203" pitchFamily="34" charset="0"/>
                    </a:rPr>
                    <a:t>Dashboard</a:t>
                  </a:r>
                  <a:endParaRPr lang="en-ID" sz="1000"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71" name="Rectangle: Rounded Corners 70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33F847CB-669E-15B5-1142-69EC640588D1}"/>
                  </a:ext>
                </a:extLst>
              </xdr:cNvPr>
              <xdr:cNvSpPr/>
            </xdr:nvSpPr>
            <xdr:spPr>
              <a:xfrm>
                <a:off x="10055304" y="137548"/>
                <a:ext cx="1091266" cy="275039"/>
              </a:xfrm>
              <a:prstGeom prst="roundRect">
                <a:avLst/>
              </a:prstGeom>
              <a:gradFill flip="none" rotWithShape="1">
                <a:gsLst>
                  <a:gs pos="0">
                    <a:srgbClr val="740000">
                      <a:shade val="30000"/>
                      <a:satMod val="115000"/>
                    </a:srgbClr>
                  </a:gs>
                  <a:gs pos="50000">
                    <a:srgbClr val="740000">
                      <a:shade val="67500"/>
                      <a:satMod val="115000"/>
                    </a:srgbClr>
                  </a:gs>
                  <a:gs pos="100000">
                    <a:srgbClr val="74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ID"/>
              </a:p>
            </xdr:txBody>
          </xdr:sp>
        </xdr:grpSp>
        <xdr:sp macro="" textlink="">
          <xdr:nvSpPr>
            <xdr:cNvPr id="60" name="Rectangle: Rounded Corners 5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B7890718-7677-B6DC-D920-F5CA44D92D4D}"/>
                </a:ext>
              </a:extLst>
            </xdr:cNvPr>
            <xdr:cNvSpPr/>
          </xdr:nvSpPr>
          <xdr:spPr>
            <a:xfrm>
              <a:off x="10254848" y="190183"/>
              <a:ext cx="885126" cy="189153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000">
                  <a:latin typeface="Bahnschrift" panose="020B0502040204020203" pitchFamily="34" charset="0"/>
                </a:rPr>
                <a:t>Assumption</a:t>
              </a:r>
              <a:endParaRPr lang="en-ID" sz="1000">
                <a:latin typeface="Bahnschrift" panose="020B0502040204020203" pitchFamily="34" charset="0"/>
              </a:endParaRPr>
            </a:p>
          </xdr:txBody>
        </xdr:sp>
      </xdr:grpSp>
      <xdr:pic>
        <xdr:nvPicPr>
          <xdr:cNvPr id="57" name="Graphic 56" descr="Home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0DA9F79-2B32-398D-0244-050DD6A0B9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893324" y="143474"/>
            <a:ext cx="233681" cy="234965"/>
          </a:xfrm>
          <a:prstGeom prst="rect">
            <a:avLst/>
          </a:prstGeom>
        </xdr:spPr>
      </xdr:pic>
      <xdr:pic>
        <xdr:nvPicPr>
          <xdr:cNvPr id="58" name="Graphic 57" descr="Bank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F750BCD-B1D9-8F62-4833-6681A74252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076585" y="143021"/>
            <a:ext cx="233807" cy="235418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163872</xdr:colOff>
      <xdr:row>1</xdr:row>
      <xdr:rowOff>177527</xdr:rowOff>
    </xdr:from>
    <xdr:to>
      <xdr:col>13</xdr:col>
      <xdr:colOff>271818</xdr:colOff>
      <xdr:row>1</xdr:row>
      <xdr:rowOff>181127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DD789365-8D28-4A88-827C-80CEC3F9177F}"/>
            </a:ext>
          </a:extLst>
        </xdr:cNvPr>
        <xdr:cNvSpPr/>
      </xdr:nvSpPr>
      <xdr:spPr>
        <a:xfrm rot="10800000">
          <a:off x="10315337" y="373831"/>
          <a:ext cx="107946" cy="36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 w="6350">
          <a:solidFill>
            <a:schemeClr val="accent2">
              <a:lumMod val="60000"/>
              <a:lumOff val="40000"/>
            </a:schemeClr>
          </a:solidFill>
        </a:ln>
        <a:scene3d>
          <a:camera prst="orthographicFront"/>
          <a:lightRig rig="threePt" dir="t"/>
        </a:scene3d>
        <a:sp3d>
          <a:bevelT w="6350" h="63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13723</xdr:rowOff>
    </xdr:from>
    <xdr:to>
      <xdr:col>7</xdr:col>
      <xdr:colOff>1134451</xdr:colOff>
      <xdr:row>2</xdr:row>
      <xdr:rowOff>143450</xdr:rowOff>
    </xdr:to>
    <xdr:sp macro="" textlink="">
      <xdr:nvSpPr>
        <xdr:cNvPr id="22" name="Flowchart: Manual Input 5">
          <a:extLst>
            <a:ext uri="{FF2B5EF4-FFF2-40B4-BE49-F238E27FC236}">
              <a16:creationId xmlns:a16="http://schemas.microsoft.com/office/drawing/2014/main" id="{6AF6565C-A746-4821-B02A-33BCB96CCAAF}"/>
            </a:ext>
          </a:extLst>
        </xdr:cNvPr>
        <xdr:cNvSpPr/>
      </xdr:nvSpPr>
      <xdr:spPr>
        <a:xfrm rot="10800000" flipV="1">
          <a:off x="0" y="13723"/>
          <a:ext cx="14837751" cy="510727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>
          <a:gsLst>
            <a:gs pos="100000">
              <a:schemeClr val="accent1">
                <a:lumMod val="50000"/>
              </a:schemeClr>
            </a:gs>
            <a:gs pos="49000">
              <a:srgbClr val="1C1A1B">
                <a:lumMod val="72000"/>
              </a:srgbClr>
            </a:gs>
            <a:gs pos="100000">
              <a:srgbClr val="F30D5A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659553</xdr:colOff>
      <xdr:row>2</xdr:row>
      <xdr:rowOff>143450</xdr:rowOff>
    </xdr:to>
    <xdr:sp macro="" textlink="">
      <xdr:nvSpPr>
        <xdr:cNvPr id="25" name="Flowchart: Manual Input 5">
          <a:extLst>
            <a:ext uri="{FF2B5EF4-FFF2-40B4-BE49-F238E27FC236}">
              <a16:creationId xmlns:a16="http://schemas.microsoft.com/office/drawing/2014/main" id="{1ED3BB92-6E76-4880-A1CB-5053B790AB9B}"/>
            </a:ext>
          </a:extLst>
        </xdr:cNvPr>
        <xdr:cNvSpPr/>
      </xdr:nvSpPr>
      <xdr:spPr>
        <a:xfrm rot="10800000" flipV="1">
          <a:off x="0" y="0"/>
          <a:ext cx="6463453" cy="524450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 flip="none" rotWithShape="1">
          <a:gsLst>
            <a:gs pos="100000">
              <a:srgbClr val="D12121"/>
            </a:gs>
            <a:gs pos="0">
              <a:srgbClr val="1C1A1B">
                <a:lumMod val="72000"/>
              </a:srgbClr>
            </a:gs>
            <a:gs pos="71000">
              <a:srgbClr val="D1212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0</xdr:colOff>
      <xdr:row>0</xdr:row>
      <xdr:rowOff>101600</xdr:rowOff>
    </xdr:from>
    <xdr:to>
      <xdr:col>2</xdr:col>
      <xdr:colOff>228283</xdr:colOff>
      <xdr:row>2</xdr:row>
      <xdr:rowOff>39060</xdr:rowOff>
    </xdr:to>
    <xdr:sp macro="" textlink="PivotTable!A6">
      <xdr:nvSpPr>
        <xdr:cNvPr id="26" name="TextBox 25">
          <a:extLst>
            <a:ext uri="{FF2B5EF4-FFF2-40B4-BE49-F238E27FC236}">
              <a16:creationId xmlns:a16="http://schemas.microsoft.com/office/drawing/2014/main" id="{E48C4F27-FC60-4E68-B837-57423A09686D}"/>
            </a:ext>
          </a:extLst>
        </xdr:cNvPr>
        <xdr:cNvSpPr txBox="1"/>
      </xdr:nvSpPr>
      <xdr:spPr>
        <a:xfrm>
          <a:off x="0" y="101600"/>
          <a:ext cx="6032183" cy="318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E76DEE-8942-4A6B-A175-CC16DEAFBA01}" type="TxLink">
            <a:rPr lang="en-US" sz="1400" b="1" i="0" u="none" strike="noStrike" kern="1200">
              <a:solidFill>
                <a:schemeClr val="bg1"/>
              </a:solidFill>
              <a:latin typeface="Bahnschrift"/>
            </a:rPr>
            <a:pPr/>
            <a:t>INVESTMENT | STUDI KASUS XX</a:t>
          </a:fld>
          <a:endParaRPr lang="en-ID" sz="1800" b="1" kern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1148031</xdr:colOff>
      <xdr:row>0</xdr:row>
      <xdr:rowOff>139700</xdr:rowOff>
    </xdr:from>
    <xdr:to>
      <xdr:col>4</xdr:col>
      <xdr:colOff>1373376</xdr:colOff>
      <xdr:row>2</xdr:row>
      <xdr:rowOff>33902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19FEB0F-4C65-4D22-BAE5-4425EED94D34}"/>
            </a:ext>
          </a:extLst>
        </xdr:cNvPr>
        <xdr:cNvGrpSpPr/>
      </xdr:nvGrpSpPr>
      <xdr:grpSpPr>
        <a:xfrm>
          <a:off x="8280992" y="139700"/>
          <a:ext cx="2290636" cy="276435"/>
          <a:chOff x="8827294" y="137548"/>
          <a:chExt cx="2284735" cy="274823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6EF22B64-B03C-8A01-A095-1CE090BAC83D}"/>
              </a:ext>
            </a:extLst>
          </xdr:cNvPr>
          <xdr:cNvGrpSpPr/>
        </xdr:nvGrpSpPr>
        <xdr:grpSpPr>
          <a:xfrm>
            <a:off x="8827294" y="137548"/>
            <a:ext cx="2284735" cy="274823"/>
            <a:chOff x="8855358" y="137548"/>
            <a:chExt cx="2291212" cy="276613"/>
          </a:xfrm>
        </xdr:grpSpPr>
        <xdr:grpSp>
          <xdr:nvGrpSpPr>
            <xdr:cNvPr id="31" name="Group 30">
              <a:extLst>
                <a:ext uri="{FF2B5EF4-FFF2-40B4-BE49-F238E27FC236}">
                  <a16:creationId xmlns:a16="http://schemas.microsoft.com/office/drawing/2014/main" id="{6BD749D1-DF7A-15B7-C7E8-87A829931301}"/>
                </a:ext>
              </a:extLst>
            </xdr:cNvPr>
            <xdr:cNvGrpSpPr/>
          </xdr:nvGrpSpPr>
          <xdr:grpSpPr>
            <a:xfrm>
              <a:off x="8855358" y="137548"/>
              <a:ext cx="2291212" cy="276613"/>
              <a:chOff x="8855358" y="137548"/>
              <a:chExt cx="2291212" cy="276613"/>
            </a:xfrm>
          </xdr:grpSpPr>
          <xdr:grpSp>
            <xdr:nvGrpSpPr>
              <xdr:cNvPr id="33" name="Group 32">
                <a:hlinkClick xmlns:r="http://schemas.openxmlformats.org/officeDocument/2006/relationships" r:id="rId1"/>
                <a:extLst>
                  <a:ext uri="{FF2B5EF4-FFF2-40B4-BE49-F238E27FC236}">
                    <a16:creationId xmlns:a16="http://schemas.microsoft.com/office/drawing/2014/main" id="{0C1174B3-A20A-227F-5B96-BFB6A8D20DEC}"/>
                  </a:ext>
                </a:extLst>
              </xdr:cNvPr>
              <xdr:cNvGrpSpPr/>
            </xdr:nvGrpSpPr>
            <xdr:grpSpPr>
              <a:xfrm>
                <a:off x="8855358" y="137549"/>
                <a:ext cx="1093666" cy="276612"/>
                <a:chOff x="8818669" y="137549"/>
                <a:chExt cx="1088022" cy="275201"/>
              </a:xfrm>
            </xdr:grpSpPr>
            <xdr:sp macro="" textlink="">
              <xdr:nvSpPr>
                <xdr:cNvPr id="35" name="Rectangle: Rounded Corners 34">
                  <a:extLst>
                    <a:ext uri="{FF2B5EF4-FFF2-40B4-BE49-F238E27FC236}">
                      <a16:creationId xmlns:a16="http://schemas.microsoft.com/office/drawing/2014/main" id="{5FB88467-5E3B-3B03-BF51-9A1E8B080F38}"/>
                    </a:ext>
                  </a:extLst>
                </xdr:cNvPr>
                <xdr:cNvSpPr/>
              </xdr:nvSpPr>
              <xdr:spPr>
                <a:xfrm>
                  <a:off x="8818669" y="137549"/>
                  <a:ext cx="1088022" cy="275201"/>
                </a:xfrm>
                <a:prstGeom prst="roundRect">
                  <a:avLst/>
                </a:prstGeom>
                <a:gradFill flip="none" rotWithShape="1">
                  <a:gsLst>
                    <a:gs pos="0">
                      <a:srgbClr val="740000">
                        <a:shade val="30000"/>
                        <a:satMod val="115000"/>
                      </a:srgbClr>
                    </a:gs>
                    <a:gs pos="50000">
                      <a:srgbClr val="740000">
                        <a:shade val="67500"/>
                        <a:satMod val="115000"/>
                      </a:srgbClr>
                    </a:gs>
                    <a:gs pos="100000">
                      <a:srgbClr val="740000">
                        <a:shade val="100000"/>
                        <a:satMod val="115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ID"/>
                </a:p>
              </xdr:txBody>
            </xdr:sp>
            <xdr:sp macro="" textlink="">
              <xdr:nvSpPr>
                <xdr:cNvPr id="36" name="Rectangle: Rounded Corners 35">
                  <a:extLst>
                    <a:ext uri="{FF2B5EF4-FFF2-40B4-BE49-F238E27FC236}">
                      <a16:creationId xmlns:a16="http://schemas.microsoft.com/office/drawing/2014/main" id="{0AF90AC1-01AA-23C6-96BB-67EBCF9F1277}"/>
                    </a:ext>
                  </a:extLst>
                </xdr:cNvPr>
                <xdr:cNvSpPr/>
              </xdr:nvSpPr>
              <xdr:spPr>
                <a:xfrm>
                  <a:off x="9015453" y="190182"/>
                  <a:ext cx="882187" cy="188447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1000">
                      <a:latin typeface="Bahnschrift" panose="020B0502040204020203" pitchFamily="34" charset="0"/>
                    </a:rPr>
                    <a:t>Dashboard</a:t>
                  </a:r>
                  <a:endParaRPr lang="en-ID" sz="1000"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34" name="Rectangle: Rounded Corners 33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D746A37A-DDE9-F1F1-6BAB-2CFE8CEC32B2}"/>
                  </a:ext>
                </a:extLst>
              </xdr:cNvPr>
              <xdr:cNvSpPr/>
            </xdr:nvSpPr>
            <xdr:spPr>
              <a:xfrm>
                <a:off x="10055304" y="137548"/>
                <a:ext cx="1091266" cy="275039"/>
              </a:xfrm>
              <a:prstGeom prst="roundRect">
                <a:avLst/>
              </a:prstGeom>
              <a:gradFill flip="none" rotWithShape="1">
                <a:gsLst>
                  <a:gs pos="0">
                    <a:srgbClr val="740000">
                      <a:shade val="30000"/>
                      <a:satMod val="115000"/>
                    </a:srgbClr>
                  </a:gs>
                  <a:gs pos="50000">
                    <a:srgbClr val="740000">
                      <a:shade val="67500"/>
                      <a:satMod val="115000"/>
                    </a:srgbClr>
                  </a:gs>
                  <a:gs pos="100000">
                    <a:srgbClr val="74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ID"/>
              </a:p>
            </xdr:txBody>
          </xdr:sp>
        </xdr:grpSp>
        <xdr:sp macro="" textlink="">
          <xdr:nvSpPr>
            <xdr:cNvPr id="32" name="Rectangle: Rounded Corners 31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D790C093-F43E-2449-6302-260F3766E5FF}"/>
                </a:ext>
              </a:extLst>
            </xdr:cNvPr>
            <xdr:cNvSpPr/>
          </xdr:nvSpPr>
          <xdr:spPr>
            <a:xfrm>
              <a:off x="10254848" y="190183"/>
              <a:ext cx="885126" cy="189153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000">
                  <a:latin typeface="Bahnschrift" panose="020B0502040204020203" pitchFamily="34" charset="0"/>
                </a:rPr>
                <a:t>Assumption</a:t>
              </a:r>
              <a:endParaRPr lang="en-ID" sz="1000">
                <a:latin typeface="Bahnschrift" panose="020B0502040204020203" pitchFamily="34" charset="0"/>
              </a:endParaRPr>
            </a:p>
          </xdr:txBody>
        </xdr:sp>
      </xdr:grpSp>
      <xdr:pic>
        <xdr:nvPicPr>
          <xdr:cNvPr id="29" name="Graphic 28" descr="Home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BF2A53C-92A2-EC58-F8C7-968D44ED97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893324" y="143474"/>
            <a:ext cx="233681" cy="234965"/>
          </a:xfrm>
          <a:prstGeom prst="rect">
            <a:avLst/>
          </a:prstGeom>
        </xdr:spPr>
      </xdr:pic>
      <xdr:pic>
        <xdr:nvPicPr>
          <xdr:cNvPr id="30" name="Graphic 29" descr="Bank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6559DB0-9772-EEA1-8C05-D1A1ED7984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076585" y="143021"/>
            <a:ext cx="233807" cy="235418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1517835</xdr:colOff>
      <xdr:row>0</xdr:row>
      <xdr:rowOff>101600</xdr:rowOff>
    </xdr:from>
    <xdr:to>
      <xdr:col>5</xdr:col>
      <xdr:colOff>47017</xdr:colOff>
      <xdr:row>2</xdr:row>
      <xdr:rowOff>67521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857431F9-9F8E-D26E-CB4D-512C997F890C}"/>
            </a:ext>
          </a:extLst>
        </xdr:cNvPr>
        <xdr:cNvSpPr/>
      </xdr:nvSpPr>
      <xdr:spPr>
        <a:xfrm>
          <a:off x="11252447" y="101600"/>
          <a:ext cx="366366" cy="348154"/>
        </a:xfrm>
        <a:prstGeom prst="ellipse">
          <a:avLst/>
        </a:prstGeom>
        <a:solidFill>
          <a:schemeClr val="bg1"/>
        </a:solidFill>
        <a:ln>
          <a:noFill/>
        </a:ln>
        <a:effectLst>
          <a:glow>
            <a:schemeClr val="accent3">
              <a:satMod val="175000"/>
            </a:schemeClr>
          </a:glow>
          <a:outerShdw dist="38100" dir="5400000" algn="t" rotWithShape="0">
            <a:prstClr val="black">
              <a:alpha val="40000"/>
            </a:prstClr>
          </a:outerShdw>
          <a:softEdge rad="38100"/>
        </a:effectLst>
        <a:scene3d>
          <a:camera prst="orthographicFront"/>
          <a:lightRig rig="threePt" dir="t"/>
        </a:scene3d>
        <a:sp3d>
          <a:bevelT w="127000" h="254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4</xdr:col>
      <xdr:colOff>1649000</xdr:colOff>
      <xdr:row>2</xdr:row>
      <xdr:rowOff>107950</xdr:rowOff>
    </xdr:from>
    <xdr:to>
      <xdr:col>4</xdr:col>
      <xdr:colOff>1756946</xdr:colOff>
      <xdr:row>2</xdr:row>
      <xdr:rowOff>111550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724D919D-3DDD-45E1-8DF6-66C318AF0EF9}"/>
            </a:ext>
          </a:extLst>
        </xdr:cNvPr>
        <xdr:cNvSpPr/>
      </xdr:nvSpPr>
      <xdr:spPr>
        <a:xfrm rot="10800000">
          <a:off x="11373907" y="490126"/>
          <a:ext cx="107946" cy="36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 w="6350">
          <a:solidFill>
            <a:schemeClr val="accent2">
              <a:lumMod val="60000"/>
              <a:lumOff val="40000"/>
            </a:schemeClr>
          </a:solidFill>
        </a:ln>
        <a:scene3d>
          <a:camera prst="orthographicFront"/>
          <a:lightRig rig="threePt" dir="t"/>
        </a:scene3d>
        <a:sp3d>
          <a:bevelT w="6350" h="63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215900</xdr:colOff>
      <xdr:row>12</xdr:row>
      <xdr:rowOff>171449</xdr:rowOff>
    </xdr:from>
    <xdr:to>
      <xdr:col>0</xdr:col>
      <xdr:colOff>3829050</xdr:colOff>
      <xdr:row>25</xdr:row>
      <xdr:rowOff>191115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845D4EEE-0B43-DF3F-3E97-78C5C5A780E6}"/>
            </a:ext>
          </a:extLst>
        </xdr:cNvPr>
        <xdr:cNvGrpSpPr/>
      </xdr:nvGrpSpPr>
      <xdr:grpSpPr>
        <a:xfrm>
          <a:off x="215900" y="2514167"/>
          <a:ext cx="3613150" cy="2584327"/>
          <a:chOff x="444500" y="2508250"/>
          <a:chExt cx="3321050" cy="1549400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96348CD7-8677-914F-C33B-61B47DA0FC39}"/>
              </a:ext>
            </a:extLst>
          </xdr:cNvPr>
          <xdr:cNvSpPr/>
        </xdr:nvSpPr>
        <xdr:spPr>
          <a:xfrm>
            <a:off x="444500" y="2508250"/>
            <a:ext cx="3321050" cy="1549400"/>
          </a:xfrm>
          <a:prstGeom prst="rect">
            <a:avLst/>
          </a:prstGeom>
          <a:solidFill>
            <a:srgbClr val="00193A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82C3E33A-C8EB-586E-F183-44B585EDDC5C}"/>
              </a:ext>
            </a:extLst>
          </xdr:cNvPr>
          <xdr:cNvSpPr txBox="1"/>
        </xdr:nvSpPr>
        <xdr:spPr>
          <a:xfrm>
            <a:off x="457200" y="2546350"/>
            <a:ext cx="3302000" cy="273050"/>
          </a:xfrm>
          <a:prstGeom prst="rect">
            <a:avLst/>
          </a:prstGeom>
          <a:solidFill>
            <a:srgbClr val="FFFF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D" sz="1400" b="1" kern="1200">
                <a:solidFill>
                  <a:sysClr val="windowText" lastClr="000000"/>
                </a:solidFill>
                <a:latin typeface="Bahnschrift" panose="020B0502040204020203" pitchFamily="34" charset="0"/>
              </a:rPr>
              <a:t>README!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EDD293AE-2CFC-0A40-E547-B81D0F45F6AD}"/>
              </a:ext>
            </a:extLst>
          </xdr:cNvPr>
          <xdr:cNvSpPr txBox="1"/>
        </xdr:nvSpPr>
        <xdr:spPr>
          <a:xfrm>
            <a:off x="603250" y="2946400"/>
            <a:ext cx="3028950" cy="1003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/>
              <a:t>To refresh the database in the PivotTable sheet, click on any row within a table in this sheet. This will make the </a:t>
            </a:r>
            <a:r>
              <a:rPr lang="en-ID" b="1"/>
              <a:t>PivotTable Analyze</a:t>
            </a:r>
            <a:r>
              <a:rPr lang="en-ID"/>
              <a:t> tab appear in the toolbar.</a:t>
            </a:r>
          </a:p>
          <a:p>
            <a:endParaRPr lang="en-ID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D"/>
              <a:t>Then go to:</a:t>
            </a:r>
            <a:br>
              <a:rPr lang="en-ID"/>
            </a:br>
            <a:r>
              <a:rPr lang="en-ID" b="1"/>
              <a:t>PivotTable Analyze</a:t>
            </a:r>
            <a:r>
              <a:rPr lang="en-ID"/>
              <a:t> &gt; </a:t>
            </a:r>
            <a:r>
              <a:rPr lang="en-ID" b="1"/>
              <a:t>Refresh (Data)</a:t>
            </a:r>
            <a:r>
              <a:rPr lang="en-ID"/>
              <a:t> &gt; </a:t>
            </a:r>
            <a:r>
              <a:rPr lang="en-ID" b="1"/>
              <a:t>Refresh All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br>
              <a:rPr lang="en-ID" b="1"/>
            </a:br>
            <a:r>
              <a:rPr lang="en-ID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If you want to modify the calculations, open </a:t>
            </a:r>
            <a:r>
              <a:rPr lang="en-ID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Calc</a:t>
            </a:r>
            <a:r>
              <a:rPr lang="en-ID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in the </a:t>
            </a:r>
            <a:r>
              <a:rPr lang="en-ID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Hide</a:t>
            </a:r>
            <a:r>
              <a:rPr lang="en-ID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sheet.</a:t>
            </a:r>
            <a:endParaRPr lang="en-ID">
              <a:effectLst/>
            </a:endParaRPr>
          </a:p>
          <a:p>
            <a:endParaRPr lang="en-ID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1542144</xdr:colOff>
      <xdr:row>95</xdr:row>
      <xdr:rowOff>115454</xdr:rowOff>
    </xdr:from>
    <xdr:to>
      <xdr:col>5</xdr:col>
      <xdr:colOff>5270</xdr:colOff>
      <xdr:row>110</xdr:row>
      <xdr:rowOff>172605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01432-7FCC-4AFA-8625-5C883233C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1011564</xdr:colOff>
      <xdr:row>95</xdr:row>
      <xdr:rowOff>128718</xdr:rowOff>
    </xdr:from>
    <xdr:to>
      <xdr:col>10</xdr:col>
      <xdr:colOff>557919</xdr:colOff>
      <xdr:row>110</xdr:row>
      <xdr:rowOff>151532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DED3B7-CDCD-41DD-9178-997ACA429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0.37519</cdr:x>
      <cdr:y>0.44722</cdr:y>
    </cdr:from>
    <cdr:to>
      <cdr:x>0.42441</cdr:x>
      <cdr:y>0.57577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419AC13B-12A6-40DD-8CE5-1E86FDB16A37}"/>
            </a:ext>
          </a:extLst>
        </cdr:cNvPr>
        <cdr:cNvSpPr/>
      </cdr:nvSpPr>
      <cdr:spPr>
        <a:xfrm xmlns:a="http://schemas.openxmlformats.org/drawingml/2006/main" rot="18585838">
          <a:off x="1663336" y="1307829"/>
          <a:ext cx="357188" cy="226786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 w="19050"/>
        <a:effectLst xmlns:a="http://schemas.openxmlformats.org/drawingml/2006/main">
          <a:reflection endPos="0" dist="50800" dir="5400000" sy="-100000" algn="bl" rotWithShape="0"/>
          <a:softEdge rad="0"/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ID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0.46661</cdr:x>
      <cdr:y>0.31395</cdr:y>
    </cdr:from>
    <cdr:to>
      <cdr:x>0.51625</cdr:x>
      <cdr:y>0.44411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9B930B86-D3F8-2ECE-AB3E-B435A6BD462B}"/>
            </a:ext>
          </a:extLst>
        </cdr:cNvPr>
        <cdr:cNvSpPr/>
      </cdr:nvSpPr>
      <cdr:spPr>
        <a:xfrm xmlns:a="http://schemas.openxmlformats.org/drawingml/2006/main" rot="17854688">
          <a:off x="2066357" y="926761"/>
          <a:ext cx="357188" cy="226786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 w="19050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ID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isis%20Finansial'15/Pengadaan%20MTT/DATA%20JKS%202009/10%20EMAIL%202009/eMail%20Masuk/JULI/26-Jul-09/rka%202009/I%20%20M%20%20O/imojembatan2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isis%20Finansial'15/Pengadaan%20MTT/DATA%20JKS%202009/10%20EMAIL%202009/eMail%20Masuk/JULI/26-Jul-09/rka%202009/My%20Documents/Kantor/Rutin/Program%20triwulan(Maret'04)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Documents\My%20Document\Proyek%20Statistik\KAI\Dashboard\Versi%202\Dashboard%207%20MTT%202019.xlsx" TargetMode="External"/><Relationship Id="rId1" Type="http://schemas.openxmlformats.org/officeDocument/2006/relationships/externalLinkPath" Target="/My%20Documents/My%20Document/Proyek%20Statistik/KAI/Dashboard/Versi%202/Dashboard%207%20MT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isis%20Finansial'15/Pengadaan%20MTT/DATA%20JKS%202009/10%20EMAIL%202009/eMail%20Masuk/JULI/26-Jul-09/rka%202009/File%20Kerja%202007/RKA/I%20%20M%20%20O/imojembatan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pd\data\I%20%20M%20%20O\imojembatan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isis%20Finansial'15/Pengadaan%20MTT/I%20%20M%20%20O/imojembatan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isis%20Finansial'15/Pengadaan%20MTT/DATA%20JKS%202009/10%20EMAIL%202009/eMail%20Masuk/JULI/26-Jul-09/RKAD%202008%20sept07/File%20Kerja%202007/RKAP%202007/RKA%20Sept%2007-Lembang/I%20%20M%20%20O/imojembatan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isis%20Finansial'15/Pengadaan%20MTT/DATA%20JKS%202009/10%20EMAIL%202009/eMail%20Masuk/JULI/26-Jul-09/rka%202009/Data%20pindahan/PROG%20&amp;REAL/TAHUN%202006/Hasil%20rapat%2016,17Jan06/A.seksi%20JJ/A.seksi%20JJ/I%20%20M%20%20O/imojembatan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isis%20Finansial'15/Pengadaan%20MTT/DATA%20JKS%202009/10%20EMAIL%202009/eMail%20Masuk/JULI/26-Jul-09/rka%202009/File%20Kerja%202007/RKAP%202007/RKAD-RKAP%202007-KA/RKA%20Sept%2007-Lembang/I%20%20M%20%20O/imojembatan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Investasi%202017/T%20I%20J/Investasi%206%20Ballast%20Cleaner%20(Revisi)/Analisa%20investasi%206%20Ballast%20Clean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Investasi%202017/T%20I%20J/Investasi%202%20unit%20Ballast%20Cleaner%202017/Analisa%20kelayakan%20Inv%202%20Balas%20Cleanning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</sheetNames>
    <sheetDataSet>
      <sheetData sheetId="0">
        <row r="24">
          <cell r="D24" t="str">
            <v>JURNAL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 MTT"/>
      <sheetName val="Dashboard"/>
      <sheetName val="HasilPivot"/>
      <sheetName val="Sheet3"/>
      <sheetName val="Data"/>
      <sheetName val="Calc"/>
      <sheetName val="Datasumsi"/>
    </sheetNames>
    <sheetDataSet>
      <sheetData sheetId="0"/>
      <sheetData sheetId="1"/>
      <sheetData sheetId="2"/>
      <sheetData sheetId="3"/>
      <sheetData sheetId="4"/>
      <sheetData sheetId="5">
        <row r="90">
          <cell r="D90" t="str">
            <v>INVESTASI</v>
          </cell>
          <cell r="E90" t="str">
            <v>IRR</v>
          </cell>
          <cell r="G90" t="str">
            <v>Biop MTT</v>
          </cell>
          <cell r="H90" t="str">
            <v>IRR</v>
          </cell>
        </row>
        <row r="91">
          <cell r="D91">
            <v>56.496101414907145</v>
          </cell>
          <cell r="E91">
            <v>0.10445836547314695</v>
          </cell>
          <cell r="G91">
            <v>8464.8092378310503</v>
          </cell>
          <cell r="H91">
            <v>0.10445836547314695</v>
          </cell>
        </row>
        <row r="92">
          <cell r="D92">
            <v>58.287027829759701</v>
          </cell>
          <cell r="E92">
            <v>9.3533789974242151E-2</v>
          </cell>
          <cell r="G92">
            <v>8837.2608442956171</v>
          </cell>
          <cell r="H92">
            <v>9.3488716994652929E-2</v>
          </cell>
        </row>
        <row r="93">
          <cell r="D93">
            <v>62.145711556397863</v>
          </cell>
          <cell r="E93">
            <v>7.1186347328741406E-2</v>
          </cell>
          <cell r="G93">
            <v>9311.2901616141553</v>
          </cell>
          <cell r="H93">
            <v>7.9063688561431658E-2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  <sheetName val="kode Baru "/>
      <sheetName val="SDAYA"/>
      <sheetName val="prod-brg"/>
      <sheetName val="Program Triwulanan-04"/>
      <sheetName val="form-A7"/>
      <sheetName val="I2T2005"/>
      <sheetName val="ALOKASI"/>
      <sheetName val="A"/>
      <sheetName val="PPN-M"/>
      <sheetName val="Data Parameter"/>
      <sheetName val="SKCD DATA GP YK"/>
      <sheetName val="jpr"/>
      <sheetName val="Tabel"/>
      <sheetName val="SC Pusat BB301"/>
      <sheetName val="SC Pusat BB303"/>
      <sheetName val="SC Pusat BB304"/>
      <sheetName val="Cucian"/>
      <sheetName val="SC Pusat krd"/>
      <sheetName val="R"/>
      <sheetName val="RENPEN"/>
      <sheetName val="Cover"/>
      <sheetName val="#REF"/>
      <sheetName val="DPro"/>
      <sheetName val="data berat"/>
      <sheetName val="Price_Input (2)"/>
      <sheetName val="imojembatan2001"/>
      <sheetName val=""/>
      <sheetName val="REKAP PERKORIDOR"/>
      <sheetName val="DPPN"/>
      <sheetName val="2-(2) Gangguan Peralatan (1)"/>
      <sheetName val="BBM-03"/>
      <sheetName val="Program_Triwulanan-04"/>
      <sheetName val="REKAP_PERKORIDOR"/>
      <sheetName val="MENU"/>
      <sheetName val="PAL 2012"/>
      <sheetName val="Lead Schedule"/>
      <sheetName val="Analisa Harga Satuan"/>
      <sheetName val="HARVEST02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Tanah 09"/>
      <sheetName val="CTIPricing"/>
      <sheetName val="LABEL"/>
      <sheetName val="daya tarik loko"/>
      <sheetName val="divisi sarana"/>
      <sheetName val="Database"/>
      <sheetName val="RAB J18 "/>
      <sheetName val="DATA"/>
      <sheetName val="pro ra op"/>
      <sheetName val="grafik"/>
      <sheetName val="KKP SL-baru"/>
      <sheetName val="kode_Baru_"/>
      <sheetName val="Program_Triwulanan-041"/>
      <sheetName val="Data_Parameter"/>
      <sheetName val="SKCD_DATA_GP_YK"/>
      <sheetName val="SC_Pusat_BB301"/>
      <sheetName val="SC_Pusat_BB303"/>
      <sheetName val="SC_Pusat_BB304"/>
      <sheetName val="SC_Pusat_krd"/>
      <sheetName val="data_berat"/>
      <sheetName val="REKAP_PERKORIDOR1"/>
      <sheetName val="2-(2)_Gangguan_Peralatan_(1)"/>
      <sheetName val="PAL_2012"/>
      <sheetName val="Price_Input_(2)"/>
      <sheetName val="Lead_Schedule"/>
      <sheetName val="Detail-PARENT"/>
      <sheetName val="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ls Jawa"/>
      <sheetName val="Anls Stra"/>
      <sheetName val="harga cuci"/>
      <sheetName val="kebth cuci"/>
      <sheetName val="keb msn+kbthn cuci"/>
      <sheetName val="cash flow&amp;cost saving"/>
      <sheetName val="Sheet1"/>
      <sheetName val="Sheet1 (2)"/>
    </sheetNames>
    <sheetDataSet>
      <sheetData sheetId="0">
        <row r="85">
          <cell r="D85">
            <v>0.15522431359462779</v>
          </cell>
        </row>
      </sheetData>
      <sheetData sheetId="1">
        <row r="84">
          <cell r="D84">
            <v>0.15610509758480184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G5">
            <v>95000</v>
          </cell>
        </row>
        <row r="6">
          <cell r="G6">
            <v>75000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aw"/>
      <sheetName val="Jawa"/>
      <sheetName val="Stra"/>
      <sheetName val="harga cuci"/>
      <sheetName val="prog"/>
      <sheetName val="keb msn+kbthn cuci"/>
      <sheetName val="cash flow"/>
      <sheetName val="Sheet8"/>
      <sheetName val="Sheet9"/>
      <sheetName val="Sheet10"/>
    </sheetNames>
    <sheetDataSet>
      <sheetData sheetId="0"/>
      <sheetData sheetId="1"/>
      <sheetData sheetId="2"/>
      <sheetData sheetId="3">
        <row r="64">
          <cell r="R64">
            <v>95000</v>
          </cell>
        </row>
        <row r="65">
          <cell r="R65">
            <v>75000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9T04:54:34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52 24575,'10'-5'0,"-1"0"0,0-2 0,1 3 0,0-1 0,1 1 0,-2 1 0,19-4 0,-15 3 0,0 2 0,2 0 0,-1 0 0,1 1 0,-1 0 0,27 3 0,-29-1 0,1 1 0,1 1 0,19 6 0,-25-7 0,1 1 0,-1-1 0,0 1 0,0 0 0,-1 1 0,13 10 0,-12-10 0,0 0 0,-2 2 0,0-1 0,1 3 0,-1-2 0,1 1 0,-2 0 0,10 16 0,-7-8 0,10 18 0,16 36 0,-24-55 0,12 19 0,-17-28 0,-2-1 0,3 1 0,-1 0 0,0-1 0,3 0 0,-2 0 0,-1 0 0,1 0 0,10 3 0,-9-5 0,0 0 0,0-1 0,0 2 0,0-1 0,1-1 0,-1 0 0,1 0 0,13 1 0,1-1 0,14 3 0,-21-1 0,26-1 0,73-7 0,-99 4 0,-2 0 0,21-5 0,10-1 0,-29 6 0,1 0 0,-2 0 0,2 1 0,-1 1 0,-1 0 0,2-1 0,19 7 0,-20-2 0,25 10 0,-34-13 0,-1 1 0,1 0 0,1 0 0,-2 1 0,1-2 0,7 8 0,0 2 0,-7-7 0,0 0 0,0 2 0,-1-1 0,6 8 0,-3-4 0,-4-4 0,0-1 0,-2 1 0,1-2 0,4 14 0,-3-2 0,0 1 0,-2-1 0,0 0 0,-1 3 0,-3 21 0,-1-24 0,0 0 0,-6 16 0,3-15 0,-3 20 0,8-33 0,0 1 0,1 2 0,0-2 0,0 0 0,0 1 0,1-2 0,0 2 0,2 5 0,0-2 0,0-2 0,1 1 0,0-2 0,8 9 0,-10-13 0,-1 0 0,1 0 0,0-1 0,1 1 0,-1 0 0,1-1 0,-1 0 0,1 0 0,-1 0 0,1 0 0,0-1 0,0 1 0,0 0 0,-1 0 0,7 0 0,4 0 0,0 0 0,17-1 0,-15-1 0,-11 1 0,0 1 0,-1-1 0,0 0 0,0 0 0,1 1 0,0 0 0,0 0 0,0 0 0,-1 0 0,3 1 0,-2 0 0,4 3 0,43 17 0,-43-16 0,1 2 0,-2-2 0,0-2 0,-1 3 0,10 9 0,-4-3 0,-6-5 0,0-1 0,-2 1 0,1 0 0,8 15 0,-8-17 0,-1 3 0,0-1 0,1 0 0,7 11 0,-10-15 0,0-2 0,1 1 0,-1-1 0,1 0 0,0 0 0,-1 0 0,2 0 0,-1 0 0,0 0 0,1-1 0,-1 1 0,0-1 0,5 2 0,3-1 0,1-1 0,-1 1 0,-1-1 0,1-1 0,1 0 0,-2 0 0,17-2 0,-2 0 0,5-1 0,-23 2 0,1 0 0,-1 1 0,1-1 0,0 1 0,-2 0 0,1 1 0,10 1 0,-14-1 0,1 1 0,-1-1 0,0 1 0,0-1 0,0 2 0,0-2 0,0 1 0,0 1 0,0-1 0,0 0 0,-1 0 0,1 0 0,-1 1 0,2 2 0,4 5 0,-3 0 0,9 17 0,-6 6-1365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9T04:54:34.5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58 24575,'8'-7'0,"0"1"0,2 1 0,-2-1 0,1 2 0,0-1 0,0 1 0,15-4 0,-11 4 0,-1 2 0,-1-1 0,2 2 0,1-1 0,-2 1 0,26 4 0,-27-3 0,2 4 0,-3-2 0,19 7 0,-21-6 0,-1 0 0,0-1 0,0 2 0,0 0 0,0 0 0,11 9 0,-11-6 0,-1-2 0,1 2 0,-1-1 0,-1 1 0,1 2 0,0-1 0,-1-1 0,8 18 0,-9-8 0,13 21 0,15 38 0,-24-58 0,12 18 0,-16-31 0,1 0 0,-1 2 0,2-2 0,-2-1 0,2 1 0,-1-1 0,2 2 0,-3-2 0,10 4 0,-8-7 0,1 3 0,-1-2 0,0 1 0,1-3 0,-1 3 0,1-2 0,-1-1 0,13 1 0,0 1 0,15 3 0,-22-5 0,24 4 0,66-8 0,-89 3 0,1-2 0,14-1 0,11-4 0,-25 7 0,0 0 0,-2-1 0,2 2 0,-1 2 0,1-1 0,-1 0 0,17 6 0,-15-2 0,22 8 0,-33-10 0,2 2 0,-1-3 0,1 2 0,-2 0 0,1 0 0,8 8 0,0 3 0,-9-11 0,1 2 0,0 1 0,-1-2 0,8 12 0,-6-6 0,-3-5 0,-2 0 0,3 0 0,-1 1 0,2 10 0,0 1 0,-3 2 0,0-3 0,0 3 0,-1-1 0,-4 29 0,2-32 0,-2 1 0,-5 20 0,3-18 0,-3 23 0,7-38 0,1 4 0,0-3 0,0 2 0,0-2 0,0 2 0,0-1 0,1 0 0,1 7 0,0-4 0,2-1 0,-1 0 0,1 0 0,5 9 0,-6-14 0,-2-2 0,2 2 0,-2-2 0,2 2 0,-2-2 0,1 0 0,2 1 0,-3-1 0,1 0 0,2 1 0,-3-1 0,1 0 0,2-1 0,-2 0 0,6 1 0,2 2 0,1-3 0,16 0 0,-13 0 0,-10 0 0,-1 0 0,2 0 0,-2 0 0,1 1 0,-1 2 0,1-2 0,-1-1 0,-1 1 0,2 2 0,-1-3 0,0 3 0,4 2 0,39 19 0,-39-18 0,0 1 0,0-1 0,-1 1 0,1 1 0,7 12 0,-3-7 0,-7-5 0,2 0 0,-2 1 0,0-1 0,7 16 0,-8-13 0,0-2 0,0-1 0,1 1 0,9 12 0,-12-18 0,2-2 0,-2 3 0,2-1 0,0-1 0,0 2 0,-1-1 0,0-2 0,2 2 0,-1-2 0,0 2 0,0-3 0,1 2 0,3 0 0,2 2 0,0-3 0,2 0 0,-1 1 0,1-2 0,-2 0 0,1 0 0,13-3 0,1 2 0,0-3 0,-18 4 0,1-2 0,0 1 0,0 1 0,0 0 0,0 0 0,0 0 0,7 3 0,-10-2 0,-1 0 0,1 1 0,-2 0 0,0 0 0,2 0 0,-2 0 0,1 0 0,0 1 0,-2-1 0,2 2 0,0-1 0,-2-1 0,2 1 0,0 4 0,3 4 0,0 0 0,5 18 0,-5 10-1365</inkml:trace>
</inkml: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398495374" backgroundQuery="1" createdVersion="8" refreshedVersion="8" minRefreshableVersion="3" recordCount="0" supportSubquery="1" supportAdvancedDrill="1" xr:uid="{A75C0263-7E0D-4E59-AA53-8B7843CD2562}">
  <cacheSource type="external" connectionId="1"/>
  <cacheFields count="3">
    <cacheField name="[Table2].[Tahun].[Tahun]" caption="Tahun" numFmtId="0" hierarchy="1" level="1">
      <sharedItems containsSemiMixedTypes="0" containsString="0" containsNumber="1" containsInteger="1" minValue="2024" maxValue="2039" count="16"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</sharedItems>
      <extLst>
        <ext xmlns:x15="http://schemas.microsoft.com/office/spreadsheetml/2010/11/main" uri="{4F2E5C28-24EA-4eb8-9CBF-B6C8F9C3D259}">
          <x15:cachedUniqueNames>
            <x15:cachedUniqueName index="0" name="[Table2].[Tahun].&amp;[2024]"/>
            <x15:cachedUniqueName index="1" name="[Table2].[Tahun].&amp;[2025]"/>
            <x15:cachedUniqueName index="2" name="[Table2].[Tahun].&amp;[2026]"/>
            <x15:cachedUniqueName index="3" name="[Table2].[Tahun].&amp;[2027]"/>
            <x15:cachedUniqueName index="4" name="[Table2].[Tahun].&amp;[2028]"/>
            <x15:cachedUniqueName index="5" name="[Table2].[Tahun].&amp;[2029]"/>
            <x15:cachedUniqueName index="6" name="[Table2].[Tahun].&amp;[2030]"/>
            <x15:cachedUniqueName index="7" name="[Table2].[Tahun].&amp;[2031]"/>
            <x15:cachedUniqueName index="8" name="[Table2].[Tahun].&amp;[2032]"/>
            <x15:cachedUniqueName index="9" name="[Table2].[Tahun].&amp;[2033]"/>
            <x15:cachedUniqueName index="10" name="[Table2].[Tahun].&amp;[2034]"/>
            <x15:cachedUniqueName index="11" name="[Table2].[Tahun].&amp;[2035]"/>
            <x15:cachedUniqueName index="12" name="[Table2].[Tahun].&amp;[2036]"/>
            <x15:cachedUniqueName index="13" name="[Table2].[Tahun].&amp;[2037]"/>
            <x15:cachedUniqueName index="14" name="[Table2].[Tahun].&amp;[2038]"/>
            <x15:cachedUniqueName index="15" name="[Table2].[Tahun].&amp;[2039]"/>
          </x15:cachedUniqueNames>
        </ext>
      </extLst>
    </cacheField>
    <cacheField name="[Measures].[Sum of Net Cashflow]" caption="Sum of Net Cashflow" numFmtId="0" hierarchy="68" level="32767"/>
    <cacheField name="[Measures].[Sum of Accumulated Net Cashflow]" caption="Sum of Accumulated Net Cashflow" numFmtId="0" hierarchy="97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407638888" backgroundQuery="1" createdVersion="8" refreshedVersion="8" minRefreshableVersion="3" recordCount="0" supportSubquery="1" supportAdvancedDrill="1" xr:uid="{73CED940-7374-41A3-972D-947E0CEA84FB}">
  <cacheSource type="external" connectionId="1"/>
  <cacheFields count="5">
    <cacheField name="[Measures].[Average of Hasil NPV]" caption="Average of Hasil NPV" numFmtId="0" hierarchy="72" level="32767"/>
    <cacheField name="[Measures].[Average of Hasil IRR]" caption="Average of Hasil IRR" numFmtId="0" hierarchy="73" level="32767"/>
    <cacheField name="[Measures].[Average of Hasil PP]" caption="Average of Hasil PP" numFmtId="0" hierarchy="74" level="32767"/>
    <cacheField name="[Measures].[Average of Hasil PI]" caption="Average of Hasil PI" numFmtId="0" hierarchy="75" level="32767"/>
    <cacheField name="[Measures].[Average of Hasil BCR]" caption="Average of Hasil BCR" numFmtId="0" hierarchy="7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408796296" backgroundQuery="1" createdVersion="8" refreshedVersion="8" minRefreshableVersion="3" recordCount="0" supportSubquery="1" supportAdvancedDrill="1" xr:uid="{BC417B40-725F-40B2-B137-19891F36F1E8}">
  <cacheSource type="external" connectionId="1"/>
  <cacheFields count="1">
    <cacheField name="[Table2].[Category Score Invest].[Category Score Invest]" caption="Category Score Invest" numFmtId="0" hierarchy="38" level="1">
      <sharedItems count="1">
        <s v="Very High"/>
      </sharedItems>
    </cacheField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399537036" backgroundQuery="1" createdVersion="8" refreshedVersion="8" minRefreshableVersion="3" recordCount="0" supportSubquery="1" supportAdvancedDrill="1" xr:uid="{C99BB64C-EDEB-4789-87AF-A947DB3319AD}">
  <cacheSource type="external" connectionId="1"/>
  <cacheFields count="5">
    <cacheField name="[Table2].[Kategori Plan].[Kategori Plan]" caption="Kategori Plan" numFmtId="0" hierarchy="31" level="1">
      <sharedItems count="1">
        <s v="High"/>
      </sharedItems>
    </cacheField>
    <cacheField name="[Table2].[Kategori Do].[Kategori Do]" caption="Kategori Do" numFmtId="0" hierarchy="32" level="1">
      <sharedItems count="1">
        <s v="Very High"/>
      </sharedItems>
    </cacheField>
    <cacheField name="[Table2].[Kategori Check].[Kategori Check]" caption="Kategori Check" numFmtId="0" hierarchy="33" level="1">
      <sharedItems count="1">
        <s v="Very High"/>
      </sharedItems>
    </cacheField>
    <cacheField name="[Table2].[Kategori Action].[Kategori Action]" caption="Kategori Action" numFmtId="0" hierarchy="34" level="1">
      <sharedItems count="1">
        <s v="Moderate"/>
      </sharedItems>
    </cacheField>
    <cacheField name="[Table2].[Kategori Policy].[Kategori Policy]" caption="Kategori Policy" numFmtId="0" hierarchy="30" level="1">
      <sharedItems count="1">
        <s v="High"/>
      </sharedItems>
    </cacheField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Kategori Plan]" caption="Kategori Plan" attribute="1" defaultMemberUniqueName="[Table2].[Kategori Plan].[All]" allUniqueName="[Table2].[Kategori Pla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Kategori Do]" caption="Kategori Do" attribute="1" defaultMemberUniqueName="[Table2].[Kategori Do].[All]" allUniqueName="[Table2].[Kategori Do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Kategori Check]" caption="Kategori Check" attribute="1" defaultMemberUniqueName="[Table2].[Kategori Check].[All]" allUniqueName="[Table2].[Kategori Check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Kategori Action]" caption="Kategori Action" attribute="1" defaultMemberUniqueName="[Table2].[Kategori Action].[All]" allUniqueName="[Table2].[Kategori Action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400694445" backgroundQuery="1" createdVersion="8" refreshedVersion="8" minRefreshableVersion="3" recordCount="0" supportSubquery="1" supportAdvancedDrill="1" xr:uid="{181CD772-25F4-4A21-A3B0-B3161CD0C720}">
  <cacheSource type="external" connectionId="1"/>
  <cacheFields count="4">
    <cacheField name="[Table2].[Title].[Title]" caption="Title" numFmtId="0" hierarchy="2" level="1">
      <sharedItems count="1">
        <s v="INVESTMENT | STUDI KASUS XX"/>
      </sharedItems>
    </cacheField>
    <cacheField name="[Table2].[Project Feasibility].[Project Feasibility]" caption="Project Feasibility" numFmtId="0" hierarchy="39" level="1">
      <sharedItems count="1">
        <s v="VERY FEASIBLE"/>
      </sharedItems>
    </cacheField>
    <cacheField name="[Table2].[Financial Feasibility].[Financial Feasibility]" caption="Financial Feasibility" numFmtId="0" hierarchy="40" level="1">
      <sharedItems count="1">
        <s v="INVESTMENT IS FEASIBLE, IRR &gt; 9.35%"/>
      </sharedItems>
    </cacheField>
    <cacheField name="[Table2].[Interpretasi Financial].[Interpretasi Financial]" caption="Interpretasi Financial" numFmtId="0" hierarchy="41" level="1">
      <sharedItems count="1">
        <s v="Proyek investasi tersebut Layak secara Aspek Finansial"/>
      </sharedItems>
    </cacheField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401736114" backgroundQuery="1" createdVersion="8" refreshedVersion="8" minRefreshableVersion="3" recordCount="0" supportSubquery="1" supportAdvancedDrill="1" xr:uid="{7917D849-3471-4212-81D6-3D6DB0A917C2}">
  <cacheSource type="external" connectionId="1"/>
  <cacheFields count="5">
    <cacheField name="[Measures].[Average of Score NPV]" caption="Average of Score NPV" numFmtId="0" hierarchy="82" level="32767"/>
    <cacheField name="[Measures].[Average of Score IRR]" caption="Average of Score IRR" numFmtId="0" hierarchy="83" level="32767"/>
    <cacheField name="[Measures].[Average of Score PP]" caption="Average of Score PP" numFmtId="0" hierarchy="84" level="32767"/>
    <cacheField name="[Measures].[Average of Score PI]" caption="Average of Score PI" numFmtId="0" hierarchy="85" level="32767"/>
    <cacheField name="[Measures].[Average of Score BCR]" caption="Average of Score BCR" numFmtId="0" hierarchy="8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403009261" backgroundQuery="1" createdVersion="8" refreshedVersion="8" minRefreshableVersion="3" recordCount="0" supportSubquery="1" supportAdvancedDrill="1" xr:uid="{F3FB4BBA-0743-4192-AA08-308FE173AE7E}">
  <cacheSource type="external" connectionId="1"/>
  <cacheFields count="2">
    <cacheField name="[Measures].[Average of Hasil Financial]" caption="Average of Hasil Financial" numFmtId="0" hierarchy="66" level="32767"/>
    <cacheField name="[Measures].[Average of Hasil Safety]" caption="Average of Hasil Safety" numFmtId="0" hierarchy="65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403935185" backgroundQuery="1" createdVersion="8" refreshedVersion="8" minRefreshableVersion="3" recordCount="0" supportSubquery="1" supportAdvancedDrill="1" xr:uid="{D09EC0F5-6F68-4306-8400-AEFFB1D6E6CF}">
  <cacheSource type="external" connectionId="1"/>
  <cacheFields count="5">
    <cacheField name="[Measures].[Average of Score Policy]" caption="Average of Score Policy" numFmtId="0" hierarchy="92" level="32767"/>
    <cacheField name="[Measures].[Average of Score Plan]" caption="Average of Score Plan" numFmtId="0" hierarchy="93" level="32767"/>
    <cacheField name="[Measures].[Average of Score Do]" caption="Average of Score Do" numFmtId="0" hierarchy="94" level="32767"/>
    <cacheField name="[Measures].[Average of Score Check]" caption="Average of Score Check" numFmtId="0" hierarchy="95" level="32767"/>
    <cacheField name="[Measures].[Average of Score Action]" caption="Average of Score Action" numFmtId="0" hierarchy="9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40474537" backgroundQuery="1" createdVersion="8" refreshedVersion="8" minRefreshableVersion="3" recordCount="0" supportSubquery="1" supportAdvancedDrill="1" xr:uid="{6ACB6630-DE7B-47FC-9541-3BA08135B43E}">
  <cacheSource type="external" connectionId="1"/>
  <cacheFields count="2">
    <cacheField name="[Measures].[Sum of OPEX]" caption="Sum of OPEX" numFmtId="0" hierarchy="51" level="32767"/>
    <cacheField name="[Measures].[Sum of Revenue]" caption="Sum of Revenue" numFmtId="0" hierarchy="50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405902779" backgroundQuery="1" createdVersion="8" refreshedVersion="8" minRefreshableVersion="3" recordCount="0" supportSubquery="1" supportAdvancedDrill="1" xr:uid="{4FB8C6CF-F6DD-402E-BCB0-E04AE1C2E0EA}">
  <cacheSource type="external" connectionId="1"/>
  <cacheFields count="8">
    <cacheField name="[Measures].[Sum of Revenue]" caption="Sum of Revenue" numFmtId="0" hierarchy="50" level="32767"/>
    <cacheField name="[Measures].[Average of Initial Investment]" caption="Average of Initial Investment" numFmtId="0" hierarchy="54" level="32767"/>
    <cacheField name="[Measures].[Average of Inflasi]" caption="Average of Inflasi" numFmtId="0" hierarchy="57" level="32767"/>
    <cacheField name="[Measures].[Average of Life Time Investment]" caption="Average of Life Time Investment" numFmtId="0" hierarchy="58" level="32767"/>
    <cacheField name="[Measures].[Sum of OPEX]" caption="Sum of OPEX" numFmtId="0" hierarchy="51" level="32767"/>
    <cacheField name="[Measures].[Average of Cost of Capital]" caption="Average of Cost of Capital" numFmtId="0" hierarchy="53" level="32767"/>
    <cacheField name="[Measures].[Average of Salvage Value]" caption="Average of Salvage Value" numFmtId="0" hierarchy="55" level="32767"/>
    <cacheField name="[Measures].[Average of Tax rate on net income]" caption="Average of Tax rate on net income" numFmtId="0" hierarchy="5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43.576406828703" backgroundQuery="1" createdVersion="8" refreshedVersion="8" minRefreshableVersion="3" recordCount="0" supportSubquery="1" supportAdvancedDrill="1" xr:uid="{5F550602-9900-4AB5-BF8C-F10D8CFDE729}">
  <cacheSource type="external" connectionId="1"/>
  <cacheFields count="3">
    <cacheField name="[Measures].[Average of Jumlah Skor]" caption="Average of Jumlah Skor" numFmtId="0" hierarchy="64" level="32767"/>
    <cacheField name="[Measures].[Average of Hasil Safety]" caption="Average of Hasil Safety" numFmtId="0" hierarchy="65" level="32767"/>
    <cacheField name="[Measures].[Average of Hasil Financial]" caption="Average of Hasil Financial" numFmtId="0" hierarchy="6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20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20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76416-E5B1-4A14-9C01-D15B473C03ED}" name="PivotTable6" cacheId="18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N5:AN7" firstHeaderRow="1" firstDataRow="1" firstDataCol="1"/>
  <pivotFields count="1"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0"/>
  </rowFields>
  <rowItems count="2">
    <i>
      <x/>
    </i>
    <i t="grand">
      <x/>
    </i>
  </rowItems>
  <formats count="18">
    <format dxfId="62">
      <pivotArea type="all" dataOnly="0" outline="0" fieldPosition="0"/>
    </format>
    <format dxfId="61">
      <pivotArea dataOnly="0" labelOnly="1" grandRow="1" outline="0" fieldPosition="0"/>
    </format>
    <format dxfId="60">
      <pivotArea outline="0" collapsedLevelsAreSubtotals="1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all" dataOnly="0" outline="0" fieldPosition="0"/>
    </format>
    <format dxfId="52">
      <pivotArea dataOnly="0" labelOnly="1" grandRow="1" outline="0" fieldPosition="0"/>
    </format>
    <format dxfId="51">
      <pivotArea dataOnly="0" labelOnly="1" grandRow="1" outline="0" fieldPosition="0"/>
    </format>
    <format dxfId="50">
      <pivotArea dataOnly="0" labelOnly="1" grandRow="1" outline="0" fieldPosition="0"/>
    </format>
    <format dxfId="49">
      <pivotArea type="all" dataOnly="0" outline="0" fieldPosition="0"/>
    </format>
    <format dxfId="48">
      <pivotArea dataOnly="0" labelOnly="1" grandRow="1" outline="0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fieldPosition="0">
        <references count="1">
          <reference field="0" count="0"/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9E659-ACDD-47C4-81DD-5779CEE5799C}" name="PivotTable5" cacheId="182" dataOnRows="1" applyNumberFormats="0" applyBorderFormats="0" applyFontFormats="0" applyPatternFormats="0" applyAlignmentFormats="0" applyWidthHeightFormats="1" dataCaption="Values" updatedVersion="8" minRefreshableVersion="3" showDrill="0" useAutoFormatting="1" subtotalHiddenItems="1" itemPrintTitles="1" createdVersion="8" indent="0" showHeaders="0" outline="1" outlineData="1" multipleFieldFilters="0" chartFormat="27">
  <location ref="S5:T6" firstHeaderRow="0" firstDataRow="0" firstDataCol="1"/>
  <pivotFields count="2"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OPEX" fld="0" baseField="0" baseItem="0"/>
    <dataField name="Revenue" fld="1" baseField="0" baseItem="0"/>
  </dataFields>
  <formats count="21">
    <format dxfId="311">
      <pivotArea type="all" dataOnly="0" outline="0" fieldPosition="0"/>
    </format>
    <format dxfId="310">
      <pivotArea dataOnly="0" labelOnly="1" grandRow="1" outline="0" fieldPosition="0"/>
    </format>
    <format dxfId="309">
      <pivotArea outline="0" collapsedLevelsAreSubtotals="1" fieldPosition="0"/>
    </format>
    <format dxfId="308">
      <pivotArea type="all" dataOnly="0" outline="0" fieldPosition="0"/>
    </format>
    <format dxfId="307">
      <pivotArea outline="0" collapsedLevelsAreSubtotals="1" fieldPosition="0"/>
    </format>
    <format dxfId="306">
      <pivotArea type="all" dataOnly="0" outline="0" fieldPosition="0"/>
    </format>
    <format dxfId="305">
      <pivotArea outline="0" collapsedLevelsAreSubtotals="1" fieldPosition="0"/>
    </format>
    <format dxfId="304">
      <pivotArea type="all" dataOnly="0" outline="0" fieldPosition="0"/>
    </format>
    <format dxfId="303">
      <pivotArea outline="0" collapsedLevelsAreSubtotals="1" fieldPosition="0"/>
    </format>
    <format dxfId="302">
      <pivotArea type="all" dataOnly="0" outline="0" fieldPosition="0"/>
    </format>
    <format dxfId="301">
      <pivotArea outline="0" collapsedLevelsAreSubtotals="1" fieldPosition="0"/>
    </format>
    <format dxfId="300">
      <pivotArea fieldPosition="0">
        <references count="1">
          <reference field="4294967294" count="1">
            <x v="0"/>
          </reference>
        </references>
      </pivotArea>
    </format>
    <format dxfId="2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8">
      <pivotArea outline="0" collapsedLevelsAreSubtotals="1" fieldPosition="0"/>
    </format>
    <format dxfId="297">
      <pivotArea fieldPosition="0">
        <references count="1">
          <reference field="4294967294" count="1">
            <x v="0"/>
          </reference>
        </references>
      </pivotArea>
    </format>
    <format dxfId="296">
      <pivotArea outline="0" collapsedLevelsAreSubtotals="1" fieldPosition="0"/>
    </format>
    <format dxfId="295">
      <pivotArea fieldPosition="0">
        <references count="1">
          <reference field="4294967294" count="1">
            <x v="0"/>
          </reference>
        </references>
      </pivotArea>
    </format>
    <format dxfId="294">
      <pivotArea type="all" dataOnly="0" outline="0" fieldPosition="0"/>
    </format>
    <format dxfId="293">
      <pivotArea outline="0" collapsedLevelsAreSubtotals="1" fieldPosition="0"/>
    </format>
    <format dxfId="2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1">
      <pivotArea fieldPosition="0">
        <references count="1">
          <reference field="4294967294" count="1">
            <x v="0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Revenue"/>
    <pivotHierarchy dragToData="1" caption="OPEX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Safety"/>
    <pivotHierarchy dragToData="1" caption="Financi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3E4B2-EFA2-4DE7-B2B6-4FAE7F811711}" name="PivotTable4" cacheId="180" dataOnRows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Headers="0" outline="1" outlineData="1" multipleFieldFilters="0" chartFormat="15">
  <location ref="P5:Q6" firstHeaderRow="0" firstDataRow="0" firstDataCol="1"/>
  <pivotFields count="2"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Financial" fld="0" subtotal="average" baseField="0" baseItem="0"/>
    <dataField name="Safety" fld="1" subtotal="average" baseField="0" baseItem="0"/>
  </dataFields>
  <formats count="18">
    <format dxfId="329">
      <pivotArea type="all" dataOnly="0" outline="0" fieldPosition="0"/>
    </format>
    <format dxfId="328">
      <pivotArea dataOnly="0" labelOnly="1" grandRow="1" outline="0" fieldPosition="0"/>
    </format>
    <format dxfId="327">
      <pivotArea outline="0" collapsedLevelsAreSubtotals="1" fieldPosition="0"/>
    </format>
    <format dxfId="326">
      <pivotArea type="all" dataOnly="0" outline="0" fieldPosition="0"/>
    </format>
    <format dxfId="325">
      <pivotArea outline="0" collapsedLevelsAreSubtotals="1" fieldPosition="0"/>
    </format>
    <format dxfId="324">
      <pivotArea type="all" dataOnly="0" outline="0" fieldPosition="0"/>
    </format>
    <format dxfId="323">
      <pivotArea outline="0" collapsedLevelsAreSubtotals="1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fieldPosition="0">
        <references count="1">
          <reference field="4294967294" count="1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6">
      <pivotArea outline="0" collapsedLevelsAreSubtotals="1" fieldPosition="0"/>
    </format>
    <format dxfId="315">
      <pivotArea fieldPosition="0">
        <references count="1">
          <reference field="4294967294" count="1">
            <x v="0"/>
          </reference>
        </references>
      </pivotArea>
    </format>
    <format dxfId="314">
      <pivotArea outline="0" collapsedLevelsAreSubtotals="1" fieldPosition="0"/>
    </format>
    <format dxfId="313">
      <pivotArea fieldPosition="0">
        <references count="1">
          <reference field="4294967294" count="1">
            <x v="0"/>
          </reference>
        </references>
      </pivotArea>
    </format>
    <format dxfId="312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Safety"/>
    <pivotHierarchy dragToData="1" caption="Financi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04528-22C1-48E9-A2BF-A1BBB136FCCF}" name="PivotTable11" cacheId="17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9">
  <location ref="AH5:AJ22" firstHeaderRow="0" firstDataRow="1" firstDataCol="1"/>
  <pivotFields count="3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Net Cash Flow" fld="1" baseField="0" baseItem="0"/>
    <dataField name="Accumulated Net Cashflow" fld="2" baseField="0" baseItem="0"/>
  </dataFields>
  <formats count="30">
    <format dxfId="92">
      <pivotArea type="all" dataOnly="0" outline="0" fieldPosition="0"/>
    </format>
    <format dxfId="91">
      <pivotArea dataOnly="0" labelOnly="1" grandRow="1" outline="0" fieldPosition="0"/>
    </format>
    <format dxfId="90">
      <pivotArea outline="0" collapsedLevelsAreSubtotals="1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type="all" dataOnly="0" outline="0" fieldPosition="0"/>
    </format>
    <format dxfId="82">
      <pivotArea dataOnly="0" labelOnly="1" outline="0" axis="axisValues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outline="0" collapsedLevelsAreSubtotals="1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outline="0" collapsedLevelsAreSubtotals="1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  <format dxfId="70">
      <pivotArea field="0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 caption="Net Cash Flow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ccumulated Net Cashflow"/>
    <pivotHierarchy dragToData="1"/>
    <pivotHierarchy dragToData="1" caption="Distinct Count of Net Cashflow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E511E-82B7-4968-91A7-38E83C8B67B2}" name="PivotTable2" cacheId="18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L5:N6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Jumlah Skor" fld="0" subtotal="average" baseField="0" baseItem="0"/>
    <dataField name="Average of Hasil Safety" fld="1" subtotal="average" baseField="0" baseItem="0"/>
    <dataField name="Average of Hasil Financial" fld="2" subtotal="average" baseField="0" baseItem="0"/>
  </dataFields>
  <formats count="16">
    <format dxfId="108">
      <pivotArea type="all" dataOnly="0" outline="0" fieldPosition="0"/>
    </format>
    <format dxfId="107">
      <pivotArea dataOnly="0" labelOnly="1" grandRow="1" outline="0" fieldPosition="0"/>
    </format>
    <format dxfId="106">
      <pivotArea outline="0" collapsedLevelsAreSubtotals="1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all" dataOnly="0" outline="0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outline="0" collapsedLevelsAreSubtotals="1" fieldPosition="0"/>
    </format>
    <format dxfId="96">
      <pivotArea outline="0" collapsedLevelsAreSubtotals="1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79D82-CDC8-4A9C-AFD9-8099E5D67942}" name="PivotTable1" cacheId="17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5:A10" firstHeaderRow="1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4">
    <field x="0"/>
    <field x="1"/>
    <field x="2"/>
    <field x="3"/>
  </rowFields>
  <rowItems count="5">
    <i>
      <x/>
    </i>
    <i r="1">
      <x/>
    </i>
    <i r="2">
      <x/>
    </i>
    <i r="3">
      <x/>
    </i>
    <i t="grand">
      <x/>
    </i>
  </rowItems>
  <formats count="39">
    <format dxfId="147">
      <pivotArea type="all" dataOnly="0" outline="0" fieldPosition="0"/>
    </format>
    <format dxfId="146">
      <pivotArea field="0" type="button" dataOnly="0" labelOnly="1" outline="0" axis="axisRow" fieldPosition="0"/>
    </format>
    <format dxfId="145">
      <pivotArea dataOnly="0" labelOnly="1" fieldPosition="0">
        <references count="1">
          <reference field="0" count="0"/>
        </references>
      </pivotArea>
    </format>
    <format dxfId="144">
      <pivotArea dataOnly="0" labelOnly="1" grandRow="1" outline="0" fieldPosition="0"/>
    </format>
    <format dxfId="143">
      <pivotArea field="0" type="button" dataOnly="0" labelOnly="1" outline="0" axis="axisRow" fieldPosition="0"/>
    </format>
    <format dxfId="142">
      <pivotArea field="0" type="button" dataOnly="0" labelOnly="1" outline="0" axis="axisRow" fieldPosition="0"/>
    </format>
    <format dxfId="141">
      <pivotArea dataOnly="0" labelOnly="1" grandRow="1" outline="0" fieldPosition="0"/>
    </format>
    <format dxfId="140">
      <pivotArea dataOnly="0" labelOnly="1" grandRow="1" outline="0" fieldPosition="0"/>
    </format>
    <format dxfId="139">
      <pivotArea type="all" dataOnly="0" outline="0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fieldPosition="0">
        <references count="1">
          <reference field="0" count="0"/>
        </references>
      </pivotArea>
    </format>
    <format dxfId="136">
      <pivotArea field="0" type="button" dataOnly="0" labelOnly="1" outline="0" axis="axisRow" fieldPosition="0"/>
    </format>
    <format dxfId="135">
      <pivotArea dataOnly="0" labelOnly="1" grandRow="1" outline="0" fieldPosition="0"/>
    </format>
    <format dxfId="134">
      <pivotArea type="all" dataOnly="0" outline="0" fieldPosition="0"/>
    </format>
    <format dxfId="133">
      <pivotArea field="0" type="button" dataOnly="0" labelOnly="1" outline="0" axis="axisRow" fieldPosition="0"/>
    </format>
    <format dxfId="132">
      <pivotArea dataOnly="0" labelOnly="1" fieldPosition="0">
        <references count="1">
          <reference field="0" count="0"/>
        </references>
      </pivotArea>
    </format>
    <format dxfId="131">
      <pivotArea dataOnly="0" labelOnly="1" grandRow="1" outline="0" fieldPosition="0"/>
    </format>
    <format dxfId="130">
      <pivotArea dataOnly="0" labelOnly="1" fieldPosition="0">
        <references count="2">
          <reference field="0" count="0" selected="0"/>
          <reference field="1" count="0"/>
        </references>
      </pivotArea>
    </format>
    <format dxfId="129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28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27">
      <pivotArea type="all" dataOnly="0" outline="0" fieldPosition="0"/>
    </format>
    <format dxfId="126">
      <pivotArea field="0" type="button" dataOnly="0" labelOnly="1" outline="0" axis="axisRow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2">
          <reference field="0" count="0" selected="0"/>
          <reference field="1" count="0"/>
        </references>
      </pivotArea>
    </format>
    <format dxfId="122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21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2">
          <reference field="0" count="0" selected="0"/>
          <reference field="1" count="0"/>
        </references>
      </pivotArea>
    </format>
    <format dxfId="117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16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15">
      <pivotArea type="all" dataOnly="0" outline="0" fieldPosition="0"/>
    </format>
    <format dxfId="114">
      <pivotArea field="0" type="button" dataOnly="0" labelOnly="1" outline="0" axis="axisRow" fieldPosition="0"/>
    </format>
    <format dxfId="113">
      <pivotArea dataOnly="0" labelOnly="1" fieldPosition="0">
        <references count="1">
          <reference field="0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0" count="0" selected="0"/>
          <reference field="1" count="0"/>
        </references>
      </pivotArea>
    </format>
    <format dxfId="110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09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39"/>
    <rowHierarchyUsage hierarchyUsage="40"/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F9B00-67EA-4A7D-8ACB-4FA813C74B43}" name="PivotTable12" cacheId="17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L5:AL11" firstHeaderRow="1" firstDataRow="1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5">
    <field x="4"/>
    <field x="0"/>
    <field x="1"/>
    <field x="2"/>
    <field x="3"/>
  </rowFields>
  <rowItems count="6">
    <i>
      <x/>
    </i>
    <i r="1">
      <x/>
    </i>
    <i r="2">
      <x/>
    </i>
    <i r="3">
      <x/>
    </i>
    <i r="4">
      <x/>
    </i>
    <i t="grand">
      <x/>
    </i>
  </rowItems>
  <formats count="37">
    <format dxfId="184">
      <pivotArea type="all" dataOnly="0" outline="0" fieldPosition="0"/>
    </format>
    <format dxfId="183">
      <pivotArea dataOnly="0" labelOnly="1" grandRow="1" outline="0" fieldPosition="0"/>
    </format>
    <format dxfId="182">
      <pivotArea outline="0" collapsedLevelsAreSubtotals="1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type="all" dataOnly="0" outline="0" fieldPosition="0"/>
    </format>
    <format dxfId="174">
      <pivotArea dataOnly="0" labelOnly="1" fieldPosition="0">
        <references count="1">
          <reference field="4" count="0"/>
        </references>
      </pivotArea>
    </format>
    <format dxfId="173">
      <pivotArea dataOnly="0" labelOnly="1" grandRow="1" outline="0" fieldPosition="0"/>
    </format>
    <format dxfId="172">
      <pivotArea dataOnly="0" labelOnly="1" fieldPosition="0">
        <references count="2">
          <reference field="0" count="0"/>
          <reference field="4" count="0" selected="0"/>
        </references>
      </pivotArea>
    </format>
    <format dxfId="171">
      <pivotArea dataOnly="0" labelOnly="1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170">
      <pivotArea dataOnly="0" labelOnly="1" fieldPosition="0">
        <references count="4">
          <reference field="0" count="0" selected="0"/>
          <reference field="1" count="0" selected="0"/>
          <reference field="2" count="0"/>
          <reference field="4" count="0" selected="0"/>
        </references>
      </pivotArea>
    </format>
    <format dxfId="169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/>
          <reference field="4" count="0" selected="0"/>
        </references>
      </pivotArea>
    </format>
    <format dxfId="168">
      <pivotArea dataOnly="0" labelOnly="1" fieldPosition="0">
        <references count="1">
          <reference field="4" count="0"/>
        </references>
      </pivotArea>
    </format>
    <format dxfId="167">
      <pivotArea dataOnly="0" labelOnly="1" grandRow="1" outline="0" fieldPosition="0"/>
    </format>
    <format dxfId="166">
      <pivotArea dataOnly="0" labelOnly="1" fieldPosition="0">
        <references count="2">
          <reference field="0" count="0"/>
          <reference field="4" count="0" selected="0"/>
        </references>
      </pivotArea>
    </format>
    <format dxfId="165">
      <pivotArea dataOnly="0" labelOnly="1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164">
      <pivotArea dataOnly="0" labelOnly="1" fieldPosition="0">
        <references count="4">
          <reference field="0" count="0" selected="0"/>
          <reference field="1" count="0" selected="0"/>
          <reference field="2" count="0"/>
          <reference field="4" count="0" selected="0"/>
        </references>
      </pivotArea>
    </format>
    <format dxfId="163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/>
          <reference field="4" count="0" selected="0"/>
        </references>
      </pivotArea>
    </format>
    <format dxfId="162">
      <pivotArea dataOnly="0" labelOnly="1" fieldPosition="0">
        <references count="1">
          <reference field="4" count="0"/>
        </references>
      </pivotArea>
    </format>
    <format dxfId="161">
      <pivotArea dataOnly="0" labelOnly="1" grandRow="1" outline="0" fieldPosition="0"/>
    </format>
    <format dxfId="160">
      <pivotArea dataOnly="0" labelOnly="1" fieldPosition="0">
        <references count="2">
          <reference field="0" count="0"/>
          <reference field="4" count="0" selected="0"/>
        </references>
      </pivotArea>
    </format>
    <format dxfId="159">
      <pivotArea dataOnly="0" labelOnly="1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158">
      <pivotArea dataOnly="0" labelOnly="1" fieldPosition="0">
        <references count="4">
          <reference field="0" count="0" selected="0"/>
          <reference field="1" count="0" selected="0"/>
          <reference field="2" count="0"/>
          <reference field="4" count="0" selected="0"/>
        </references>
      </pivotArea>
    </format>
    <format dxfId="157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/>
          <reference field="4" count="0" selected="0"/>
        </references>
      </pivotArea>
    </format>
    <format dxfId="156">
      <pivotArea field="4" type="button" dataOnly="0" labelOnly="1" outline="0" axis="axisRow" fieldPosition="0"/>
    </format>
    <format dxfId="155">
      <pivotArea type="all" dataOnly="0" outline="0" fieldPosition="0"/>
    </format>
    <format dxfId="154">
      <pivotArea field="4" type="button" dataOnly="0" labelOnly="1" outline="0" axis="axisRow" fieldPosition="0"/>
    </format>
    <format dxfId="153">
      <pivotArea dataOnly="0" labelOnly="1" fieldPosition="0">
        <references count="1">
          <reference field="4" count="0"/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2">
          <reference field="0" count="0"/>
          <reference field="4" count="0" selected="0"/>
        </references>
      </pivotArea>
    </format>
    <format dxfId="150">
      <pivotArea dataOnly="0" labelOnly="1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149">
      <pivotArea dataOnly="0" labelOnly="1" fieldPosition="0">
        <references count="4">
          <reference field="0" count="0" selected="0"/>
          <reference field="1" count="0" selected="0"/>
          <reference field="2" count="0"/>
          <reference field="4" count="0" selected="0"/>
        </references>
      </pivotArea>
    </format>
    <format dxfId="148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/>
          <reference field="4" count="0" selected="0"/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30"/>
    <rowHierarchyUsage hierarchyUsage="31"/>
    <rowHierarchyUsage hierarchyUsage="32"/>
    <rowHierarchyUsage hierarchyUsage="33"/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AF96B-8F2C-4949-A0A0-84B10B6A826F}" name="PivotTable9" cacheId="179" dataOnRows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4">
  <location ref="AB5:AC10" firstHeaderRow="1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NPV" fld="0" subtotal="average" baseField="0" baseItem="0"/>
    <dataField name="IRR" fld="1" subtotal="average" baseField="0" baseItem="0"/>
    <dataField name="PP" fld="2" subtotal="average" baseField="0" baseItem="0"/>
    <dataField name="PI" fld="3" subtotal="average" baseField="0" baseItem="0"/>
    <dataField name="BCR" fld="4" subtotal="average" baseField="0" baseItem="0"/>
  </dataFields>
  <formats count="23">
    <format dxfId="207">
      <pivotArea type="all" dataOnly="0" outline="0" fieldPosition="0"/>
    </format>
    <format dxfId="206">
      <pivotArea dataOnly="0" labelOnly="1" grandRow="1" outline="0" fieldPosition="0"/>
    </format>
    <format dxfId="205">
      <pivotArea outline="0" collapsedLevelsAreSubtotals="1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dataOnly="0" labelOnly="1" grandCol="1" outline="0" axis="axisCol" fieldPosition="0"/>
    </format>
    <format dxfId="195">
      <pivotArea outline="0" collapsedLevelsAreSubtotals="1" fieldPosition="0"/>
    </format>
    <format dxfId="194">
      <pivotArea dataOnly="0" labelOnly="1" grandCol="1" outline="0" axis="axisCol" fieldPosition="0"/>
    </format>
    <format dxfId="193">
      <pivotArea outline="0" collapsedLevelsAreSubtotals="1" fieldPosition="0"/>
    </format>
    <format dxfId="192">
      <pivotArea dataOnly="0" labelOnly="1" grandCol="1" outline="0" axis="axisCol" fieldPosition="0"/>
    </format>
    <format dxfId="191">
      <pivotArea field="-2" type="button" dataOnly="0" labelOnly="1" outline="0" axis="axisRow" fieldPosition="0"/>
    </format>
    <format dxfId="19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-2" type="button" dataOnly="0" labelOnly="1" outline="0" axis="axisRow" fieldPosition="0"/>
    </format>
    <format dxfId="18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5">
      <pivotArea dataOnly="0" labelOnly="1" grandCol="1" outline="0" axis="axisCol" fieldPosition="0"/>
    </format>
  </formats>
  <chartFormats count="12"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28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2" format="29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 caption="NPV"/>
    <pivotHierarchy dragToData="1" caption="IRR"/>
    <pivotHierarchy dragToData="1" caption="PP"/>
    <pivotHierarchy dragToData="1" caption="PI"/>
    <pivotHierarchy dragToData="1" caption="BCR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7B9BC-0B14-48D4-9624-28600B7856C2}" name="PivotTable3" cacheId="18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5:J6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ost of Capital" fld="5" subtotal="average" baseField="0" baseItem="1" numFmtId="10"/>
    <dataField name="Average of Initial Investment" fld="1" subtotal="average" baseField="0" baseItem="0" numFmtId="44"/>
    <dataField name="Average of Salvage Value" fld="6" subtotal="average" baseField="0" baseItem="3" numFmtId="44"/>
    <dataField name="Sum of Revenue" fld="0" baseField="0" baseItem="0" numFmtId="44"/>
    <dataField name="Sum of OPEX" fld="4" baseField="0" baseItem="0" numFmtId="44"/>
    <dataField name="Average of Inflasi" fld="2" subtotal="average" baseField="0" baseItem="6" numFmtId="10"/>
    <dataField name="Average of Tax rate on net income" fld="7" subtotal="average" baseField="0" baseItem="6" numFmtId="9"/>
    <dataField name="Average of Life Time Investment" fld="3" subtotal="average" baseField="0" baseItem="7"/>
  </dataFields>
  <formats count="38">
    <format dxfId="245">
      <pivotArea type="all" dataOnly="0" outline="0" fieldPosition="0"/>
    </format>
    <format dxfId="244">
      <pivotArea dataOnly="0" labelOnly="1" grandRow="1" outline="0" fieldPosition="0"/>
    </format>
    <format dxfId="24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4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3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6">
      <pivotArea outline="0" collapsedLevelsAreSubtotals="1" fieldPosition="0"/>
    </format>
    <format dxfId="23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2">
      <pivotArea outline="0" collapsedLevelsAreSubtotals="1" fieldPosition="0"/>
    </format>
    <format dxfId="211">
      <pivotArea outline="0" collapsedLevelsAreSubtotals="1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E17FF-1ECB-462F-8E42-5B4D79651791}" name="PivotTable8" cacheId="18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V5:Z6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Hasil NPV" fld="0" subtotal="average" baseField="0" baseItem="0" numFmtId="44"/>
    <dataField name="Average of Hasil IRR" fld="1" subtotal="average" baseField="0" baseItem="0" numFmtId="10"/>
    <dataField name="Average of Hasil PP" fld="2" subtotal="average" baseField="0" baseItem="0"/>
    <dataField name="Average of Hasil PI" fld="3" subtotal="average" baseField="0" baseItem="0" numFmtId="2"/>
    <dataField name="Average of Hasil BCR" fld="4" subtotal="average" baseField="0" baseItem="0" numFmtId="10"/>
  </dataFields>
  <formats count="22">
    <format dxfId="267">
      <pivotArea type="all" dataOnly="0" outline="0" fieldPosition="0"/>
    </format>
    <format dxfId="266">
      <pivotArea dataOnly="0" labelOnly="1" grandRow="1" outline="0" fieldPosition="0"/>
    </format>
    <format dxfId="265">
      <pivotArea outline="0" collapsedLevelsAreSubtotals="1" fieldPosition="0"/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type="all" dataOnly="0" outline="0" fieldPosition="0"/>
    </format>
    <format dxfId="259">
      <pivotArea outline="0" collapsedLevelsAreSubtotals="1" fieldPosition="0"/>
    </format>
    <format dxfId="258">
      <pivotArea type="all" dataOnly="0" outline="0" fieldPosition="0"/>
    </format>
    <format dxfId="2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5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outline="0" collapsedLevelsAreSubtotals="1" fieldPosition="0"/>
    </format>
    <format dxfId="250">
      <pivotArea outline="0" collapsedLevelsAreSubtotals="1" fieldPosition="0"/>
    </format>
    <format dxfId="2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016F8-E823-4F26-A954-8648CC8FD413}" name="PivotTable13" cacheId="181" dataOnRows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1">
  <location ref="AE5:AF10" firstHeaderRow="1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Policy" fld="0" subtotal="average" baseField="0" baseItem="0"/>
    <dataField name="Plan" fld="1" subtotal="average" baseField="0" baseItem="0"/>
    <dataField name="Do" fld="2" subtotal="average" baseField="0" baseItem="0"/>
    <dataField name="Check" fld="3" subtotal="average" baseField="0" baseItem="0"/>
    <dataField name="Action" fld="4" subtotal="average" baseField="0" baseItem="0"/>
  </dataFields>
  <formats count="23">
    <format dxfId="290">
      <pivotArea type="all" dataOnly="0" outline="0" fieldPosition="0"/>
    </format>
    <format dxfId="289">
      <pivotArea dataOnly="0" labelOnly="1" grandRow="1" outline="0" fieldPosition="0"/>
    </format>
    <format dxfId="288">
      <pivotArea outline="0" collapsedLevelsAreSubtotals="1" fieldPosition="0"/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type="all" dataOnly="0" outline="0" fieldPosition="0"/>
    </format>
    <format dxfId="280">
      <pivotArea outline="0" collapsedLevelsAreSubtotals="1" fieldPosition="0"/>
    </format>
    <format dxfId="279">
      <pivotArea dataOnly="0" labelOnly="1" grandCol="1" outline="0" axis="axisCol" fieldPosition="0"/>
    </format>
    <format dxfId="278">
      <pivotArea outline="0" collapsedLevelsAreSubtotals="1" fieldPosition="0"/>
    </format>
    <format dxfId="277">
      <pivotArea dataOnly="0" labelOnly="1" grandCol="1" outline="0" axis="axisCol" fieldPosition="0"/>
    </format>
    <format dxfId="276">
      <pivotArea outline="0" collapsedLevelsAreSubtotals="1" fieldPosition="0"/>
    </format>
    <format dxfId="275">
      <pivotArea dataOnly="0" labelOnly="1" grandCol="1" outline="0" axis="axisCol" fieldPosition="0"/>
    </format>
    <format dxfId="274">
      <pivotArea field="-2" type="button" dataOnly="0" labelOnly="1" outline="0" axis="axisRow" fieldPosition="0"/>
    </format>
    <format dxfId="27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-2" type="button" dataOnly="0" labelOnly="1" outline="0" axis="axisRow" fieldPosition="0"/>
    </format>
    <format dxfId="26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8">
      <pivotArea dataOnly="0" labelOnly="1" grandCol="1" outline="0" axis="axisCol" fieldPosition="0"/>
    </format>
  </formats>
  <chartFormats count="6">
    <chartFormat chart="1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6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27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28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 caption="Average of Score NPV"/>
    <pivotHierarchy dragToData="1" caption="Average of Score IRR"/>
    <pivotHierarchy dragToData="1" caption="Average of Score PP"/>
    <pivotHierarchy dragToData="1" caption="Average of Score PI"/>
    <pivotHierarchy dragToData="1" caption="Average of Score BCR"/>
    <pivotHierarchy dragToData="1"/>
    <pivotHierarchy dragToData="1"/>
    <pivotHierarchy dragToData="1"/>
    <pivotHierarchy dragToData="1"/>
    <pivotHierarchy dragToRow="0" dragToCol="0" dragToPage="0" dragToData="1"/>
    <pivotHierarchy dragToData="1" caption="Policy"/>
    <pivotHierarchy dragToData="1" caption="Plan"/>
    <pivotHierarchy dragToData="1" caption="Do"/>
    <pivotHierarchy dragToData="1" caption="Check"/>
    <pivotHierarchy dragToData="1" caption="Action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6B83FE-26F1-4B71-B8AB-E181D7C5BB25}" name="Table2" displayName="Table2" ref="A1:AQ17" totalsRowShown="0" headerRowDxfId="44" dataDxfId="43">
  <autoFilter ref="A1:AQ17" xr:uid="{B76B83FE-26F1-4B71-B8AB-E181D7C5BB25}"/>
  <tableColumns count="43">
    <tableColumn id="1" xr3:uid="{F1D7DE52-453A-4AE3-9659-4531824FFFD9}" name="No" dataDxfId="42"/>
    <tableColumn id="3" xr3:uid="{42F8D255-935B-4A6D-BD6A-8AC822917B7B}" name="Tahun" dataDxfId="41"/>
    <tableColumn id="32" xr3:uid="{90A9F8C9-4B86-44C9-BF09-569F82D55020}" name="Title" dataDxfId="40">
      <calculatedColumnFormula>Calc!$B$1</calculatedColumnFormula>
    </tableColumn>
    <tableColumn id="5" xr3:uid="{52CAE3B1-3EBA-4521-8913-5E124309BAE9}" name="Initial Investment" dataDxfId="39" dataCellStyle="Currency">
      <calculatedColumnFormula>Calc!$E$4</calculatedColumnFormula>
    </tableColumn>
    <tableColumn id="6" xr3:uid="{FD822A9B-BDD8-440B-A6BB-07E4B5156B02}" name="Cost of Capital" dataDxfId="38">
      <calculatedColumnFormula>Calc!$M$11</calculatedColumnFormula>
    </tableColumn>
    <tableColumn id="7" xr3:uid="{3F5A9561-DB4D-4B1E-9CAC-276A1173458E}" name="Life Time Investment" dataDxfId="37" dataCellStyle="Currency">
      <calculatedColumnFormula>Calc!$E$6</calculatedColumnFormula>
    </tableColumn>
    <tableColumn id="8" xr3:uid="{DAFFEF27-4C1A-4E03-931E-7DC9AD666104}" name="Salvage Value" dataDxfId="36" dataCellStyle="Currency">
      <calculatedColumnFormula>Calc!$E$7</calculatedColumnFormula>
    </tableColumn>
    <tableColumn id="9" xr3:uid="{A944C0E8-A56C-4F2D-9AE7-147C75D01DEA}" name="Tax rate on net income" dataDxfId="35" dataCellStyle="Currency">
      <calculatedColumnFormula>Calc!$I$7</calculatedColumnFormula>
    </tableColumn>
    <tableColumn id="10" xr3:uid="{0B77693B-26FE-48E2-B6E7-D10B051C91B2}" name="Revenue" dataDxfId="34" dataCellStyle="Currency"/>
    <tableColumn id="11" xr3:uid="{186489EE-1A10-4DF8-91C3-9BD9982DE193}" name="OPEX" dataDxfId="33" dataCellStyle="Currency"/>
    <tableColumn id="12" xr3:uid="{A0A3A751-65EA-4B6A-B1E7-10D0F8DB7C16}" name="Inflasi" dataDxfId="32">
      <calculatedColumnFormula>Datasumsi!$F$22</calculatedColumnFormula>
    </tableColumn>
    <tableColumn id="13" xr3:uid="{2FB07F98-48C3-476F-B204-A9E16DA8F4D8}" name="Kebutuhan Pemecokan Tahun 2019" dataDxfId="31" dataCellStyle="Currency">
      <calculatedColumnFormula>Datasumsi!$F$25</calculatedColumnFormula>
    </tableColumn>
    <tableColumn id="2" xr3:uid="{0E5C4FD5-94ED-4197-A7E2-4E23A3E2DF5D}" name="ROI" dataDxfId="30" dataCellStyle="Currency">
      <calculatedColumnFormula>Calc!$E$82</calculatedColumnFormula>
    </tableColumn>
    <tableColumn id="14" xr3:uid="{2F210B47-8A40-481B-984A-8A3F3C86623A}" name="Net Cashflow" dataDxfId="29" dataCellStyle="Currency">
      <calculatedColumnFormula>Calc!D75</calculatedColumnFormula>
    </tableColumn>
    <tableColumn id="15" xr3:uid="{20C9EFE3-BF74-46A1-B485-5532B86E2905}" name="Accumulated Net Cashflow" dataDxfId="28" dataCellStyle="Currency">
      <calculatedColumnFormula>SUM($N$2:N2)</calculatedColumnFormula>
    </tableColumn>
    <tableColumn id="16" xr3:uid="{4955B517-368E-464C-B04C-E43AF783063E}" name="Hasil NPV" dataDxfId="27">
      <calculatedColumnFormula>Calc!$E$79</calculatedColumnFormula>
    </tableColumn>
    <tableColumn id="17" xr3:uid="{EED2AB5F-1A08-4232-B6F7-D3BFFE953EAA}" name="Hasil IRR" dataDxfId="26">
      <calculatedColumnFormula>Calc!$E$80</calculatedColumnFormula>
    </tableColumn>
    <tableColumn id="18" xr3:uid="{D52B146B-75D7-4011-BA7D-05AAFCA80528}" name="Hasil PP" dataDxfId="25">
      <calculatedColumnFormula>Calc!$E$81</calculatedColumnFormula>
    </tableColumn>
    <tableColumn id="19" xr3:uid="{88183687-BB04-4C7E-B54D-7BB3D8213EA2}" name="Hasil PI" dataDxfId="24">
      <calculatedColumnFormula>Calc!$E$83</calculatedColumnFormula>
    </tableColumn>
    <tableColumn id="20" xr3:uid="{EF068AF9-A0E8-4D20-BF11-0C7D4EEEF60E}" name="Hasil BCR" dataDxfId="23">
      <calculatedColumnFormula>Calc!$E$84</calculatedColumnFormula>
    </tableColumn>
    <tableColumn id="38" xr3:uid="{4127654E-0DD7-4452-8B51-44DA50057096}" name="Score NPV" dataDxfId="22">
      <calculatedColumnFormula>Calc!$F$148</calculatedColumnFormula>
    </tableColumn>
    <tableColumn id="36" xr3:uid="{1AF7AF3C-684D-4769-B75A-B5B16F7A3A34}" name="Score IRR" dataDxfId="21">
      <calculatedColumnFormula>Calc!$F$149</calculatedColumnFormula>
    </tableColumn>
    <tableColumn id="37" xr3:uid="{BE4E6F35-9544-44A4-9B88-E57162528915}" name="Score PP" dataDxfId="20">
      <calculatedColumnFormula>Calc!$F$150</calculatedColumnFormula>
    </tableColumn>
    <tableColumn id="35" xr3:uid="{7A4ECFBC-CCA4-43F2-8682-EC87C034E4EF}" name="Score PI" dataDxfId="19">
      <calculatedColumnFormula>Calc!$F$151</calculatedColumnFormula>
    </tableColumn>
    <tableColumn id="34" xr3:uid="{D5E100D1-B6D0-4AA2-8198-CA766E24B4CA}" name="Score BCR" dataDxfId="18">
      <calculatedColumnFormula>Calc!$F$152</calculatedColumnFormula>
    </tableColumn>
    <tableColumn id="21" xr3:uid="{5667DCE5-F394-4DA6-940E-78B006936146}" name="Score Policy" dataDxfId="17">
      <calculatedColumnFormula>Calc!$F$153</calculatedColumnFormula>
    </tableColumn>
    <tableColumn id="22" xr3:uid="{46B53C85-5D0B-4431-868C-499EF9E204F6}" name="Score Plan" dataDxfId="16">
      <calculatedColumnFormula>Calc!$F$154</calculatedColumnFormula>
    </tableColumn>
    <tableColumn id="23" xr3:uid="{524A5281-3EC4-4E5B-8696-8CA19A960C89}" name="Score Do" dataDxfId="15">
      <calculatedColumnFormula>Calc!$F$155</calculatedColumnFormula>
    </tableColumn>
    <tableColumn id="24" xr3:uid="{091A6591-B065-47D1-A30C-D462569D1DD4}" name="Score Check" dataDxfId="14">
      <calculatedColumnFormula>Calc!$F$156</calculatedColumnFormula>
    </tableColumn>
    <tableColumn id="25" xr3:uid="{2AD98334-B4F4-4454-B450-F1CBF684F9D5}" name="Score Action" dataDxfId="13">
      <calculatedColumnFormula>Calc!$F$157</calculatedColumnFormula>
    </tableColumn>
    <tableColumn id="39" xr3:uid="{D369FC39-8A8B-4FA9-AB60-0272F263F5E8}" name="Kategori Policy" dataDxfId="12">
      <calculatedColumnFormula>Calc!$O$120</calculatedColumnFormula>
    </tableColumn>
    <tableColumn id="40" xr3:uid="{0E883259-2864-475B-9A20-CC17235CB1D6}" name="Kategori Plan" dataDxfId="11">
      <calculatedColumnFormula>Calc!$O$125</calculatedColumnFormula>
    </tableColumn>
    <tableColumn id="41" xr3:uid="{6544D4D5-D9A2-4D06-846B-4B05E2882403}" name="Kategori Do" dataDxfId="10"/>
    <tableColumn id="42" xr3:uid="{B77E22A8-5311-4BAC-8EA1-CC493B6DE30F}" name="Kategori Check" dataDxfId="9">
      <calculatedColumnFormula>Calc!$O$135</calculatedColumnFormula>
    </tableColumn>
    <tableColumn id="43" xr3:uid="{EDA5D976-D1A5-40B3-9F6B-F1FDE7E19ACD}" name="Kategori Action" dataDxfId="8">
      <calculatedColumnFormula>Calc!$O$140</calculatedColumnFormula>
    </tableColumn>
    <tableColumn id="26" xr3:uid="{23605B4C-1F17-442F-88AA-2B3006A92752}" name="Hasil Financial" dataDxfId="7">
      <calculatedColumnFormula>Calc!$G$148</calculatedColumnFormula>
    </tableColumn>
    <tableColumn id="27" xr3:uid="{574649B1-DED8-4C7C-A3E7-63CC18489E2F}" name="Hasil Safety" dataDxfId="6">
      <calculatedColumnFormula>Calc!$G$153</calculatedColumnFormula>
    </tableColumn>
    <tableColumn id="28" xr3:uid="{0B666A96-02B4-4238-88EB-65E0A356B056}" name="Jumlah Skor" dataDxfId="5">
      <calculatedColumnFormula>Calc!$G$158</calculatedColumnFormula>
    </tableColumn>
    <tableColumn id="33" xr3:uid="{3CE88CB5-4923-4F95-AF30-9CE90FE8C579}" name="Category Score Invest" dataDxfId="4">
      <calculatedColumnFormula>Calc!$F$159</calculatedColumnFormula>
    </tableColumn>
    <tableColumn id="29" xr3:uid="{F0F1EF9E-7D86-4D2C-8690-6A03AE32E251}" name="Project Feasibility" dataDxfId="3">
      <calculatedColumnFormula>Calc!$G$159</calculatedColumnFormula>
    </tableColumn>
    <tableColumn id="31" xr3:uid="{3FA17136-97D8-4541-857F-9CA99BFAD368}" name="Financial Feasibility" dataDxfId="2">
      <calculatedColumnFormula>Calc!$G$81</calculatedColumnFormula>
    </tableColumn>
    <tableColumn id="4" xr3:uid="{C89E66E0-B1CD-43AC-8920-3A5824E0BB0B}" name="Interpretasi Financial" dataDxfId="1">
      <calculatedColumnFormula>Calc!$G$82</calculatedColumnFormula>
    </tableColumn>
    <tableColumn id="30" xr3:uid="{1F13FE08-4F4F-4BB5-9E70-57021159C686}" name="Investment Decision" dataDxfId="0">
      <calculatedColumnFormula>IF(AN2="Very Feasible", "The investment project is highly feasible in terms of financial and safety criteria.",
IF(AN2="Feasible", "The investment project is feasible in terms of financial and safety criteria.",
IF(AN2="Considered", "The investment project is considered in terms of financial and safety criteria.",
IF(AN2="Not Feasible", "The investment project is not feasible in terms of financial and safety criteria.",
"Feasibility status is undefined; please check the input."))))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C9F1-BC6D-416D-A6B6-D856C175FEDE}">
  <sheetPr>
    <tabColor rgb="FFC00000"/>
  </sheetPr>
  <dimension ref="B17:I35"/>
  <sheetViews>
    <sheetView showGridLines="0" showRowColHeaders="0" zoomScaleNormal="83" workbookViewId="0">
      <selection activeCell="U7" sqref="U7"/>
    </sheetView>
  </sheetViews>
  <sheetFormatPr defaultRowHeight="15.5"/>
  <cols>
    <col min="1" max="16384" width="8.6640625" style="364"/>
  </cols>
  <sheetData>
    <row r="17" spans="2:9">
      <c r="I17" s="373"/>
    </row>
    <row r="18" spans="2:9">
      <c r="I18" s="373"/>
    </row>
    <row r="19" spans="2:9">
      <c r="I19" s="373"/>
    </row>
    <row r="20" spans="2:9">
      <c r="I20" s="373"/>
    </row>
    <row r="21" spans="2:9">
      <c r="I21" s="373"/>
    </row>
    <row r="22" spans="2:9">
      <c r="I22" s="373"/>
    </row>
    <row r="23" spans="2:9">
      <c r="I23" s="373"/>
    </row>
    <row r="24" spans="2:9">
      <c r="I24" s="373"/>
    </row>
    <row r="25" spans="2:9">
      <c r="I25" s="373"/>
    </row>
    <row r="26" spans="2:9">
      <c r="I26" s="373"/>
    </row>
    <row r="27" spans="2:9">
      <c r="I27" s="373"/>
    </row>
    <row r="29" spans="2:9">
      <c r="B29" s="452"/>
      <c r="C29" s="452"/>
      <c r="D29" s="452"/>
      <c r="E29" s="452"/>
      <c r="F29" s="452"/>
      <c r="G29" s="452"/>
      <c r="H29" s="452"/>
    </row>
    <row r="30" spans="2:9">
      <c r="B30" s="452"/>
      <c r="C30" s="452"/>
      <c r="D30" s="452"/>
      <c r="E30" s="452"/>
      <c r="F30" s="452"/>
      <c r="G30" s="452"/>
      <c r="H30" s="452"/>
    </row>
    <row r="31" spans="2:9">
      <c r="B31" s="452"/>
      <c r="C31" s="452"/>
      <c r="D31" s="452"/>
      <c r="E31" s="452"/>
      <c r="F31" s="452"/>
      <c r="G31" s="452"/>
      <c r="H31" s="452"/>
    </row>
    <row r="32" spans="2:9">
      <c r="B32" s="452"/>
      <c r="C32" s="452"/>
      <c r="D32" s="452"/>
      <c r="E32" s="452"/>
      <c r="F32" s="452"/>
      <c r="G32" s="452"/>
      <c r="H32" s="452"/>
    </row>
    <row r="33" spans="2:8">
      <c r="B33" s="452"/>
      <c r="C33" s="452"/>
      <c r="D33" s="452"/>
      <c r="E33" s="452"/>
      <c r="F33" s="452"/>
      <c r="G33" s="452"/>
      <c r="H33" s="452"/>
    </row>
    <row r="34" spans="2:8">
      <c r="B34" s="452"/>
      <c r="C34" s="452"/>
      <c r="D34" s="452"/>
      <c r="E34" s="452"/>
      <c r="F34" s="452"/>
      <c r="G34" s="452"/>
      <c r="H34" s="452"/>
    </row>
    <row r="35" spans="2:8">
      <c r="B35" s="452"/>
      <c r="C35" s="452"/>
      <c r="D35" s="452"/>
      <c r="E35" s="452"/>
      <c r="F35" s="452"/>
      <c r="G35" s="452"/>
      <c r="H35" s="452"/>
    </row>
  </sheetData>
  <sheetProtection algorithmName="SHA-512" hashValue="MAS54hyiKt2NOFNiz7QoLyWhdMBsGu8Sbmj7uWwrqUSVmZXF/IzZHYK5xxSqVgULc7PNmfcdhoBy5lipAaH60w==" saltValue="mALjeQ420DOZOVmRtSLXf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5314"/>
  </sheetPr>
  <dimension ref="A1:AF94"/>
  <sheetViews>
    <sheetView showGridLines="0" showRowColHeaders="0" zoomScale="99" zoomScaleNormal="103" workbookViewId="0">
      <selection activeCell="C20" sqref="C20:E20"/>
    </sheetView>
  </sheetViews>
  <sheetFormatPr defaultRowHeight="15.5"/>
  <cols>
    <col min="1" max="1" width="6.5" style="365" customWidth="1"/>
    <col min="2" max="2" width="6.4140625" style="375" customWidth="1"/>
    <col min="3" max="3" width="14.58203125" style="365" customWidth="1"/>
    <col min="4" max="4" width="10.58203125" style="375" customWidth="1"/>
    <col min="5" max="18" width="10.58203125" style="365" customWidth="1"/>
    <col min="19" max="16384" width="8.6640625" style="365"/>
  </cols>
  <sheetData>
    <row r="1" spans="1:32"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  <c r="AB1" s="384"/>
    </row>
    <row r="2" spans="1:32"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</row>
    <row r="3" spans="1:32" ht="27" customHeight="1">
      <c r="A3" s="384"/>
      <c r="B3" s="388"/>
      <c r="C3" s="384"/>
      <c r="D3" s="388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4"/>
      <c r="AF3" s="384"/>
    </row>
    <row r="4" spans="1:32" s="384" customFormat="1" ht="17.5">
      <c r="B4" s="390"/>
      <c r="C4" s="391"/>
      <c r="D4" s="388"/>
    </row>
    <row r="5" spans="1:32" s="384" customFormat="1" ht="17.5">
      <c r="B5" s="392"/>
      <c r="C5" s="391"/>
      <c r="D5" s="393"/>
      <c r="E5" s="391"/>
      <c r="F5" s="391"/>
      <c r="G5" s="387"/>
    </row>
    <row r="6" spans="1:32" s="375" customFormat="1" ht="33.65" customHeight="1" thickBot="1">
      <c r="A6" s="388"/>
      <c r="B6" s="382" t="s">
        <v>0</v>
      </c>
      <c r="C6" s="476" t="s">
        <v>32</v>
      </c>
      <c r="D6" s="477"/>
      <c r="E6" s="478"/>
      <c r="F6" s="473" t="s">
        <v>146</v>
      </c>
      <c r="G6" s="473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</row>
    <row r="7" spans="1:32" ht="20.5" customHeight="1">
      <c r="A7" s="384"/>
      <c r="B7" s="394">
        <v>1</v>
      </c>
      <c r="C7" s="479" t="s">
        <v>141</v>
      </c>
      <c r="D7" s="480"/>
      <c r="E7" s="481"/>
      <c r="F7" s="474">
        <v>40000000000</v>
      </c>
      <c r="G7" s="47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</row>
    <row r="8" spans="1:32" ht="20.5" customHeight="1">
      <c r="A8" s="384"/>
      <c r="B8" s="395">
        <f>B7+1</f>
        <v>2</v>
      </c>
      <c r="C8" s="460" t="s">
        <v>276</v>
      </c>
      <c r="D8" s="461"/>
      <c r="E8" s="462"/>
      <c r="F8" s="475">
        <v>1</v>
      </c>
      <c r="G8" s="475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</row>
    <row r="9" spans="1:32" ht="20.5" customHeight="1">
      <c r="A9" s="384"/>
      <c r="B9" s="395">
        <f t="shared" ref="B9:B27" si="0">B8+1</f>
        <v>3</v>
      </c>
      <c r="C9" s="460" t="s">
        <v>285</v>
      </c>
      <c r="D9" s="461"/>
      <c r="E9" s="462"/>
      <c r="F9" s="468">
        <v>1600</v>
      </c>
      <c r="G9" s="468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</row>
    <row r="10" spans="1:32" ht="20.5" customHeight="1">
      <c r="A10" s="384"/>
      <c r="B10" s="395">
        <f t="shared" si="0"/>
        <v>4</v>
      </c>
      <c r="C10" s="460" t="s">
        <v>286</v>
      </c>
      <c r="D10" s="461"/>
      <c r="E10" s="462"/>
      <c r="F10" s="468">
        <v>2.6</v>
      </c>
      <c r="G10" s="468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</row>
    <row r="11" spans="1:32" ht="20.5" customHeight="1">
      <c r="A11" s="384"/>
      <c r="B11" s="395">
        <f t="shared" si="0"/>
        <v>5</v>
      </c>
      <c r="C11" s="383" t="s">
        <v>287</v>
      </c>
      <c r="D11" s="383"/>
      <c r="E11" s="383"/>
      <c r="F11" s="468">
        <v>280</v>
      </c>
      <c r="G11" s="468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</row>
    <row r="12" spans="1:32" ht="20.5" customHeight="1">
      <c r="A12" s="384"/>
      <c r="B12" s="395">
        <f t="shared" si="0"/>
        <v>6</v>
      </c>
      <c r="C12" s="460" t="s">
        <v>288</v>
      </c>
      <c r="D12" s="461"/>
      <c r="E12" s="462"/>
      <c r="F12" s="468">
        <v>1219500</v>
      </c>
      <c r="G12" s="468"/>
      <c r="H12" s="384"/>
      <c r="I12" s="384"/>
      <c r="J12" s="384"/>
      <c r="K12" s="384"/>
      <c r="L12" s="384"/>
      <c r="M12" s="384"/>
      <c r="N12" s="384"/>
      <c r="O12" s="384"/>
      <c r="P12" s="384"/>
      <c r="Q12" s="384"/>
      <c r="R12" s="384"/>
      <c r="S12" s="384"/>
    </row>
    <row r="13" spans="1:32" ht="20.5" customHeight="1">
      <c r="A13" s="384"/>
      <c r="B13" s="395">
        <f t="shared" si="0"/>
        <v>7</v>
      </c>
      <c r="C13" s="460" t="s">
        <v>289</v>
      </c>
      <c r="D13" s="461"/>
      <c r="E13" s="462"/>
      <c r="F13" s="468">
        <v>9464.8092378310503</v>
      </c>
      <c r="G13" s="468"/>
      <c r="H13" s="384"/>
      <c r="I13" s="384"/>
      <c r="J13" s="384"/>
      <c r="K13" s="384"/>
      <c r="L13" s="384"/>
      <c r="M13" s="384"/>
      <c r="N13" s="384"/>
      <c r="O13" s="384"/>
      <c r="P13" s="384"/>
      <c r="Q13" s="384"/>
      <c r="R13" s="384"/>
      <c r="S13" s="384"/>
    </row>
    <row r="14" spans="1:32" ht="20.5" customHeight="1">
      <c r="A14" s="384"/>
      <c r="B14" s="395">
        <f t="shared" si="0"/>
        <v>8</v>
      </c>
      <c r="C14" s="460" t="s">
        <v>290</v>
      </c>
      <c r="D14" s="461"/>
      <c r="E14" s="462"/>
      <c r="F14" s="468">
        <v>310000000</v>
      </c>
      <c r="G14" s="468"/>
      <c r="H14" s="384"/>
      <c r="I14" s="384"/>
      <c r="J14" s="384"/>
      <c r="K14" s="399"/>
      <c r="L14" s="384"/>
      <c r="M14" s="384"/>
      <c r="N14" s="384"/>
      <c r="O14" s="384"/>
      <c r="P14" s="384"/>
      <c r="Q14" s="384"/>
      <c r="R14" s="384"/>
      <c r="S14" s="384"/>
    </row>
    <row r="15" spans="1:32" ht="20.5" customHeight="1">
      <c r="A15" s="384"/>
      <c r="B15" s="395">
        <f t="shared" si="0"/>
        <v>9</v>
      </c>
      <c r="C15" s="460" t="s">
        <v>291</v>
      </c>
      <c r="D15" s="461"/>
      <c r="E15" s="462"/>
      <c r="F15" s="468">
        <v>10</v>
      </c>
      <c r="G15" s="468"/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</row>
    <row r="16" spans="1:32" ht="20.5" customHeight="1">
      <c r="A16" s="384"/>
      <c r="B16" s="395">
        <f t="shared" si="0"/>
        <v>10</v>
      </c>
      <c r="C16" s="460" t="s">
        <v>292</v>
      </c>
      <c r="D16" s="461"/>
      <c r="E16" s="462"/>
      <c r="F16" s="468">
        <v>6</v>
      </c>
      <c r="G16" s="468"/>
      <c r="H16" s="384"/>
      <c r="I16" s="384"/>
      <c r="J16" s="384"/>
      <c r="K16" s="384"/>
      <c r="L16" s="384"/>
      <c r="M16" s="384"/>
      <c r="N16" s="384"/>
      <c r="O16" s="384"/>
      <c r="P16" s="384"/>
      <c r="Q16" s="384"/>
      <c r="R16" s="384"/>
      <c r="S16" s="384"/>
    </row>
    <row r="17" spans="1:19" ht="20.5" customHeight="1">
      <c r="A17" s="384"/>
      <c r="B17" s="395">
        <f t="shared" si="0"/>
        <v>11</v>
      </c>
      <c r="C17" s="460" t="s">
        <v>293</v>
      </c>
      <c r="D17" s="461"/>
      <c r="E17" s="462"/>
      <c r="F17" s="468">
        <v>288</v>
      </c>
      <c r="G17" s="468"/>
      <c r="H17" s="384"/>
      <c r="I17" s="384"/>
      <c r="J17" s="384"/>
      <c r="K17" s="384"/>
      <c r="L17" s="384"/>
      <c r="M17" s="384"/>
      <c r="N17" s="384"/>
      <c r="O17" s="384"/>
      <c r="P17" s="384"/>
      <c r="Q17" s="384"/>
      <c r="R17" s="384"/>
      <c r="S17" s="384"/>
    </row>
    <row r="18" spans="1:19" ht="20.5" customHeight="1">
      <c r="A18" s="384"/>
      <c r="B18" s="395">
        <f t="shared" si="0"/>
        <v>12</v>
      </c>
      <c r="C18" s="460" t="s">
        <v>294</v>
      </c>
      <c r="D18" s="461"/>
      <c r="E18" s="462"/>
      <c r="F18" s="468">
        <v>18280</v>
      </c>
      <c r="G18" s="468"/>
      <c r="H18" s="384"/>
      <c r="I18" s="384"/>
      <c r="J18" s="384"/>
      <c r="K18" s="384"/>
      <c r="L18" s="384"/>
      <c r="M18" s="384"/>
      <c r="N18" s="384"/>
      <c r="O18" s="384"/>
      <c r="P18" s="384"/>
      <c r="Q18" s="384"/>
      <c r="R18" s="384"/>
      <c r="S18" s="384"/>
    </row>
    <row r="19" spans="1:19" ht="20.5" customHeight="1">
      <c r="A19" s="384"/>
      <c r="B19" s="395">
        <f t="shared" si="0"/>
        <v>13</v>
      </c>
      <c r="C19" s="460" t="s">
        <v>295</v>
      </c>
      <c r="D19" s="461"/>
      <c r="E19" s="462"/>
      <c r="F19" s="468">
        <v>14326.849537037</v>
      </c>
      <c r="G19" s="468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</row>
    <row r="20" spans="1:19" ht="20.5" customHeight="1">
      <c r="A20" s="384"/>
      <c r="B20" s="395">
        <f t="shared" si="0"/>
        <v>14</v>
      </c>
      <c r="C20" s="460" t="s">
        <v>41</v>
      </c>
      <c r="D20" s="461"/>
      <c r="E20" s="462"/>
      <c r="F20" s="469">
        <v>15</v>
      </c>
      <c r="G20" s="469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</row>
    <row r="21" spans="1:19" ht="20.5" customHeight="1">
      <c r="A21" s="384"/>
      <c r="B21" s="395">
        <f t="shared" si="0"/>
        <v>15</v>
      </c>
      <c r="C21" s="460" t="s">
        <v>281</v>
      </c>
      <c r="D21" s="461"/>
      <c r="E21" s="462"/>
      <c r="F21" s="470">
        <v>0.1</v>
      </c>
      <c r="G21" s="470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</row>
    <row r="22" spans="1:19" ht="20.5" customHeight="1">
      <c r="A22" s="384"/>
      <c r="B22" s="395">
        <f t="shared" si="0"/>
        <v>16</v>
      </c>
      <c r="C22" s="460" t="s">
        <v>142</v>
      </c>
      <c r="D22" s="461"/>
      <c r="E22" s="462"/>
      <c r="F22" s="471">
        <v>3.5000000000000003E-2</v>
      </c>
      <c r="G22" s="471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</row>
    <row r="23" spans="1:19" ht="20.5" customHeight="1">
      <c r="A23" s="384"/>
      <c r="B23" s="395">
        <f t="shared" si="0"/>
        <v>17</v>
      </c>
      <c r="C23" s="460" t="s">
        <v>143</v>
      </c>
      <c r="D23" s="461"/>
      <c r="E23" s="462"/>
      <c r="F23" s="470">
        <v>0.25</v>
      </c>
      <c r="G23" s="470"/>
      <c r="H23" s="384"/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</row>
    <row r="24" spans="1:19" ht="20.5" customHeight="1">
      <c r="A24" s="384"/>
      <c r="B24" s="395">
        <f t="shared" si="0"/>
        <v>18</v>
      </c>
      <c r="C24" s="460" t="s">
        <v>144</v>
      </c>
      <c r="D24" s="461"/>
      <c r="E24" s="462"/>
      <c r="F24" s="471">
        <v>9.35E-2</v>
      </c>
      <c r="G24" s="471"/>
      <c r="H24" s="384"/>
      <c r="I24" s="384"/>
      <c r="J24" s="384"/>
      <c r="K24" s="384"/>
      <c r="L24" s="384"/>
      <c r="M24" s="384"/>
      <c r="N24" s="384"/>
      <c r="O24" s="384"/>
      <c r="P24" s="384"/>
      <c r="Q24" s="384"/>
      <c r="R24" s="384"/>
      <c r="S24" s="384"/>
    </row>
    <row r="25" spans="1:19" ht="64.5" customHeight="1">
      <c r="A25" s="384"/>
      <c r="B25" s="395">
        <f t="shared" si="0"/>
        <v>19</v>
      </c>
      <c r="C25" s="460" t="s">
        <v>282</v>
      </c>
      <c r="D25" s="461"/>
      <c r="E25" s="462"/>
      <c r="F25" s="472">
        <v>9841467.9299999997</v>
      </c>
      <c r="G25" s="472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</row>
    <row r="26" spans="1:19" ht="32" customHeight="1">
      <c r="A26" s="384"/>
      <c r="B26" s="395">
        <f t="shared" si="0"/>
        <v>20</v>
      </c>
      <c r="C26" s="465" t="s">
        <v>283</v>
      </c>
      <c r="D26" s="466"/>
      <c r="E26" s="467"/>
      <c r="F26" s="470">
        <v>0.01</v>
      </c>
      <c r="G26" s="470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</row>
    <row r="27" spans="1:19" ht="32.5" customHeight="1">
      <c r="A27" s="384"/>
      <c r="B27" s="395">
        <f t="shared" si="0"/>
        <v>21</v>
      </c>
      <c r="C27" s="465" t="s">
        <v>284</v>
      </c>
      <c r="D27" s="466"/>
      <c r="E27" s="467"/>
      <c r="F27" s="470">
        <v>0.01</v>
      </c>
      <c r="G27" s="470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4"/>
    </row>
    <row r="28" spans="1:19" s="384" customFormat="1">
      <c r="B28" s="385"/>
      <c r="C28" s="386"/>
      <c r="D28" s="385"/>
      <c r="E28" s="387"/>
      <c r="F28" s="387"/>
      <c r="G28" s="387"/>
    </row>
    <row r="29" spans="1:19" s="384" customFormat="1">
      <c r="B29" s="385"/>
      <c r="C29" s="386"/>
      <c r="D29" s="385"/>
      <c r="E29" s="387"/>
      <c r="F29" s="387"/>
      <c r="G29" s="387"/>
    </row>
    <row r="30" spans="1:19" s="384" customFormat="1">
      <c r="B30" s="385"/>
      <c r="C30" s="386"/>
      <c r="D30" s="385"/>
      <c r="E30" s="387"/>
      <c r="F30" s="387"/>
      <c r="G30" s="387"/>
    </row>
    <row r="31" spans="1:19" s="384" customFormat="1" ht="20" customHeight="1">
      <c r="B31" s="388"/>
      <c r="C31" s="389"/>
      <c r="D31" s="388"/>
    </row>
    <row r="32" spans="1:19" ht="16" thickBot="1">
      <c r="A32" s="384"/>
      <c r="B32" s="396" t="s">
        <v>174</v>
      </c>
      <c r="C32" s="381" t="s">
        <v>198</v>
      </c>
      <c r="D32" s="381" t="s">
        <v>199</v>
      </c>
      <c r="E32" s="381" t="s">
        <v>200</v>
      </c>
      <c r="F32" s="381" t="s">
        <v>201</v>
      </c>
      <c r="G32" s="381" t="s">
        <v>202</v>
      </c>
      <c r="H32" s="381" t="s">
        <v>203</v>
      </c>
      <c r="I32" s="381" t="s">
        <v>204</v>
      </c>
      <c r="J32" s="381" t="s">
        <v>225</v>
      </c>
      <c r="K32" s="381" t="s">
        <v>226</v>
      </c>
      <c r="L32" s="381" t="s">
        <v>227</v>
      </c>
      <c r="M32" s="381" t="s">
        <v>228</v>
      </c>
      <c r="N32" s="381" t="s">
        <v>229</v>
      </c>
      <c r="O32" s="384"/>
      <c r="P32" s="384"/>
      <c r="Q32" s="384"/>
      <c r="R32" s="384"/>
    </row>
    <row r="33" spans="1:18">
      <c r="A33" s="384"/>
      <c r="B33" s="397">
        <v>1</v>
      </c>
      <c r="C33" s="464" t="s">
        <v>206</v>
      </c>
      <c r="D33" s="379">
        <v>1</v>
      </c>
      <c r="E33" s="380">
        <v>5</v>
      </c>
      <c r="F33" s="380">
        <v>5</v>
      </c>
      <c r="G33" s="380">
        <v>5</v>
      </c>
      <c r="H33" s="380">
        <v>4</v>
      </c>
      <c r="I33" s="380">
        <v>4</v>
      </c>
      <c r="J33" s="380">
        <v>4</v>
      </c>
      <c r="K33" s="380">
        <v>3</v>
      </c>
      <c r="L33" s="380">
        <v>5</v>
      </c>
      <c r="M33" s="380">
        <v>4</v>
      </c>
      <c r="N33" s="380">
        <v>3</v>
      </c>
      <c r="O33" s="384"/>
      <c r="P33" s="384"/>
      <c r="Q33" s="384"/>
      <c r="R33" s="384"/>
    </row>
    <row r="34" spans="1:18">
      <c r="A34" s="384"/>
      <c r="B34" s="398">
        <f>B33+1</f>
        <v>2</v>
      </c>
      <c r="C34" s="463"/>
      <c r="D34" s="377">
        <v>2</v>
      </c>
      <c r="E34" s="378">
        <v>5</v>
      </c>
      <c r="F34" s="378">
        <v>2</v>
      </c>
      <c r="G34" s="378">
        <v>3</v>
      </c>
      <c r="H34" s="378">
        <v>3</v>
      </c>
      <c r="I34" s="378">
        <v>5</v>
      </c>
      <c r="J34" s="378">
        <v>5</v>
      </c>
      <c r="K34" s="378">
        <v>3</v>
      </c>
      <c r="L34" s="378">
        <v>4</v>
      </c>
      <c r="M34" s="378">
        <v>5</v>
      </c>
      <c r="N34" s="378">
        <v>4</v>
      </c>
      <c r="O34" s="384"/>
      <c r="P34" s="384"/>
      <c r="Q34" s="384"/>
      <c r="R34" s="384"/>
    </row>
    <row r="35" spans="1:18">
      <c r="A35" s="384"/>
      <c r="B35" s="398">
        <f t="shared" ref="B35:B57" si="1">B34+1</f>
        <v>3</v>
      </c>
      <c r="C35" s="463"/>
      <c r="D35" s="377">
        <v>3</v>
      </c>
      <c r="E35" s="378">
        <v>4</v>
      </c>
      <c r="F35" s="378">
        <v>5</v>
      </c>
      <c r="G35" s="378">
        <v>5</v>
      </c>
      <c r="H35" s="378">
        <v>5</v>
      </c>
      <c r="I35" s="378">
        <v>4</v>
      </c>
      <c r="J35" s="378">
        <v>4</v>
      </c>
      <c r="K35" s="378">
        <v>4</v>
      </c>
      <c r="L35" s="378">
        <v>5</v>
      </c>
      <c r="M35" s="378">
        <v>1</v>
      </c>
      <c r="N35" s="378">
        <v>3</v>
      </c>
      <c r="O35" s="384"/>
      <c r="P35" s="384"/>
      <c r="Q35" s="384"/>
      <c r="R35" s="384"/>
    </row>
    <row r="36" spans="1:18">
      <c r="A36" s="384"/>
      <c r="B36" s="398">
        <f t="shared" si="1"/>
        <v>4</v>
      </c>
      <c r="C36" s="463"/>
      <c r="D36" s="377">
        <v>4</v>
      </c>
      <c r="E36" s="378">
        <v>5</v>
      </c>
      <c r="F36" s="378">
        <v>2</v>
      </c>
      <c r="G36" s="378">
        <v>3</v>
      </c>
      <c r="H36" s="378">
        <v>3</v>
      </c>
      <c r="I36" s="378">
        <v>3</v>
      </c>
      <c r="J36" s="378">
        <v>3</v>
      </c>
      <c r="K36" s="378">
        <v>1</v>
      </c>
      <c r="L36" s="378">
        <v>4</v>
      </c>
      <c r="M36" s="378">
        <v>4</v>
      </c>
      <c r="N36" s="378">
        <v>3</v>
      </c>
      <c r="O36" s="384"/>
      <c r="P36" s="384"/>
      <c r="Q36" s="384"/>
      <c r="R36" s="384"/>
    </row>
    <row r="37" spans="1:18">
      <c r="A37" s="384"/>
      <c r="B37" s="398">
        <f t="shared" si="1"/>
        <v>5</v>
      </c>
      <c r="C37" s="463"/>
      <c r="D37" s="377">
        <v>5</v>
      </c>
      <c r="E37" s="378">
        <v>5</v>
      </c>
      <c r="F37" s="378">
        <v>1</v>
      </c>
      <c r="G37" s="378">
        <v>4</v>
      </c>
      <c r="H37" s="378">
        <v>4</v>
      </c>
      <c r="I37" s="378">
        <v>4</v>
      </c>
      <c r="J37" s="378">
        <v>5</v>
      </c>
      <c r="K37" s="378">
        <v>5</v>
      </c>
      <c r="L37" s="378">
        <v>5</v>
      </c>
      <c r="M37" s="378">
        <v>4</v>
      </c>
      <c r="N37" s="378">
        <v>2</v>
      </c>
      <c r="O37" s="384"/>
      <c r="P37" s="384"/>
      <c r="Q37" s="384"/>
      <c r="R37" s="384"/>
    </row>
    <row r="38" spans="1:18">
      <c r="A38" s="384"/>
      <c r="B38" s="398">
        <f t="shared" si="1"/>
        <v>6</v>
      </c>
      <c r="C38" s="463" t="s">
        <v>207</v>
      </c>
      <c r="D38" s="377">
        <v>1</v>
      </c>
      <c r="E38" s="378">
        <v>5</v>
      </c>
      <c r="F38" s="378">
        <v>3</v>
      </c>
      <c r="G38" s="378">
        <v>5</v>
      </c>
      <c r="H38" s="378">
        <v>4</v>
      </c>
      <c r="I38" s="378">
        <v>4</v>
      </c>
      <c r="J38" s="378">
        <v>5</v>
      </c>
      <c r="K38" s="378">
        <v>5</v>
      </c>
      <c r="L38" s="378">
        <v>5</v>
      </c>
      <c r="M38" s="378">
        <v>5</v>
      </c>
      <c r="N38" s="378">
        <v>5</v>
      </c>
      <c r="O38" s="384"/>
      <c r="P38" s="384"/>
      <c r="Q38" s="384"/>
      <c r="R38" s="384"/>
    </row>
    <row r="39" spans="1:18">
      <c r="A39" s="384"/>
      <c r="B39" s="398">
        <f t="shared" si="1"/>
        <v>7</v>
      </c>
      <c r="C39" s="463"/>
      <c r="D39" s="377">
        <v>2</v>
      </c>
      <c r="E39" s="378">
        <v>5</v>
      </c>
      <c r="F39" s="378">
        <v>4</v>
      </c>
      <c r="G39" s="378">
        <v>5</v>
      </c>
      <c r="H39" s="378">
        <v>5</v>
      </c>
      <c r="I39" s="378">
        <v>5</v>
      </c>
      <c r="J39" s="378">
        <v>5</v>
      </c>
      <c r="K39" s="378">
        <v>5</v>
      </c>
      <c r="L39" s="378">
        <v>4</v>
      </c>
      <c r="M39" s="378">
        <v>5</v>
      </c>
      <c r="N39" s="378">
        <v>5</v>
      </c>
      <c r="O39" s="384"/>
      <c r="P39" s="384"/>
      <c r="Q39" s="384"/>
      <c r="R39" s="384"/>
    </row>
    <row r="40" spans="1:18">
      <c r="A40" s="384"/>
      <c r="B40" s="398">
        <f t="shared" si="1"/>
        <v>8</v>
      </c>
      <c r="C40" s="463"/>
      <c r="D40" s="377">
        <v>3</v>
      </c>
      <c r="E40" s="378">
        <v>3</v>
      </c>
      <c r="F40" s="378">
        <v>3</v>
      </c>
      <c r="G40" s="378">
        <v>5</v>
      </c>
      <c r="H40" s="378">
        <v>4</v>
      </c>
      <c r="I40" s="378">
        <v>2</v>
      </c>
      <c r="J40" s="378">
        <v>5</v>
      </c>
      <c r="K40" s="378">
        <v>3</v>
      </c>
      <c r="L40" s="378">
        <v>4</v>
      </c>
      <c r="M40" s="378">
        <v>1</v>
      </c>
      <c r="N40" s="378">
        <v>5</v>
      </c>
      <c r="O40" s="384"/>
      <c r="P40" s="384"/>
      <c r="Q40" s="384"/>
      <c r="R40" s="384"/>
    </row>
    <row r="41" spans="1:18">
      <c r="A41" s="384"/>
      <c r="B41" s="398">
        <f t="shared" si="1"/>
        <v>9</v>
      </c>
      <c r="C41" s="463"/>
      <c r="D41" s="377">
        <v>4</v>
      </c>
      <c r="E41" s="378">
        <v>3</v>
      </c>
      <c r="F41" s="378">
        <v>3</v>
      </c>
      <c r="G41" s="378">
        <v>3</v>
      </c>
      <c r="H41" s="378">
        <v>3</v>
      </c>
      <c r="I41" s="378">
        <v>5</v>
      </c>
      <c r="J41" s="378">
        <v>3</v>
      </c>
      <c r="K41" s="378">
        <v>3</v>
      </c>
      <c r="L41" s="378">
        <v>3</v>
      </c>
      <c r="M41" s="378">
        <v>5</v>
      </c>
      <c r="N41" s="378">
        <v>3</v>
      </c>
      <c r="O41" s="384"/>
      <c r="P41" s="384"/>
      <c r="Q41" s="384"/>
      <c r="R41" s="384"/>
    </row>
    <row r="42" spans="1:18">
      <c r="A42" s="384"/>
      <c r="B42" s="398">
        <f t="shared" si="1"/>
        <v>10</v>
      </c>
      <c r="C42" s="463"/>
      <c r="D42" s="377">
        <v>5</v>
      </c>
      <c r="E42" s="378">
        <v>3</v>
      </c>
      <c r="F42" s="378">
        <v>3</v>
      </c>
      <c r="G42" s="378">
        <v>3</v>
      </c>
      <c r="H42" s="378">
        <v>2</v>
      </c>
      <c r="I42" s="378">
        <v>4</v>
      </c>
      <c r="J42" s="378">
        <v>4</v>
      </c>
      <c r="K42" s="378">
        <v>2</v>
      </c>
      <c r="L42" s="378">
        <v>5</v>
      </c>
      <c r="M42" s="378">
        <v>5</v>
      </c>
      <c r="N42" s="378">
        <v>5</v>
      </c>
      <c r="O42" s="384"/>
      <c r="P42" s="384"/>
      <c r="Q42" s="384"/>
      <c r="R42" s="384"/>
    </row>
    <row r="43" spans="1:18">
      <c r="A43" s="384"/>
      <c r="B43" s="398">
        <f t="shared" si="1"/>
        <v>11</v>
      </c>
      <c r="C43" s="463" t="s">
        <v>208</v>
      </c>
      <c r="D43" s="377">
        <v>1</v>
      </c>
      <c r="E43" s="378">
        <v>5</v>
      </c>
      <c r="F43" s="378">
        <v>5</v>
      </c>
      <c r="G43" s="378">
        <v>5</v>
      </c>
      <c r="H43" s="378">
        <v>3</v>
      </c>
      <c r="I43" s="378">
        <v>3</v>
      </c>
      <c r="J43" s="378">
        <v>3</v>
      </c>
      <c r="K43" s="378">
        <v>5</v>
      </c>
      <c r="L43" s="378">
        <v>5</v>
      </c>
      <c r="M43" s="378">
        <v>3</v>
      </c>
      <c r="N43" s="378">
        <v>5</v>
      </c>
      <c r="O43" s="384"/>
      <c r="P43" s="384"/>
      <c r="Q43" s="384"/>
      <c r="R43" s="384"/>
    </row>
    <row r="44" spans="1:18">
      <c r="A44" s="384"/>
      <c r="B44" s="398">
        <f t="shared" si="1"/>
        <v>12</v>
      </c>
      <c r="C44" s="463"/>
      <c r="D44" s="377">
        <v>2</v>
      </c>
      <c r="E44" s="378">
        <v>5</v>
      </c>
      <c r="F44" s="378">
        <v>5</v>
      </c>
      <c r="G44" s="378">
        <v>4</v>
      </c>
      <c r="H44" s="378">
        <v>5</v>
      </c>
      <c r="I44" s="378">
        <v>5</v>
      </c>
      <c r="J44" s="378">
        <v>5</v>
      </c>
      <c r="K44" s="378">
        <v>5</v>
      </c>
      <c r="L44" s="378">
        <v>5</v>
      </c>
      <c r="M44" s="378">
        <v>4</v>
      </c>
      <c r="N44" s="378">
        <v>5</v>
      </c>
      <c r="O44" s="384"/>
      <c r="P44" s="384"/>
      <c r="Q44" s="384"/>
      <c r="R44" s="384"/>
    </row>
    <row r="45" spans="1:18">
      <c r="A45" s="384"/>
      <c r="B45" s="398">
        <f t="shared" si="1"/>
        <v>13</v>
      </c>
      <c r="C45" s="463"/>
      <c r="D45" s="377">
        <v>3</v>
      </c>
      <c r="E45" s="378">
        <v>5</v>
      </c>
      <c r="F45" s="378">
        <v>5</v>
      </c>
      <c r="G45" s="378">
        <v>5</v>
      </c>
      <c r="H45" s="378">
        <v>5</v>
      </c>
      <c r="I45" s="378">
        <v>5</v>
      </c>
      <c r="J45" s="378">
        <v>5</v>
      </c>
      <c r="K45" s="378">
        <v>5</v>
      </c>
      <c r="L45" s="378">
        <v>5</v>
      </c>
      <c r="M45" s="378">
        <v>3</v>
      </c>
      <c r="N45" s="378">
        <v>5</v>
      </c>
      <c r="O45" s="384"/>
      <c r="P45" s="384"/>
      <c r="Q45" s="384"/>
      <c r="R45" s="384"/>
    </row>
    <row r="46" spans="1:18">
      <c r="A46" s="384"/>
      <c r="B46" s="398">
        <f t="shared" si="1"/>
        <v>14</v>
      </c>
      <c r="C46" s="463"/>
      <c r="D46" s="377">
        <v>4</v>
      </c>
      <c r="E46" s="378">
        <v>5</v>
      </c>
      <c r="F46" s="378">
        <v>5</v>
      </c>
      <c r="G46" s="378">
        <v>3</v>
      </c>
      <c r="H46" s="378">
        <v>3</v>
      </c>
      <c r="I46" s="378">
        <v>5</v>
      </c>
      <c r="J46" s="378">
        <v>5</v>
      </c>
      <c r="K46" s="378">
        <v>4</v>
      </c>
      <c r="L46" s="378">
        <v>5</v>
      </c>
      <c r="M46" s="378">
        <v>5</v>
      </c>
      <c r="N46" s="378">
        <v>5</v>
      </c>
      <c r="O46" s="384"/>
      <c r="P46" s="384"/>
      <c r="Q46" s="384"/>
      <c r="R46" s="384"/>
    </row>
    <row r="47" spans="1:18">
      <c r="A47" s="384"/>
      <c r="B47" s="398">
        <f t="shared" si="1"/>
        <v>15</v>
      </c>
      <c r="C47" s="463"/>
      <c r="D47" s="377">
        <v>5</v>
      </c>
      <c r="E47" s="378">
        <v>5</v>
      </c>
      <c r="F47" s="378">
        <v>5</v>
      </c>
      <c r="G47" s="378">
        <v>5</v>
      </c>
      <c r="H47" s="378">
        <v>5</v>
      </c>
      <c r="I47" s="378">
        <v>1</v>
      </c>
      <c r="J47" s="378">
        <v>5</v>
      </c>
      <c r="K47" s="378">
        <v>5</v>
      </c>
      <c r="L47" s="378">
        <v>5</v>
      </c>
      <c r="M47" s="378">
        <v>5</v>
      </c>
      <c r="N47" s="378">
        <v>5</v>
      </c>
      <c r="O47" s="384"/>
      <c r="P47" s="384"/>
      <c r="Q47" s="384"/>
      <c r="R47" s="384"/>
    </row>
    <row r="48" spans="1:18">
      <c r="A48" s="384"/>
      <c r="B48" s="398">
        <f t="shared" si="1"/>
        <v>16</v>
      </c>
      <c r="C48" s="463" t="s">
        <v>209</v>
      </c>
      <c r="D48" s="377">
        <v>1</v>
      </c>
      <c r="E48" s="378">
        <v>1</v>
      </c>
      <c r="F48" s="378">
        <v>5</v>
      </c>
      <c r="G48" s="378">
        <v>5</v>
      </c>
      <c r="H48" s="378">
        <v>4</v>
      </c>
      <c r="I48" s="378">
        <v>3</v>
      </c>
      <c r="J48" s="378">
        <v>2</v>
      </c>
      <c r="K48" s="378">
        <v>5</v>
      </c>
      <c r="L48" s="378">
        <v>5</v>
      </c>
      <c r="M48" s="378">
        <v>3</v>
      </c>
      <c r="N48" s="378">
        <v>5</v>
      </c>
      <c r="O48" s="384"/>
      <c r="P48" s="384"/>
      <c r="Q48" s="384"/>
      <c r="R48" s="384"/>
    </row>
    <row r="49" spans="1:18">
      <c r="A49" s="384"/>
      <c r="B49" s="398">
        <f t="shared" si="1"/>
        <v>17</v>
      </c>
      <c r="C49" s="463"/>
      <c r="D49" s="377">
        <v>2</v>
      </c>
      <c r="E49" s="378">
        <v>5</v>
      </c>
      <c r="F49" s="378">
        <v>5</v>
      </c>
      <c r="G49" s="378">
        <v>3</v>
      </c>
      <c r="H49" s="378">
        <v>3</v>
      </c>
      <c r="I49" s="378">
        <v>3</v>
      </c>
      <c r="J49" s="378">
        <v>2</v>
      </c>
      <c r="K49" s="378">
        <v>5</v>
      </c>
      <c r="L49" s="378">
        <v>5</v>
      </c>
      <c r="M49" s="378">
        <v>4</v>
      </c>
      <c r="N49" s="378">
        <v>5</v>
      </c>
      <c r="O49" s="384"/>
      <c r="P49" s="384"/>
      <c r="Q49" s="384"/>
      <c r="R49" s="384"/>
    </row>
    <row r="50" spans="1:18">
      <c r="A50" s="384"/>
      <c r="B50" s="398">
        <f t="shared" si="1"/>
        <v>18</v>
      </c>
      <c r="C50" s="463"/>
      <c r="D50" s="377">
        <v>3</v>
      </c>
      <c r="E50" s="378">
        <v>5</v>
      </c>
      <c r="F50" s="378">
        <v>5</v>
      </c>
      <c r="G50" s="378">
        <v>5</v>
      </c>
      <c r="H50" s="378">
        <v>5</v>
      </c>
      <c r="I50" s="378">
        <v>5</v>
      </c>
      <c r="J50" s="378">
        <v>5</v>
      </c>
      <c r="K50" s="378">
        <v>5</v>
      </c>
      <c r="L50" s="378">
        <v>5</v>
      </c>
      <c r="M50" s="378">
        <v>3</v>
      </c>
      <c r="N50" s="378">
        <v>5</v>
      </c>
      <c r="O50" s="384"/>
      <c r="P50" s="384"/>
      <c r="Q50" s="384"/>
      <c r="R50" s="384"/>
    </row>
    <row r="51" spans="1:18">
      <c r="A51" s="384"/>
      <c r="B51" s="398">
        <f t="shared" si="1"/>
        <v>19</v>
      </c>
      <c r="C51" s="463"/>
      <c r="D51" s="377">
        <v>4</v>
      </c>
      <c r="E51" s="378">
        <v>5</v>
      </c>
      <c r="F51" s="378">
        <v>5</v>
      </c>
      <c r="G51" s="378">
        <v>3</v>
      </c>
      <c r="H51" s="378">
        <v>5</v>
      </c>
      <c r="I51" s="378">
        <v>5</v>
      </c>
      <c r="J51" s="378">
        <v>5</v>
      </c>
      <c r="K51" s="378">
        <v>4</v>
      </c>
      <c r="L51" s="378">
        <v>5</v>
      </c>
      <c r="M51" s="378">
        <v>5</v>
      </c>
      <c r="N51" s="378">
        <v>5</v>
      </c>
      <c r="O51" s="384"/>
      <c r="P51" s="384"/>
      <c r="Q51" s="384"/>
      <c r="R51" s="384"/>
    </row>
    <row r="52" spans="1:18">
      <c r="A52" s="384"/>
      <c r="B52" s="398">
        <f t="shared" si="1"/>
        <v>20</v>
      </c>
      <c r="C52" s="463"/>
      <c r="D52" s="377">
        <v>5</v>
      </c>
      <c r="E52" s="378">
        <v>5</v>
      </c>
      <c r="F52" s="378">
        <v>5</v>
      </c>
      <c r="G52" s="378">
        <v>5</v>
      </c>
      <c r="H52" s="378">
        <v>5</v>
      </c>
      <c r="I52" s="378">
        <v>5</v>
      </c>
      <c r="J52" s="378">
        <v>5</v>
      </c>
      <c r="K52" s="378">
        <v>5</v>
      </c>
      <c r="L52" s="378">
        <v>5</v>
      </c>
      <c r="M52" s="378">
        <v>5</v>
      </c>
      <c r="N52" s="378">
        <v>5</v>
      </c>
      <c r="O52" s="384"/>
      <c r="P52" s="384"/>
      <c r="Q52" s="384"/>
      <c r="R52" s="384"/>
    </row>
    <row r="53" spans="1:18">
      <c r="A53" s="384"/>
      <c r="B53" s="398">
        <f t="shared" si="1"/>
        <v>21</v>
      </c>
      <c r="C53" s="463" t="s">
        <v>210</v>
      </c>
      <c r="D53" s="377">
        <v>1</v>
      </c>
      <c r="E53" s="378">
        <v>5</v>
      </c>
      <c r="F53" s="378">
        <v>5</v>
      </c>
      <c r="G53" s="378">
        <v>5</v>
      </c>
      <c r="H53" s="378">
        <v>4</v>
      </c>
      <c r="I53" s="378">
        <v>3</v>
      </c>
      <c r="J53" s="378">
        <v>2</v>
      </c>
      <c r="K53" s="378">
        <v>5</v>
      </c>
      <c r="L53" s="378">
        <v>2</v>
      </c>
      <c r="M53" s="378">
        <v>4</v>
      </c>
      <c r="N53" s="378">
        <v>4</v>
      </c>
      <c r="O53" s="384"/>
      <c r="P53" s="384"/>
      <c r="Q53" s="384"/>
      <c r="R53" s="384"/>
    </row>
    <row r="54" spans="1:18">
      <c r="A54" s="384"/>
      <c r="B54" s="398">
        <f t="shared" si="1"/>
        <v>22</v>
      </c>
      <c r="C54" s="463"/>
      <c r="D54" s="377">
        <v>2</v>
      </c>
      <c r="E54" s="378">
        <v>3</v>
      </c>
      <c r="F54" s="378">
        <v>4</v>
      </c>
      <c r="G54" s="378">
        <v>3</v>
      </c>
      <c r="H54" s="378">
        <v>3</v>
      </c>
      <c r="I54" s="378">
        <v>3</v>
      </c>
      <c r="J54" s="378">
        <v>2</v>
      </c>
      <c r="K54" s="378">
        <v>3</v>
      </c>
      <c r="L54" s="378">
        <v>4</v>
      </c>
      <c r="M54" s="378">
        <v>5</v>
      </c>
      <c r="N54" s="378">
        <v>4</v>
      </c>
      <c r="O54" s="384"/>
      <c r="P54" s="384"/>
      <c r="Q54" s="384"/>
      <c r="R54" s="384"/>
    </row>
    <row r="55" spans="1:18">
      <c r="A55" s="384"/>
      <c r="B55" s="398">
        <f t="shared" si="1"/>
        <v>23</v>
      </c>
      <c r="C55" s="463"/>
      <c r="D55" s="377">
        <v>3</v>
      </c>
      <c r="E55" s="378">
        <v>2</v>
      </c>
      <c r="F55" s="378">
        <v>3</v>
      </c>
      <c r="G55" s="378">
        <v>1</v>
      </c>
      <c r="H55" s="378">
        <v>1</v>
      </c>
      <c r="I55" s="378">
        <v>2</v>
      </c>
      <c r="J55" s="378">
        <v>2</v>
      </c>
      <c r="K55" s="378">
        <v>3</v>
      </c>
      <c r="L55" s="378">
        <v>4</v>
      </c>
      <c r="M55" s="378">
        <v>5</v>
      </c>
      <c r="N55" s="378">
        <v>3</v>
      </c>
      <c r="O55" s="384"/>
      <c r="P55" s="384"/>
      <c r="Q55" s="384"/>
      <c r="R55" s="384"/>
    </row>
    <row r="56" spans="1:18">
      <c r="A56" s="384"/>
      <c r="B56" s="398">
        <f t="shared" si="1"/>
        <v>24</v>
      </c>
      <c r="C56" s="463"/>
      <c r="D56" s="377">
        <v>4</v>
      </c>
      <c r="E56" s="378">
        <v>1</v>
      </c>
      <c r="F56" s="378">
        <v>2</v>
      </c>
      <c r="G56" s="378">
        <v>3</v>
      </c>
      <c r="H56" s="378">
        <v>3</v>
      </c>
      <c r="I56" s="378">
        <v>3</v>
      </c>
      <c r="J56" s="378">
        <v>3</v>
      </c>
      <c r="K56" s="378">
        <v>4</v>
      </c>
      <c r="L56" s="378">
        <v>4</v>
      </c>
      <c r="M56" s="378">
        <v>4</v>
      </c>
      <c r="N56" s="378">
        <v>2</v>
      </c>
      <c r="O56" s="384"/>
      <c r="P56" s="384"/>
      <c r="Q56" s="384"/>
      <c r="R56" s="384"/>
    </row>
    <row r="57" spans="1:18">
      <c r="A57" s="384"/>
      <c r="B57" s="398">
        <f t="shared" si="1"/>
        <v>25</v>
      </c>
      <c r="C57" s="463"/>
      <c r="D57" s="377">
        <v>5</v>
      </c>
      <c r="E57" s="378">
        <v>1</v>
      </c>
      <c r="F57" s="378">
        <v>1</v>
      </c>
      <c r="G57" s="378">
        <v>4</v>
      </c>
      <c r="H57" s="378">
        <v>4</v>
      </c>
      <c r="I57" s="378">
        <v>4</v>
      </c>
      <c r="J57" s="378">
        <v>4</v>
      </c>
      <c r="K57" s="378">
        <v>5</v>
      </c>
      <c r="L57" s="378">
        <v>5</v>
      </c>
      <c r="M57" s="378">
        <v>4</v>
      </c>
      <c r="N57" s="378">
        <v>4</v>
      </c>
      <c r="O57" s="384"/>
      <c r="P57" s="384"/>
      <c r="Q57" s="384"/>
      <c r="R57" s="384"/>
    </row>
    <row r="58" spans="1:18" s="384" customFormat="1" ht="21.5" customHeight="1">
      <c r="B58" s="388"/>
      <c r="C58" s="389"/>
      <c r="D58" s="388"/>
    </row>
    <row r="59" spans="1:18">
      <c r="A59" s="384"/>
      <c r="B59" s="388"/>
      <c r="C59" s="389"/>
      <c r="D59" s="388"/>
      <c r="E59" s="384"/>
      <c r="F59" s="384"/>
      <c r="G59" s="384"/>
      <c r="H59" s="384"/>
      <c r="I59" s="384"/>
      <c r="J59" s="384"/>
      <c r="K59" s="384"/>
      <c r="L59" s="384"/>
      <c r="M59" s="384"/>
      <c r="N59" s="384"/>
      <c r="O59" s="384"/>
      <c r="P59" s="384"/>
      <c r="Q59" s="384"/>
      <c r="R59" s="384"/>
    </row>
    <row r="60" spans="1:18">
      <c r="A60" s="384"/>
      <c r="B60" s="388"/>
      <c r="C60" s="389"/>
      <c r="D60" s="388"/>
      <c r="E60" s="384"/>
      <c r="F60" s="384"/>
      <c r="G60" s="384"/>
      <c r="H60" s="384"/>
      <c r="I60" s="384"/>
      <c r="J60" s="384"/>
      <c r="K60" s="384"/>
      <c r="L60" s="384"/>
      <c r="M60" s="384"/>
      <c r="N60" s="384"/>
      <c r="O60" s="384"/>
      <c r="P60" s="384"/>
      <c r="Q60" s="384"/>
      <c r="R60" s="384"/>
    </row>
    <row r="61" spans="1:18">
      <c r="A61" s="384"/>
      <c r="B61" s="388"/>
      <c r="C61" s="389"/>
      <c r="D61" s="388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</row>
    <row r="62" spans="1:18">
      <c r="A62" s="384"/>
      <c r="B62" s="388"/>
      <c r="C62" s="389"/>
      <c r="D62" s="388"/>
      <c r="E62" s="384"/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384"/>
      <c r="R62" s="384"/>
    </row>
    <row r="63" spans="1:18">
      <c r="A63" s="384"/>
      <c r="B63" s="388"/>
      <c r="C63" s="389"/>
      <c r="D63" s="388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</row>
    <row r="64" spans="1:18">
      <c r="A64" s="384"/>
      <c r="B64" s="388"/>
      <c r="C64" s="389"/>
      <c r="D64" s="388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</row>
    <row r="65" spans="1:18">
      <c r="A65" s="384"/>
      <c r="B65" s="388"/>
      <c r="C65" s="389"/>
      <c r="D65" s="388"/>
      <c r="E65" s="384"/>
      <c r="F65" s="384"/>
      <c r="G65" s="384"/>
      <c r="H65" s="384"/>
      <c r="I65" s="384"/>
      <c r="J65" s="384"/>
      <c r="K65" s="384"/>
      <c r="L65" s="384"/>
      <c r="M65" s="384"/>
      <c r="N65" s="384"/>
      <c r="O65" s="384"/>
      <c r="P65" s="384"/>
      <c r="Q65" s="384"/>
      <c r="R65" s="384"/>
    </row>
    <row r="66" spans="1:18">
      <c r="A66" s="384"/>
      <c r="B66" s="388"/>
      <c r="C66" s="389"/>
      <c r="D66" s="388"/>
      <c r="E66" s="384"/>
      <c r="F66" s="384"/>
      <c r="G66" s="384"/>
      <c r="H66" s="384"/>
      <c r="I66" s="384"/>
      <c r="J66" s="384"/>
      <c r="K66" s="384"/>
      <c r="L66" s="384"/>
      <c r="M66" s="384"/>
      <c r="N66" s="384"/>
      <c r="O66" s="384"/>
      <c r="P66" s="384"/>
      <c r="Q66" s="384"/>
      <c r="R66" s="384"/>
    </row>
    <row r="67" spans="1:18">
      <c r="A67" s="384"/>
      <c r="B67" s="388"/>
      <c r="C67" s="389"/>
      <c r="D67" s="388"/>
      <c r="E67" s="384"/>
      <c r="F67" s="384"/>
      <c r="G67" s="384"/>
      <c r="H67" s="384"/>
      <c r="I67" s="384"/>
      <c r="J67" s="384"/>
      <c r="K67" s="384"/>
      <c r="L67" s="384"/>
      <c r="M67" s="384"/>
      <c r="N67" s="384"/>
      <c r="O67" s="384"/>
      <c r="P67" s="384"/>
      <c r="Q67" s="384"/>
      <c r="R67" s="384"/>
    </row>
    <row r="68" spans="1:18">
      <c r="A68" s="384"/>
      <c r="B68" s="388"/>
      <c r="C68" s="389"/>
      <c r="D68" s="388"/>
      <c r="E68" s="384"/>
      <c r="F68" s="384"/>
      <c r="G68" s="384"/>
      <c r="H68" s="384"/>
      <c r="I68" s="384"/>
      <c r="J68" s="384"/>
      <c r="K68" s="384"/>
      <c r="L68" s="384"/>
      <c r="M68" s="384"/>
      <c r="N68" s="384"/>
      <c r="O68" s="384"/>
      <c r="P68" s="384"/>
      <c r="Q68" s="384"/>
      <c r="R68" s="384"/>
    </row>
    <row r="69" spans="1:18">
      <c r="A69" s="384"/>
      <c r="B69" s="388"/>
      <c r="C69" s="389"/>
      <c r="D69" s="388"/>
      <c r="E69" s="384"/>
      <c r="F69" s="384"/>
      <c r="G69" s="384"/>
      <c r="H69" s="384"/>
      <c r="I69" s="384"/>
      <c r="J69" s="384"/>
      <c r="K69" s="384"/>
      <c r="L69" s="384"/>
      <c r="M69" s="384"/>
      <c r="N69" s="384"/>
      <c r="O69" s="384"/>
      <c r="P69" s="384"/>
      <c r="Q69" s="384"/>
      <c r="R69" s="384"/>
    </row>
    <row r="70" spans="1:18">
      <c r="A70" s="384"/>
      <c r="B70" s="388"/>
      <c r="C70" s="389"/>
      <c r="D70" s="388"/>
      <c r="E70" s="384"/>
      <c r="F70" s="384"/>
      <c r="G70" s="384"/>
      <c r="H70" s="384"/>
      <c r="I70" s="384"/>
      <c r="J70" s="384"/>
      <c r="K70" s="384"/>
      <c r="L70" s="384"/>
      <c r="M70" s="384"/>
      <c r="N70" s="384"/>
      <c r="O70" s="384"/>
      <c r="P70" s="384"/>
      <c r="Q70" s="384"/>
      <c r="R70" s="384"/>
    </row>
    <row r="71" spans="1:18">
      <c r="A71" s="384"/>
      <c r="B71" s="388"/>
      <c r="C71" s="389"/>
      <c r="D71" s="388"/>
      <c r="E71" s="384"/>
      <c r="F71" s="384"/>
      <c r="G71" s="384"/>
      <c r="H71" s="384"/>
      <c r="I71" s="384"/>
      <c r="J71" s="384"/>
      <c r="K71" s="384"/>
      <c r="L71" s="384"/>
      <c r="M71" s="384"/>
      <c r="N71" s="384"/>
      <c r="O71" s="384"/>
      <c r="P71" s="384"/>
      <c r="Q71" s="384"/>
      <c r="R71" s="384"/>
    </row>
    <row r="72" spans="1:18">
      <c r="A72" s="384"/>
      <c r="B72" s="388"/>
      <c r="C72" s="389"/>
      <c r="D72" s="388"/>
      <c r="E72" s="384"/>
      <c r="F72" s="384"/>
      <c r="G72" s="384"/>
      <c r="H72" s="384"/>
      <c r="I72" s="384"/>
      <c r="J72" s="384"/>
      <c r="K72" s="384"/>
      <c r="L72" s="384"/>
      <c r="M72" s="384"/>
      <c r="N72" s="384"/>
      <c r="O72" s="384"/>
      <c r="P72" s="384"/>
      <c r="Q72" s="384"/>
      <c r="R72" s="384"/>
    </row>
    <row r="73" spans="1:18">
      <c r="A73" s="384"/>
      <c r="B73" s="388"/>
      <c r="C73" s="389"/>
      <c r="D73" s="388"/>
      <c r="E73" s="384"/>
      <c r="F73" s="384"/>
      <c r="G73" s="384"/>
      <c r="H73" s="384"/>
      <c r="I73" s="384"/>
      <c r="J73" s="384"/>
      <c r="K73" s="384"/>
      <c r="L73" s="384"/>
      <c r="M73" s="384"/>
      <c r="N73" s="384"/>
      <c r="O73" s="384"/>
      <c r="P73" s="384"/>
      <c r="Q73" s="384"/>
      <c r="R73" s="384"/>
    </row>
    <row r="74" spans="1:18">
      <c r="A74" s="384"/>
      <c r="B74" s="388"/>
      <c r="C74" s="389"/>
      <c r="D74" s="388"/>
      <c r="E74" s="384"/>
      <c r="F74" s="384"/>
      <c r="G74" s="384"/>
      <c r="H74" s="384"/>
      <c r="I74" s="384"/>
      <c r="J74" s="384"/>
      <c r="K74" s="384"/>
      <c r="L74" s="384"/>
      <c r="M74" s="384"/>
      <c r="N74" s="384"/>
      <c r="O74" s="384"/>
      <c r="P74" s="384"/>
      <c r="Q74" s="384"/>
      <c r="R74" s="384"/>
    </row>
    <row r="75" spans="1:18">
      <c r="A75" s="384"/>
      <c r="B75" s="388"/>
      <c r="C75" s="389"/>
      <c r="D75" s="388"/>
      <c r="E75" s="384"/>
      <c r="F75" s="384"/>
      <c r="G75" s="384"/>
      <c r="H75" s="384"/>
      <c r="I75" s="384"/>
      <c r="J75" s="384"/>
      <c r="K75" s="384"/>
      <c r="L75" s="384"/>
      <c r="M75" s="384"/>
      <c r="N75" s="384"/>
      <c r="O75" s="384"/>
      <c r="P75" s="384"/>
      <c r="Q75" s="384"/>
      <c r="R75" s="384"/>
    </row>
    <row r="76" spans="1:18">
      <c r="A76" s="384"/>
      <c r="B76" s="388"/>
      <c r="C76" s="389"/>
      <c r="D76" s="388"/>
      <c r="E76" s="384"/>
      <c r="F76" s="384"/>
      <c r="G76" s="384"/>
      <c r="H76" s="384"/>
      <c r="I76" s="384"/>
      <c r="J76" s="384"/>
      <c r="K76" s="384"/>
      <c r="L76" s="384"/>
      <c r="M76" s="384"/>
      <c r="N76" s="384"/>
      <c r="O76" s="384"/>
      <c r="P76" s="384"/>
      <c r="Q76" s="384"/>
      <c r="R76" s="384"/>
    </row>
    <row r="77" spans="1:18">
      <c r="A77" s="384"/>
      <c r="B77" s="388"/>
      <c r="C77" s="389"/>
      <c r="D77" s="388"/>
      <c r="E77" s="384"/>
      <c r="F77" s="384"/>
      <c r="G77" s="384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4"/>
    </row>
    <row r="78" spans="1:18">
      <c r="A78" s="384"/>
      <c r="B78" s="388"/>
      <c r="C78" s="389"/>
      <c r="D78" s="388"/>
      <c r="E78" s="384"/>
      <c r="F78" s="384"/>
      <c r="G78" s="384"/>
      <c r="H78" s="384"/>
      <c r="I78" s="384"/>
      <c r="J78" s="384"/>
      <c r="K78" s="384"/>
      <c r="L78" s="384"/>
      <c r="M78" s="384"/>
      <c r="N78" s="384"/>
      <c r="O78" s="384"/>
      <c r="P78" s="384"/>
      <c r="Q78" s="384"/>
      <c r="R78" s="384"/>
    </row>
    <row r="79" spans="1:18">
      <c r="A79" s="384"/>
      <c r="B79" s="388"/>
      <c r="C79" s="389"/>
      <c r="D79" s="388"/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</row>
    <row r="80" spans="1:18">
      <c r="A80" s="384"/>
      <c r="B80" s="388"/>
      <c r="C80" s="389"/>
      <c r="D80" s="388"/>
      <c r="E80" s="384"/>
      <c r="F80" s="384"/>
      <c r="G80" s="384"/>
      <c r="H80" s="384"/>
      <c r="I80" s="384"/>
      <c r="J80" s="384"/>
      <c r="K80" s="384"/>
      <c r="L80" s="384"/>
      <c r="M80" s="384"/>
      <c r="N80" s="384"/>
      <c r="O80" s="384"/>
      <c r="P80" s="384"/>
      <c r="Q80" s="384"/>
      <c r="R80" s="384"/>
    </row>
    <row r="81" spans="1:18">
      <c r="A81" s="384"/>
      <c r="B81" s="388"/>
      <c r="C81" s="389"/>
      <c r="D81" s="388"/>
      <c r="E81" s="384"/>
      <c r="F81" s="384"/>
      <c r="G81" s="384"/>
      <c r="H81" s="384"/>
      <c r="I81" s="384"/>
      <c r="J81" s="384"/>
      <c r="K81" s="384"/>
      <c r="L81" s="384"/>
      <c r="M81" s="384"/>
      <c r="N81" s="384"/>
      <c r="O81" s="384"/>
      <c r="P81" s="384"/>
      <c r="Q81" s="384"/>
      <c r="R81" s="384"/>
    </row>
    <row r="82" spans="1:18">
      <c r="A82" s="384"/>
      <c r="B82" s="388"/>
      <c r="C82" s="389"/>
      <c r="D82" s="388"/>
      <c r="E82" s="384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</row>
    <row r="83" spans="1:18">
      <c r="A83" s="384"/>
      <c r="B83" s="388"/>
      <c r="C83" s="389"/>
      <c r="D83" s="388"/>
      <c r="E83" s="384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</row>
    <row r="84" spans="1:18">
      <c r="A84" s="384"/>
      <c r="B84" s="388"/>
      <c r="C84" s="389"/>
      <c r="D84" s="388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</row>
    <row r="85" spans="1:18">
      <c r="A85" s="384"/>
      <c r="B85" s="388"/>
      <c r="C85" s="389"/>
      <c r="D85" s="388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</row>
    <row r="86" spans="1:18">
      <c r="A86" s="384"/>
      <c r="B86" s="388"/>
      <c r="C86" s="389"/>
      <c r="D86" s="388"/>
      <c r="E86" s="384"/>
      <c r="F86" s="384"/>
      <c r="G86" s="384"/>
      <c r="H86" s="384"/>
      <c r="I86" s="384"/>
      <c r="J86" s="384"/>
      <c r="K86" s="384"/>
      <c r="L86" s="384"/>
      <c r="M86" s="384"/>
      <c r="N86" s="384"/>
      <c r="O86" s="384"/>
      <c r="P86" s="384"/>
      <c r="Q86" s="384"/>
      <c r="R86" s="384"/>
    </row>
    <row r="87" spans="1:18">
      <c r="A87" s="384"/>
      <c r="B87" s="388"/>
      <c r="C87" s="389"/>
      <c r="D87" s="388"/>
      <c r="E87" s="384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</row>
    <row r="88" spans="1:18">
      <c r="A88" s="384"/>
      <c r="B88" s="388"/>
      <c r="C88" s="389"/>
      <c r="D88" s="388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</row>
    <row r="89" spans="1:18">
      <c r="A89" s="384"/>
      <c r="B89" s="388"/>
      <c r="C89" s="389"/>
      <c r="D89" s="388"/>
      <c r="E89" s="384"/>
      <c r="F89" s="384"/>
      <c r="G89" s="384"/>
      <c r="H89" s="384"/>
      <c r="I89" s="384"/>
      <c r="J89" s="384"/>
      <c r="K89" s="384"/>
      <c r="L89" s="384"/>
      <c r="M89" s="384"/>
      <c r="N89" s="384"/>
      <c r="O89" s="384"/>
      <c r="P89" s="384"/>
      <c r="Q89" s="384"/>
      <c r="R89" s="384"/>
    </row>
    <row r="90" spans="1:18">
      <c r="A90" s="384"/>
      <c r="B90" s="388"/>
      <c r="C90" s="389"/>
      <c r="D90" s="388"/>
      <c r="E90" s="384"/>
      <c r="F90" s="384"/>
      <c r="G90" s="384"/>
      <c r="H90" s="384"/>
      <c r="I90" s="384"/>
      <c r="J90" s="384"/>
      <c r="K90" s="384"/>
      <c r="L90" s="384"/>
      <c r="M90" s="384"/>
      <c r="N90" s="384"/>
      <c r="O90" s="384"/>
      <c r="P90" s="384"/>
      <c r="Q90" s="384"/>
      <c r="R90" s="384"/>
    </row>
    <row r="91" spans="1:18">
      <c r="A91" s="384"/>
      <c r="B91" s="388"/>
      <c r="C91" s="389"/>
      <c r="D91" s="388"/>
      <c r="E91" s="384"/>
      <c r="F91" s="384"/>
      <c r="G91" s="384"/>
      <c r="H91" s="384"/>
      <c r="I91" s="384"/>
      <c r="J91" s="384"/>
      <c r="K91" s="384"/>
      <c r="L91" s="384"/>
      <c r="M91" s="384"/>
      <c r="N91" s="384"/>
      <c r="O91" s="384"/>
      <c r="P91" s="384"/>
      <c r="Q91" s="384"/>
      <c r="R91" s="384"/>
    </row>
    <row r="92" spans="1:18">
      <c r="A92" s="384"/>
      <c r="B92" s="388"/>
      <c r="C92" s="389"/>
      <c r="D92" s="388"/>
      <c r="E92" s="384"/>
      <c r="F92" s="384"/>
      <c r="G92" s="384"/>
      <c r="H92" s="384"/>
      <c r="I92" s="384"/>
      <c r="J92" s="384"/>
      <c r="K92" s="384"/>
      <c r="L92" s="384"/>
      <c r="M92" s="384"/>
      <c r="N92" s="384"/>
      <c r="O92" s="384"/>
      <c r="P92" s="384"/>
      <c r="Q92" s="384"/>
      <c r="R92" s="384"/>
    </row>
    <row r="93" spans="1:18">
      <c r="A93" s="384"/>
      <c r="B93" s="388"/>
      <c r="C93" s="389"/>
      <c r="D93" s="388"/>
      <c r="E93" s="384"/>
      <c r="F93" s="384"/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</row>
    <row r="94" spans="1:18">
      <c r="A94" s="384"/>
      <c r="B94" s="388"/>
      <c r="C94" s="389"/>
      <c r="D94" s="388"/>
      <c r="E94" s="384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</row>
  </sheetData>
  <sheetProtection algorithmName="SHA-512" hashValue="EFRxyf2qDWDAAtUgyBFuWvFMZdHXgSJYomkuhIGVTBITylzveVfdIFUIWeTib5ai/6GAYU9Q6ZanexFSBYutHw==" saltValue="C9QY6Ekxy4aPQdgqdrnwmw==" spinCount="100000" sheet="1" formatCells="0" formatColumns="0" formatRows="0" insertColumns="0" insertRows="0" insertHyperlinks="0" deleteColumns="0" deleteRows="0" sort="0" autoFilter="0" pivotTables="0"/>
  <mergeCells count="48">
    <mergeCell ref="C20:E20"/>
    <mergeCell ref="C21:E21"/>
    <mergeCell ref="C22:E22"/>
    <mergeCell ref="C23:E23"/>
    <mergeCell ref="C24:E24"/>
    <mergeCell ref="F16:G16"/>
    <mergeCell ref="F17:G17"/>
    <mergeCell ref="C6:E6"/>
    <mergeCell ref="C7:E7"/>
    <mergeCell ref="C8:E8"/>
    <mergeCell ref="C9:E9"/>
    <mergeCell ref="C10:E10"/>
    <mergeCell ref="F11:G11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18:G18"/>
    <mergeCell ref="F19:G19"/>
    <mergeCell ref="F20:G20"/>
    <mergeCell ref="F21:G21"/>
    <mergeCell ref="F22:G22"/>
    <mergeCell ref="C12:E12"/>
    <mergeCell ref="C13:E13"/>
    <mergeCell ref="C14:E14"/>
    <mergeCell ref="C48:C52"/>
    <mergeCell ref="C53:C57"/>
    <mergeCell ref="C33:C37"/>
    <mergeCell ref="C38:C42"/>
    <mergeCell ref="C43:C47"/>
    <mergeCell ref="C15:E15"/>
    <mergeCell ref="C16:E16"/>
    <mergeCell ref="C17:E17"/>
    <mergeCell ref="C18:E18"/>
    <mergeCell ref="C19:E19"/>
    <mergeCell ref="C25:E25"/>
    <mergeCell ref="C26:E26"/>
    <mergeCell ref="C27:E27"/>
  </mergeCells>
  <pageMargins left="0.7" right="0.7" top="0.75" bottom="0.75" header="0.3" footer="0.3"/>
  <pageSetup paperSize="9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B1A2-4E21-4059-BFEF-AD305E13B92F}">
  <sheetPr>
    <tabColor rgb="FF002060"/>
  </sheetPr>
  <dimension ref="A5:AP38"/>
  <sheetViews>
    <sheetView showGridLines="0" showRowColHeaders="0" zoomScale="103" zoomScaleNormal="103" workbookViewId="0">
      <selection activeCell="C12" sqref="C12"/>
    </sheetView>
  </sheetViews>
  <sheetFormatPr defaultRowHeight="15"/>
  <cols>
    <col min="1" max="1" width="60.9140625" style="400" bestFit="1" customWidth="1"/>
    <col min="2" max="2" width="8" style="400" customWidth="1"/>
    <col min="3" max="3" width="24.6640625" style="400" bestFit="1" customWidth="1"/>
    <col min="4" max="4" width="27.08203125" style="400" bestFit="1" customWidth="1"/>
    <col min="5" max="5" width="24.08203125" style="400" bestFit="1" customWidth="1"/>
    <col min="6" max="6" width="15.6640625" style="400" bestFit="1" customWidth="1"/>
    <col min="7" max="7" width="12.83203125" style="400" bestFit="1" customWidth="1"/>
    <col min="8" max="8" width="16.9140625" style="400" bestFit="1" customWidth="1"/>
    <col min="9" max="9" width="32.1640625" style="400" bestFit="1" customWidth="1"/>
    <col min="10" max="10" width="30.33203125" style="400" bestFit="1" customWidth="1"/>
    <col min="11" max="11" width="8.6640625" style="400"/>
    <col min="12" max="12" width="23" style="400" bestFit="1" customWidth="1"/>
    <col min="13" max="13" width="22.1640625" style="400" bestFit="1" customWidth="1"/>
    <col min="14" max="14" width="24.6640625" style="400" bestFit="1" customWidth="1"/>
    <col min="15" max="15" width="7.6640625" style="400" customWidth="1"/>
    <col min="16" max="16" width="8.9140625" style="400" bestFit="1" customWidth="1"/>
    <col min="17" max="17" width="3.4140625" style="400" bestFit="1" customWidth="1"/>
    <col min="18" max="18" width="9" style="400" customWidth="1"/>
    <col min="19" max="19" width="8.6640625" style="400" bestFit="1" customWidth="1"/>
    <col min="20" max="20" width="10.5" style="400" bestFit="1" customWidth="1"/>
    <col min="21" max="21" width="8.33203125" style="400" customWidth="1"/>
    <col min="22" max="22" width="20.58203125" style="400" bestFit="1" customWidth="1"/>
    <col min="23" max="23" width="19.6640625" style="400" bestFit="1" customWidth="1"/>
    <col min="24" max="24" width="19.08203125" style="400" bestFit="1" customWidth="1"/>
    <col min="25" max="25" width="18.33203125" style="400" bestFit="1" customWidth="1"/>
    <col min="26" max="26" width="20.33203125" style="400" bestFit="1" customWidth="1"/>
    <col min="27" max="27" width="2.25" style="400" customWidth="1"/>
    <col min="28" max="28" width="7" style="400" bestFit="1" customWidth="1"/>
    <col min="29" max="29" width="4.25" style="400" bestFit="1" customWidth="1"/>
    <col min="30" max="30" width="8.6640625" style="400"/>
    <col min="31" max="31" width="7" style="400" bestFit="1" customWidth="1"/>
    <col min="32" max="32" width="4.25" style="400" bestFit="1" customWidth="1"/>
    <col min="33" max="33" width="8.08203125" style="400" customWidth="1"/>
    <col min="34" max="34" width="13.5" style="400" bestFit="1" customWidth="1"/>
    <col min="35" max="35" width="14.08203125" style="400" bestFit="1" customWidth="1"/>
    <col min="36" max="36" width="25.5" style="400" bestFit="1" customWidth="1"/>
    <col min="37" max="37" width="8.9140625" style="400" customWidth="1"/>
    <col min="38" max="38" width="20.1640625" style="400" bestFit="1" customWidth="1"/>
    <col min="39" max="39" width="8.6640625" style="400" customWidth="1"/>
    <col min="40" max="40" width="13.5" style="400" bestFit="1" customWidth="1"/>
    <col min="41" max="41" width="20.1640625" style="400" bestFit="1" customWidth="1"/>
    <col min="42" max="43" width="14.83203125" style="400" bestFit="1" customWidth="1"/>
    <col min="44" max="46" width="13.83203125" style="400" bestFit="1" customWidth="1"/>
    <col min="47" max="47" width="12.58203125" style="400" bestFit="1" customWidth="1"/>
    <col min="48" max="50" width="13.83203125" style="400" bestFit="1" customWidth="1"/>
    <col min="51" max="51" width="11.25" style="400" bestFit="1" customWidth="1"/>
    <col min="52" max="16384" width="8.6640625" style="400"/>
  </cols>
  <sheetData>
    <row r="5" spans="1:42" ht="15.5">
      <c r="A5" s="431" t="s">
        <v>232</v>
      </c>
      <c r="C5" s="436" t="s">
        <v>236</v>
      </c>
      <c r="D5" s="436" t="s">
        <v>237</v>
      </c>
      <c r="E5" s="436" t="s">
        <v>238</v>
      </c>
      <c r="F5" s="436" t="s">
        <v>234</v>
      </c>
      <c r="G5" s="436" t="s">
        <v>235</v>
      </c>
      <c r="H5" s="436" t="s">
        <v>240</v>
      </c>
      <c r="I5" s="436" t="s">
        <v>239</v>
      </c>
      <c r="J5" s="436" t="s">
        <v>241</v>
      </c>
      <c r="L5" s="440" t="s">
        <v>245</v>
      </c>
      <c r="M5" s="440" t="s">
        <v>246</v>
      </c>
      <c r="N5" s="440" t="s">
        <v>247</v>
      </c>
      <c r="O5" s="384"/>
      <c r="P5" s="441" t="s">
        <v>251</v>
      </c>
      <c r="Q5" s="458">
        <v>2.1000000000000005</v>
      </c>
      <c r="R5" s="384"/>
      <c r="S5" s="441" t="s">
        <v>180</v>
      </c>
      <c r="T5" s="458">
        <v>220.07403992321525</v>
      </c>
      <c r="U5" s="384"/>
      <c r="V5" s="440" t="s">
        <v>253</v>
      </c>
      <c r="W5" s="440" t="s">
        <v>254</v>
      </c>
      <c r="X5" s="440" t="s">
        <v>255</v>
      </c>
      <c r="Y5" s="440" t="s">
        <v>256</v>
      </c>
      <c r="Z5" s="440" t="s">
        <v>257</v>
      </c>
      <c r="AB5" s="440" t="s">
        <v>250</v>
      </c>
      <c r="AC5" s="445"/>
      <c r="AE5" s="440" t="s">
        <v>250</v>
      </c>
      <c r="AF5" s="445"/>
      <c r="AG5" s="384"/>
      <c r="AH5" s="440" t="s">
        <v>232</v>
      </c>
      <c r="AI5" s="440" t="s">
        <v>277</v>
      </c>
      <c r="AJ5" s="440" t="s">
        <v>184</v>
      </c>
      <c r="AK5" s="384"/>
      <c r="AL5" s="440" t="s">
        <v>232</v>
      </c>
      <c r="AM5" s="384"/>
      <c r="AN5" s="440" t="s">
        <v>232</v>
      </c>
      <c r="AO5" s="384"/>
      <c r="AP5" s="384"/>
    </row>
    <row r="6" spans="1:42" ht="15.5">
      <c r="A6" s="432" t="s">
        <v>280</v>
      </c>
      <c r="C6" s="437">
        <v>9.35E-2</v>
      </c>
      <c r="D6" s="438">
        <v>40</v>
      </c>
      <c r="E6" s="438">
        <v>4</v>
      </c>
      <c r="F6" s="438">
        <v>333.12532537743044</v>
      </c>
      <c r="G6" s="438">
        <v>220.07403992321525</v>
      </c>
      <c r="H6" s="437">
        <v>3.5000000000000003E-2</v>
      </c>
      <c r="I6" s="439">
        <v>0.25</v>
      </c>
      <c r="J6" s="459">
        <v>15</v>
      </c>
      <c r="L6" s="459">
        <v>4.2000000000000011</v>
      </c>
      <c r="M6" s="459">
        <v>2.1000000000000005</v>
      </c>
      <c r="N6" s="459">
        <v>2.1000000000000005</v>
      </c>
      <c r="O6" s="384"/>
      <c r="P6" s="441" t="s">
        <v>252</v>
      </c>
      <c r="Q6" s="458">
        <v>2.1000000000000005</v>
      </c>
      <c r="R6" s="384"/>
      <c r="S6" s="441" t="s">
        <v>179</v>
      </c>
      <c r="T6" s="458">
        <v>333.12532537743044</v>
      </c>
      <c r="U6" s="384"/>
      <c r="V6" s="442">
        <v>15.104780660812537</v>
      </c>
      <c r="W6" s="443">
        <v>0.14644579611693387</v>
      </c>
      <c r="X6" s="458">
        <v>7</v>
      </c>
      <c r="Y6" s="444">
        <v>1.3776195165203131</v>
      </c>
      <c r="Z6" s="443">
        <v>1.5136965972618091</v>
      </c>
      <c r="AB6" s="441" t="s">
        <v>218</v>
      </c>
      <c r="AC6" s="458">
        <v>0.6</v>
      </c>
      <c r="AE6" s="441" t="s">
        <v>206</v>
      </c>
      <c r="AF6" s="458">
        <v>0.48</v>
      </c>
      <c r="AG6" s="384"/>
      <c r="AH6" s="446">
        <v>2024</v>
      </c>
      <c r="AI6" s="458">
        <v>-40</v>
      </c>
      <c r="AJ6" s="458">
        <v>-40</v>
      </c>
      <c r="AK6" s="384"/>
      <c r="AL6" s="447" t="s">
        <v>274</v>
      </c>
      <c r="AM6" s="384"/>
      <c r="AN6" s="457" t="s">
        <v>275</v>
      </c>
      <c r="AO6" s="384"/>
      <c r="AP6" s="384"/>
    </row>
    <row r="7" spans="1:42" ht="15.5">
      <c r="A7" s="433" t="s">
        <v>243</v>
      </c>
      <c r="C7" s="384"/>
      <c r="D7" s="384"/>
      <c r="E7" s="384"/>
      <c r="F7" s="384"/>
      <c r="G7" s="384"/>
      <c r="H7" s="384"/>
      <c r="I7" s="384"/>
      <c r="J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AB7" s="441" t="s">
        <v>90</v>
      </c>
      <c r="AC7" s="458">
        <v>0.6</v>
      </c>
      <c r="AE7" s="441" t="s">
        <v>207</v>
      </c>
      <c r="AF7" s="458">
        <v>0.48</v>
      </c>
      <c r="AH7" s="446">
        <v>2025</v>
      </c>
      <c r="AI7" s="458">
        <v>5.5992725083352228</v>
      </c>
      <c r="AJ7" s="458">
        <v>-34.400727491664775</v>
      </c>
      <c r="AK7" s="384"/>
      <c r="AL7" s="448" t="s">
        <v>274</v>
      </c>
      <c r="AM7" s="384"/>
      <c r="AN7" s="447" t="s">
        <v>233</v>
      </c>
      <c r="AO7" s="384"/>
      <c r="AP7" s="384"/>
    </row>
    <row r="8" spans="1:42" ht="15.5">
      <c r="A8" s="434" t="s">
        <v>244</v>
      </c>
      <c r="C8" s="384"/>
      <c r="D8" s="384"/>
      <c r="E8" s="384"/>
      <c r="F8" s="384"/>
      <c r="G8" s="384"/>
      <c r="H8" s="384"/>
      <c r="I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AB8" s="441" t="s">
        <v>219</v>
      </c>
      <c r="AC8" s="458">
        <v>0.24</v>
      </c>
      <c r="AE8" s="441" t="s">
        <v>208</v>
      </c>
      <c r="AF8" s="458">
        <v>0.5</v>
      </c>
      <c r="AH8" s="446">
        <v>2026</v>
      </c>
      <c r="AI8" s="458">
        <v>5.7873930461269563</v>
      </c>
      <c r="AJ8" s="458">
        <v>-28.613334445537816</v>
      </c>
      <c r="AL8" s="449" t="s">
        <v>275</v>
      </c>
      <c r="AM8" s="384"/>
      <c r="AN8" s="384"/>
      <c r="AO8" s="384"/>
      <c r="AP8" s="384"/>
    </row>
    <row r="9" spans="1:42" ht="15.5">
      <c r="A9" s="435" t="s">
        <v>249</v>
      </c>
      <c r="C9" s="384"/>
      <c r="D9" s="384"/>
      <c r="E9" s="384"/>
      <c r="F9" s="384"/>
      <c r="G9" s="384"/>
      <c r="H9" s="384"/>
      <c r="L9" s="384"/>
      <c r="M9" s="384"/>
      <c r="N9" s="384"/>
      <c r="O9" s="384"/>
      <c r="P9" s="384"/>
      <c r="Q9" s="384"/>
      <c r="R9" s="384"/>
      <c r="S9" s="384"/>
      <c r="T9" s="384"/>
      <c r="U9" s="384"/>
      <c r="V9" s="384"/>
      <c r="W9" s="384"/>
      <c r="X9" s="384"/>
      <c r="AB9" s="441" t="s">
        <v>220</v>
      </c>
      <c r="AC9" s="458">
        <v>0.16</v>
      </c>
      <c r="AE9" s="441" t="s">
        <v>209</v>
      </c>
      <c r="AF9" s="458">
        <v>0.4</v>
      </c>
      <c r="AH9" s="446">
        <v>2027</v>
      </c>
      <c r="AI9" s="458">
        <v>5.9820978027413965</v>
      </c>
      <c r="AJ9" s="458">
        <v>-22.63123664279642</v>
      </c>
      <c r="AL9" s="450" t="s">
        <v>275</v>
      </c>
      <c r="AM9" s="384"/>
      <c r="AN9" s="384"/>
      <c r="AO9" s="384"/>
      <c r="AP9" s="384"/>
    </row>
    <row r="10" spans="1:42" ht="15.5">
      <c r="A10" s="432" t="s">
        <v>233</v>
      </c>
      <c r="C10" s="384"/>
      <c r="D10" s="384"/>
      <c r="E10" s="384"/>
      <c r="F10" s="384"/>
      <c r="G10" s="384"/>
      <c r="L10" s="384"/>
      <c r="M10" s="384"/>
      <c r="N10" s="384"/>
      <c r="P10" s="384"/>
      <c r="Q10" s="384"/>
      <c r="R10" s="384"/>
      <c r="S10" s="384"/>
      <c r="T10" s="384"/>
      <c r="U10" s="384"/>
      <c r="V10" s="384"/>
      <c r="W10" s="384"/>
      <c r="X10" s="384"/>
      <c r="AB10" s="441" t="s">
        <v>221</v>
      </c>
      <c r="AC10" s="458">
        <v>0.5</v>
      </c>
      <c r="AE10" s="441" t="s">
        <v>210</v>
      </c>
      <c r="AF10" s="458">
        <v>0.24</v>
      </c>
      <c r="AH10" s="446">
        <v>2028</v>
      </c>
      <c r="AI10" s="458">
        <v>6.1836172258373443</v>
      </c>
      <c r="AJ10" s="458">
        <v>-16.447619416959075</v>
      </c>
      <c r="AL10" s="451" t="s">
        <v>279</v>
      </c>
      <c r="AM10" s="384"/>
      <c r="AN10" s="384"/>
      <c r="AO10" s="384"/>
      <c r="AP10" s="384"/>
    </row>
    <row r="11" spans="1:42" ht="15.5">
      <c r="C11" s="384"/>
      <c r="D11" s="384"/>
      <c r="E11" s="384"/>
      <c r="F11" s="384"/>
      <c r="G11" s="384"/>
      <c r="L11" s="384"/>
      <c r="M11" s="384"/>
      <c r="N11" s="384"/>
      <c r="P11" s="384"/>
      <c r="Q11" s="384"/>
      <c r="R11" s="384"/>
      <c r="S11" s="384"/>
      <c r="T11" s="384"/>
      <c r="U11" s="384"/>
      <c r="V11" s="384"/>
      <c r="W11" s="384"/>
      <c r="X11" s="384"/>
      <c r="AB11" s="384"/>
      <c r="AC11" s="384"/>
      <c r="AH11" s="446">
        <v>2029</v>
      </c>
      <c r="AI11" s="458">
        <v>6.3921898287416496</v>
      </c>
      <c r="AJ11" s="458">
        <v>-10.055429588217425</v>
      </c>
      <c r="AL11" s="447" t="s">
        <v>233</v>
      </c>
      <c r="AM11" s="384"/>
      <c r="AN11" s="384"/>
      <c r="AO11" s="384"/>
      <c r="AP11" s="384"/>
    </row>
    <row r="12" spans="1:42" ht="15.5">
      <c r="C12" s="384"/>
      <c r="D12" s="384"/>
      <c r="E12" s="384"/>
      <c r="F12" s="384"/>
      <c r="G12" s="384"/>
      <c r="L12" s="384"/>
      <c r="M12" s="384"/>
      <c r="N12" s="384"/>
      <c r="P12" s="384"/>
      <c r="Q12" s="384"/>
      <c r="R12" s="384"/>
      <c r="S12" s="384"/>
      <c r="T12" s="384"/>
      <c r="U12" s="384"/>
      <c r="V12" s="384"/>
      <c r="W12" s="384"/>
      <c r="X12" s="384"/>
      <c r="AB12" s="384"/>
      <c r="AC12" s="384"/>
      <c r="AH12" s="446">
        <v>2030</v>
      </c>
      <c r="AI12" s="458">
        <v>6.6080624727476085</v>
      </c>
      <c r="AJ12" s="458">
        <v>-3.4473671154698167</v>
      </c>
      <c r="AL12" s="384"/>
      <c r="AM12" s="384"/>
      <c r="AN12" s="384"/>
      <c r="AO12" s="384"/>
      <c r="AP12" s="384"/>
    </row>
    <row r="13" spans="1:42" ht="15.5">
      <c r="C13" s="384"/>
      <c r="D13" s="384"/>
      <c r="E13" s="384"/>
      <c r="F13" s="384"/>
      <c r="G13" s="384"/>
      <c r="L13" s="384"/>
      <c r="M13" s="384"/>
      <c r="N13" s="384"/>
      <c r="P13" s="384"/>
      <c r="Q13" s="384"/>
      <c r="R13" s="384"/>
      <c r="S13" s="384"/>
      <c r="T13" s="384"/>
      <c r="U13" s="384"/>
      <c r="V13" s="384"/>
      <c r="W13" s="384"/>
      <c r="X13" s="384"/>
      <c r="AB13" s="384"/>
      <c r="AC13" s="384"/>
      <c r="AH13" s="446">
        <v>2031</v>
      </c>
      <c r="AI13" s="458">
        <v>6.8314906592937774</v>
      </c>
      <c r="AJ13" s="458">
        <v>3.3841235438239607</v>
      </c>
      <c r="AL13" s="384"/>
      <c r="AM13" s="384"/>
      <c r="AN13" s="384"/>
      <c r="AO13" s="384"/>
      <c r="AP13" s="384"/>
    </row>
    <row r="14" spans="1:42" ht="15.5">
      <c r="C14" s="384"/>
      <c r="D14" s="384"/>
      <c r="E14" s="384"/>
      <c r="F14" s="384"/>
      <c r="G14" s="384"/>
      <c r="L14" s="384"/>
      <c r="M14" s="384"/>
      <c r="N14" s="384"/>
      <c r="P14" s="384"/>
      <c r="Q14" s="384"/>
      <c r="R14" s="384"/>
      <c r="S14" s="384"/>
      <c r="T14" s="384"/>
      <c r="U14" s="384"/>
      <c r="V14" s="384"/>
      <c r="W14" s="384"/>
      <c r="X14" s="384"/>
      <c r="AB14" s="384"/>
      <c r="AC14" s="384"/>
      <c r="AH14" s="446">
        <v>2032</v>
      </c>
      <c r="AI14" s="458">
        <v>7.0627388323690568</v>
      </c>
      <c r="AJ14" s="458">
        <v>10.446862376193017</v>
      </c>
      <c r="AL14" s="384"/>
      <c r="AM14" s="384"/>
      <c r="AN14" s="384"/>
      <c r="AO14" s="384"/>
      <c r="AP14" s="384"/>
    </row>
    <row r="15" spans="1:42" ht="15.5">
      <c r="C15" s="384"/>
      <c r="D15" s="384"/>
      <c r="E15" s="384"/>
      <c r="F15" s="384"/>
      <c r="G15" s="384"/>
      <c r="L15" s="384"/>
      <c r="M15" s="384"/>
      <c r="N15" s="384"/>
      <c r="P15" s="384"/>
      <c r="Q15" s="384"/>
      <c r="R15" s="384"/>
      <c r="S15" s="384"/>
      <c r="T15" s="384"/>
      <c r="U15" s="384"/>
      <c r="V15" s="384"/>
      <c r="W15" s="384"/>
      <c r="X15" s="384"/>
      <c r="AB15" s="384"/>
      <c r="AC15" s="384"/>
      <c r="AH15" s="446">
        <v>2033</v>
      </c>
      <c r="AI15" s="458">
        <v>7.302080691501974</v>
      </c>
      <c r="AJ15" s="458">
        <v>17.748943067694992</v>
      </c>
      <c r="AL15" s="384"/>
      <c r="AM15" s="384"/>
      <c r="AN15" s="384"/>
      <c r="AO15" s="384"/>
      <c r="AP15" s="384"/>
    </row>
    <row r="16" spans="1:42" ht="15.5">
      <c r="C16" s="384"/>
      <c r="D16" s="384"/>
      <c r="E16" s="384"/>
      <c r="F16" s="384"/>
      <c r="G16" s="384"/>
      <c r="L16" s="384"/>
      <c r="M16" s="384"/>
      <c r="N16" s="384"/>
      <c r="P16" s="384"/>
      <c r="Q16" s="384"/>
      <c r="R16" s="384"/>
      <c r="S16" s="384"/>
      <c r="T16" s="384"/>
      <c r="U16" s="384"/>
      <c r="V16" s="384"/>
      <c r="W16" s="384"/>
      <c r="X16" s="384"/>
      <c r="AB16" s="384"/>
      <c r="AC16" s="384"/>
      <c r="AH16" s="446">
        <v>2034</v>
      </c>
      <c r="AI16" s="458">
        <v>7.5497995157045423</v>
      </c>
      <c r="AJ16" s="458">
        <v>25.298742583399534</v>
      </c>
      <c r="AL16" s="384"/>
      <c r="AM16" s="384"/>
      <c r="AN16" s="384"/>
      <c r="AO16" s="384"/>
      <c r="AP16" s="384"/>
    </row>
    <row r="17" spans="3:42" ht="15.5">
      <c r="C17" s="384"/>
      <c r="D17" s="384"/>
      <c r="E17" s="384"/>
      <c r="F17" s="384"/>
      <c r="G17" s="384"/>
      <c r="L17" s="384"/>
      <c r="M17" s="384"/>
      <c r="N17" s="384"/>
      <c r="P17" s="384"/>
      <c r="Q17" s="384"/>
      <c r="R17" s="384"/>
      <c r="S17" s="384"/>
      <c r="T17" s="384"/>
      <c r="U17" s="384"/>
      <c r="V17" s="384"/>
      <c r="W17" s="384"/>
      <c r="X17" s="384"/>
      <c r="AB17" s="384"/>
      <c r="AC17" s="384"/>
      <c r="AH17" s="446">
        <v>2035</v>
      </c>
      <c r="AI17" s="458">
        <v>7.7303706137666612</v>
      </c>
      <c r="AJ17" s="458">
        <v>33.029113197166197</v>
      </c>
      <c r="AL17" s="384"/>
      <c r="AM17" s="384"/>
      <c r="AN17" s="384"/>
      <c r="AO17" s="384"/>
      <c r="AP17" s="384"/>
    </row>
    <row r="18" spans="3:42" ht="15.5">
      <c r="C18" s="384"/>
      <c r="D18" s="384"/>
      <c r="E18" s="384"/>
      <c r="F18" s="384"/>
      <c r="G18" s="384"/>
      <c r="L18" s="384"/>
      <c r="M18" s="384"/>
      <c r="N18" s="384"/>
      <c r="P18" s="384"/>
      <c r="Q18" s="384"/>
      <c r="R18" s="384"/>
      <c r="S18" s="384"/>
      <c r="T18" s="384"/>
      <c r="U18" s="384"/>
      <c r="V18" s="384"/>
      <c r="W18" s="384"/>
      <c r="X18" s="384"/>
      <c r="AB18" s="384"/>
      <c r="AC18" s="384"/>
      <c r="AH18" s="446">
        <v>2036</v>
      </c>
      <c r="AI18" s="458">
        <v>7.915392789396007</v>
      </c>
      <c r="AJ18" s="458">
        <v>40.944505986562206</v>
      </c>
      <c r="AL18" s="384"/>
      <c r="AM18" s="384"/>
      <c r="AN18" s="384"/>
      <c r="AO18" s="384"/>
      <c r="AP18" s="384"/>
    </row>
    <row r="19" spans="3:42" ht="15.5">
      <c r="C19" s="384"/>
      <c r="D19" s="384"/>
      <c r="E19" s="384"/>
      <c r="F19" s="384"/>
      <c r="G19" s="384"/>
      <c r="L19" s="384"/>
      <c r="M19" s="384"/>
      <c r="N19" s="384"/>
      <c r="P19" s="384"/>
      <c r="Q19" s="384"/>
      <c r="R19" s="384"/>
      <c r="S19" s="384"/>
      <c r="T19" s="384"/>
      <c r="U19" s="384"/>
      <c r="V19" s="384"/>
      <c r="W19" s="384"/>
      <c r="X19" s="384"/>
      <c r="AB19" s="384"/>
      <c r="AC19" s="384"/>
      <c r="AH19" s="446">
        <v>2037</v>
      </c>
      <c r="AI19" s="458">
        <v>8.1049757616546181</v>
      </c>
      <c r="AJ19" s="458">
        <v>49.04948174821682</v>
      </c>
      <c r="AL19" s="384"/>
      <c r="AM19" s="384"/>
      <c r="AN19" s="384"/>
      <c r="AO19" s="384"/>
      <c r="AP19" s="384"/>
    </row>
    <row r="20" spans="3:42" ht="15.5">
      <c r="C20" s="384"/>
      <c r="D20" s="384"/>
      <c r="E20" s="384"/>
      <c r="F20" s="384"/>
      <c r="G20" s="384"/>
      <c r="L20" s="384"/>
      <c r="M20" s="384"/>
      <c r="N20" s="384"/>
      <c r="P20" s="384"/>
      <c r="Q20" s="384"/>
      <c r="R20" s="384"/>
      <c r="S20" s="384"/>
      <c r="T20" s="384"/>
      <c r="U20" s="384"/>
      <c r="V20" s="384"/>
      <c r="W20" s="384"/>
      <c r="X20" s="384"/>
      <c r="AB20" s="384"/>
      <c r="AC20" s="384"/>
      <c r="AH20" s="446">
        <v>2038</v>
      </c>
      <c r="AI20" s="458">
        <v>8.2992319541793993</v>
      </c>
      <c r="AJ20" s="458">
        <v>57.348713702396218</v>
      </c>
      <c r="AL20" s="384"/>
      <c r="AM20" s="384"/>
      <c r="AN20" s="384"/>
      <c r="AO20" s="384"/>
      <c r="AP20" s="384"/>
    </row>
    <row r="21" spans="3:42" ht="15.5">
      <c r="C21" s="384"/>
      <c r="D21" s="384"/>
      <c r="E21" s="384"/>
      <c r="F21" s="384"/>
      <c r="G21" s="384"/>
      <c r="L21" s="384"/>
      <c r="M21" s="384"/>
      <c r="N21" s="384"/>
      <c r="P21" s="384"/>
      <c r="Q21" s="384"/>
      <c r="R21" s="384"/>
      <c r="S21" s="384"/>
      <c r="T21" s="384"/>
      <c r="U21" s="384"/>
      <c r="V21" s="384"/>
      <c r="W21" s="384"/>
      <c r="X21" s="384"/>
      <c r="AH21" s="446">
        <v>2039</v>
      </c>
      <c r="AI21" s="458">
        <v>16.498276561849934</v>
      </c>
      <c r="AJ21" s="458">
        <v>73.846990264246159</v>
      </c>
      <c r="AL21" s="384"/>
      <c r="AM21" s="384"/>
      <c r="AN21" s="384"/>
      <c r="AO21" s="384"/>
      <c r="AP21" s="384"/>
    </row>
    <row r="22" spans="3:42" ht="15.5">
      <c r="C22" s="384"/>
      <c r="D22" s="384"/>
      <c r="E22" s="384"/>
      <c r="F22" s="384"/>
      <c r="G22" s="384"/>
      <c r="L22" s="384"/>
      <c r="M22" s="384"/>
      <c r="N22" s="384"/>
      <c r="P22" s="384"/>
      <c r="Q22" s="384"/>
      <c r="R22" s="384"/>
      <c r="S22" s="384"/>
      <c r="T22" s="384"/>
      <c r="U22" s="384"/>
      <c r="V22" s="384"/>
      <c r="W22" s="384"/>
      <c r="X22" s="384"/>
      <c r="AH22" s="447" t="s">
        <v>233</v>
      </c>
      <c r="AI22" s="458">
        <v>73.846990264246159</v>
      </c>
      <c r="AJ22" s="458">
        <v>155.50176176905373</v>
      </c>
      <c r="AL22" s="384"/>
      <c r="AM22" s="384"/>
      <c r="AN22" s="384"/>
      <c r="AO22" s="384"/>
      <c r="AP22" s="384"/>
    </row>
    <row r="23" spans="3:42" ht="15.5">
      <c r="C23" s="384"/>
      <c r="D23" s="384"/>
      <c r="E23" s="384"/>
      <c r="F23" s="384"/>
      <c r="G23" s="384"/>
    </row>
    <row r="24" spans="3:42" ht="15.5">
      <c r="C24" s="384"/>
      <c r="D24" s="384"/>
      <c r="E24" s="384"/>
      <c r="F24" s="384"/>
      <c r="G24" s="384"/>
      <c r="AH24" s="384"/>
    </row>
    <row r="25" spans="3:42" ht="15.5">
      <c r="C25" s="384"/>
      <c r="D25" s="384"/>
      <c r="E25" s="384"/>
      <c r="F25" s="384"/>
      <c r="G25" s="384"/>
      <c r="AH25" s="384"/>
    </row>
    <row r="26" spans="3:42" ht="15.5">
      <c r="AH26" s="384"/>
    </row>
    <row r="27" spans="3:42" ht="15.5">
      <c r="AH27" s="384"/>
    </row>
    <row r="28" spans="3:42" ht="15.5">
      <c r="AH28" s="384"/>
    </row>
    <row r="29" spans="3:42" ht="15.5">
      <c r="AH29" s="384"/>
    </row>
    <row r="30" spans="3:42" ht="15.5">
      <c r="AH30" s="384"/>
    </row>
    <row r="31" spans="3:42" ht="15.5">
      <c r="AH31" s="384"/>
    </row>
    <row r="32" spans="3:42" ht="15.5">
      <c r="AH32" s="384"/>
    </row>
    <row r="33" spans="34:34" ht="15.5">
      <c r="AH33" s="384"/>
    </row>
    <row r="34" spans="34:34" ht="15.5">
      <c r="AH34" s="384"/>
    </row>
    <row r="35" spans="34:34" ht="15.5">
      <c r="AH35" s="384"/>
    </row>
    <row r="36" spans="34:34" ht="15.5">
      <c r="AH36" s="384"/>
    </row>
    <row r="37" spans="34:34" ht="15.5">
      <c r="AH37" s="384"/>
    </row>
    <row r="38" spans="34:34" ht="15.5">
      <c r="AH38" s="384"/>
    </row>
  </sheetData>
  <sheetProtection algorithmName="SHA-512" hashValue="2ry56sQDbNt2c+s17pCUdZrsJRwq0M6Biw7kScS9k7ePLEL7DyCAzNo+Zg3Umgq7Zw5fJwaE9KRbxW4ARmoxEQ==" saltValue="pM2cwTFBvg3r4aTKU00ysA==" spinCount="100000" sheet="1" objects="1" scenarios="1"/>
  <pageMargins left="0.7" right="0.7" top="0.75" bottom="0.75" header="0.3" footer="0.3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5A14-EBF4-4331-97F3-6503EAAD9876}">
  <sheetPr>
    <tabColor rgb="FF0070C0"/>
  </sheetPr>
  <dimension ref="A1:AW50"/>
  <sheetViews>
    <sheetView showGridLines="0" zoomScaleNormal="100" workbookViewId="0">
      <pane xSplit="1" topLeftCell="C1" activePane="topRight" state="frozen"/>
      <selection activeCell="AI3" sqref="AI3"/>
      <selection pane="topRight" activeCell="AF20" sqref="AC20:AF23"/>
    </sheetView>
  </sheetViews>
  <sheetFormatPr defaultRowHeight="15.5"/>
  <cols>
    <col min="1" max="1" width="2.58203125" bestFit="1" customWidth="1"/>
    <col min="2" max="2" width="9.75" bestFit="1" customWidth="1"/>
    <col min="3" max="3" width="54.25" bestFit="1" customWidth="1"/>
    <col min="4" max="4" width="19.08203125" bestFit="1" customWidth="1"/>
    <col min="5" max="5" width="16.08203125" bestFit="1" customWidth="1"/>
    <col min="6" max="6" width="21.6640625" bestFit="1" customWidth="1"/>
    <col min="7" max="7" width="15.33203125" bestFit="1" customWidth="1"/>
    <col min="8" max="8" width="22.75" bestFit="1" customWidth="1"/>
    <col min="9" max="9" width="12.08203125" bestFit="1" customWidth="1"/>
    <col min="10" max="10" width="9.6640625" bestFit="1" customWidth="1"/>
    <col min="11" max="11" width="9.5" bestFit="1" customWidth="1"/>
    <col min="12" max="12" width="32.4140625" bestFit="1" customWidth="1"/>
    <col min="13" max="13" width="3.9140625" customWidth="1"/>
    <col min="14" max="14" width="15.6640625" bestFit="1" customWidth="1"/>
    <col min="15" max="15" width="26.33203125" bestFit="1" customWidth="1"/>
    <col min="16" max="16" width="12.25" bestFit="1" customWidth="1"/>
    <col min="17" max="17" width="11.5" bestFit="1" customWidth="1"/>
    <col min="18" max="18" width="11" bestFit="1" customWidth="1"/>
    <col min="19" max="19" width="10.5" bestFit="1" customWidth="1"/>
    <col min="20" max="20" width="12" bestFit="1" customWidth="1"/>
    <col min="21" max="21" width="12.75" bestFit="1" customWidth="1"/>
    <col min="22" max="22" width="12" bestFit="1" customWidth="1"/>
    <col min="23" max="23" width="11.5" bestFit="1" customWidth="1"/>
    <col min="24" max="24" width="11" bestFit="1" customWidth="1"/>
    <col min="25" max="25" width="12.5" bestFit="1" customWidth="1"/>
    <col min="26" max="26" width="13.9140625" bestFit="1" customWidth="1"/>
    <col min="27" max="27" width="12.83203125" bestFit="1" customWidth="1"/>
    <col min="28" max="28" width="11.6640625" bestFit="1" customWidth="1"/>
    <col min="29" max="29" width="14.08203125" bestFit="1" customWidth="1"/>
    <col min="30" max="30" width="14.4140625" bestFit="1" customWidth="1"/>
    <col min="31" max="31" width="16.1640625" bestFit="1" customWidth="1"/>
    <col min="32" max="32" width="15.08203125" bestFit="1" customWidth="1"/>
    <col min="33" max="33" width="13.9140625" bestFit="1" customWidth="1"/>
    <col min="34" max="34" width="16.33203125" bestFit="1" customWidth="1"/>
    <col min="35" max="35" width="16.6640625" bestFit="1" customWidth="1"/>
    <col min="36" max="36" width="15.6640625" bestFit="1" customWidth="1"/>
    <col min="37" max="37" width="13.75" bestFit="1" customWidth="1"/>
    <col min="38" max="38" width="14.1640625" bestFit="1" customWidth="1"/>
    <col min="39" max="39" width="14.1640625" customWidth="1"/>
    <col min="40" max="40" width="18.5" bestFit="1" customWidth="1"/>
    <col min="41" max="41" width="30.1640625" bestFit="1" customWidth="1"/>
    <col min="42" max="42" width="43.4140625" bestFit="1" customWidth="1"/>
    <col min="43" max="43" width="61.6640625" bestFit="1" customWidth="1"/>
  </cols>
  <sheetData>
    <row r="1" spans="1:49" s="1" customFormat="1">
      <c r="A1" s="425" t="s">
        <v>174</v>
      </c>
      <c r="B1" s="425" t="s">
        <v>92</v>
      </c>
      <c r="C1" s="425" t="s">
        <v>175</v>
      </c>
      <c r="D1" s="426" t="s">
        <v>66</v>
      </c>
      <c r="E1" s="425" t="s">
        <v>176</v>
      </c>
      <c r="F1" s="426" t="s">
        <v>177</v>
      </c>
      <c r="G1" s="427" t="s">
        <v>178</v>
      </c>
      <c r="H1" s="427" t="s">
        <v>44</v>
      </c>
      <c r="I1" s="426" t="s">
        <v>179</v>
      </c>
      <c r="J1" s="426" t="s">
        <v>180</v>
      </c>
      <c r="K1" s="427" t="s">
        <v>181</v>
      </c>
      <c r="L1" s="427" t="s">
        <v>182</v>
      </c>
      <c r="M1" s="427" t="s">
        <v>231</v>
      </c>
      <c r="N1" s="426" t="s">
        <v>183</v>
      </c>
      <c r="O1" s="426" t="s">
        <v>184</v>
      </c>
      <c r="P1" s="425" t="s">
        <v>185</v>
      </c>
      <c r="Q1" s="428" t="s">
        <v>186</v>
      </c>
      <c r="R1" s="425" t="s">
        <v>187</v>
      </c>
      <c r="S1" s="425" t="s">
        <v>188</v>
      </c>
      <c r="T1" s="429" t="s">
        <v>189</v>
      </c>
      <c r="U1" s="429" t="s">
        <v>258</v>
      </c>
      <c r="V1" s="429" t="s">
        <v>259</v>
      </c>
      <c r="W1" s="429" t="s">
        <v>260</v>
      </c>
      <c r="X1" s="429" t="s">
        <v>261</v>
      </c>
      <c r="Y1" s="429" t="s">
        <v>262</v>
      </c>
      <c r="Z1" s="425" t="s">
        <v>263</v>
      </c>
      <c r="AA1" s="425" t="s">
        <v>264</v>
      </c>
      <c r="AB1" s="425" t="s">
        <v>267</v>
      </c>
      <c r="AC1" s="425" t="s">
        <v>265</v>
      </c>
      <c r="AD1" s="425" t="s">
        <v>266</v>
      </c>
      <c r="AE1" s="425" t="s">
        <v>269</v>
      </c>
      <c r="AF1" s="425" t="s">
        <v>270</v>
      </c>
      <c r="AG1" s="425" t="s">
        <v>271</v>
      </c>
      <c r="AH1" s="425" t="s">
        <v>272</v>
      </c>
      <c r="AI1" s="425" t="s">
        <v>273</v>
      </c>
      <c r="AJ1" s="425" t="s">
        <v>190</v>
      </c>
      <c r="AK1" s="425" t="s">
        <v>191</v>
      </c>
      <c r="AL1" s="425" t="s">
        <v>192</v>
      </c>
      <c r="AM1" s="425" t="s">
        <v>278</v>
      </c>
      <c r="AN1" s="401" t="s">
        <v>193</v>
      </c>
      <c r="AO1" s="401" t="s">
        <v>194</v>
      </c>
      <c r="AP1" s="401" t="s">
        <v>248</v>
      </c>
      <c r="AQ1" s="425" t="s">
        <v>195</v>
      </c>
      <c r="AR1" s="388"/>
      <c r="AS1" s="388"/>
      <c r="AT1" s="388"/>
      <c r="AU1" s="388"/>
      <c r="AV1" s="388"/>
      <c r="AW1" s="388"/>
    </row>
    <row r="2" spans="1:49" s="417" customFormat="1">
      <c r="A2" s="403">
        <v>0</v>
      </c>
      <c r="B2" s="403">
        <f>Calc!C39</f>
        <v>2024</v>
      </c>
      <c r="C2" s="403" t="str">
        <f>Calc!$B$1</f>
        <v>INVESTMENT | STUDI KASUS XX</v>
      </c>
      <c r="D2" s="404">
        <f>Calc!$E$4</f>
        <v>40</v>
      </c>
      <c r="E2" s="402">
        <f>Calc!$M$11</f>
        <v>9.35E-2</v>
      </c>
      <c r="F2" s="405">
        <f>Calc!$E$6</f>
        <v>15</v>
      </c>
      <c r="G2" s="404">
        <f>Calc!$E$7</f>
        <v>4</v>
      </c>
      <c r="H2" s="406">
        <f>Calc!$I$7</f>
        <v>0.25</v>
      </c>
      <c r="I2" s="404">
        <v>0</v>
      </c>
      <c r="J2" s="404">
        <v>0</v>
      </c>
      <c r="K2" s="402">
        <f>Datasumsi!$F$22</f>
        <v>3.5000000000000003E-2</v>
      </c>
      <c r="L2" s="404">
        <f>Datasumsi!$F$25</f>
        <v>9841467.9299999997</v>
      </c>
      <c r="M2" s="407">
        <f>Calc!$E$82</f>
        <v>0.20454158804256217</v>
      </c>
      <c r="N2" s="408">
        <f>Calc!$C$75</f>
        <v>-40</v>
      </c>
      <c r="O2" s="408">
        <f>Calc!C76</f>
        <v>-40</v>
      </c>
      <c r="P2" s="409">
        <f>Calc!$E$79</f>
        <v>15.104780660812537</v>
      </c>
      <c r="Q2" s="410">
        <f>Calc!$E$80</f>
        <v>0.14644579611693387</v>
      </c>
      <c r="R2" s="411">
        <f>Calc!$E$81</f>
        <v>7</v>
      </c>
      <c r="S2" s="412">
        <f>Calc!$E$83</f>
        <v>1.3776195165203133</v>
      </c>
      <c r="T2" s="413">
        <f>Calc!$E$84</f>
        <v>1.5136965972618091</v>
      </c>
      <c r="U2" s="414">
        <f>Calc!$F$148</f>
        <v>0.6</v>
      </c>
      <c r="V2" s="414">
        <f>Calc!$F$149</f>
        <v>0.6</v>
      </c>
      <c r="W2" s="414">
        <f>Calc!$F$150</f>
        <v>0.24</v>
      </c>
      <c r="X2" s="414">
        <f>Calc!$F$151</f>
        <v>0.16</v>
      </c>
      <c r="Y2" s="414">
        <f>Calc!$F$152</f>
        <v>0.5</v>
      </c>
      <c r="Z2" s="415">
        <f>Calc!$F$153</f>
        <v>0.48</v>
      </c>
      <c r="AA2" s="415">
        <f>Calc!$F$154</f>
        <v>0.48</v>
      </c>
      <c r="AB2" s="415">
        <f>Calc!$F$155</f>
        <v>0.5</v>
      </c>
      <c r="AC2" s="415">
        <f>Calc!$F$156</f>
        <v>0.4</v>
      </c>
      <c r="AD2" s="415">
        <f>Calc!$F$157</f>
        <v>0.24</v>
      </c>
      <c r="AE2" s="415" t="str">
        <f>Calc!$O$120</f>
        <v>High</v>
      </c>
      <c r="AF2" s="415" t="str">
        <f>Calc!$O$125</f>
        <v>High</v>
      </c>
      <c r="AG2" s="415" t="str">
        <f>Calc!O130</f>
        <v>Very High</v>
      </c>
      <c r="AH2" s="415" t="str">
        <f>Calc!$O$135</f>
        <v>Very High</v>
      </c>
      <c r="AI2" s="415" t="str">
        <f>Calc!$O$140</f>
        <v>Moderate</v>
      </c>
      <c r="AJ2" s="416">
        <f>Calc!$G$148</f>
        <v>2.0999999999999996</v>
      </c>
      <c r="AK2" s="416">
        <f>Calc!$G$153</f>
        <v>2.0999999999999996</v>
      </c>
      <c r="AL2" s="416">
        <f>Calc!$G$158</f>
        <v>4.1999999999999993</v>
      </c>
      <c r="AM2" s="416" t="str">
        <f>Calc!$F$159</f>
        <v>Very High</v>
      </c>
      <c r="AN2" s="403" t="str">
        <f>Calc!$G$159</f>
        <v>VERY FEASIBLE</v>
      </c>
      <c r="AO2" s="410" t="str">
        <f>Calc!$G$81</f>
        <v>INVESTMENT IS FEASIBLE, IRR &gt; 9.35%</v>
      </c>
      <c r="AP2" s="410" t="str">
        <f>Calc!$G$82</f>
        <v>Proyek investasi tersebut Layak secara Aspek Finansial</v>
      </c>
      <c r="AQ2" s="416" t="str">
        <f>IF(AN2="Very Feasible", "The investment project is highly feasible in terms of financial and safety criteria.",
IF(AN2="Feasible", "The investment project is feasible in terms of financial and safety criteria.",
IF(AN2="Considered", "The investment project is considered in terms of financial and safety criteria.",
IF(AN2="Not Feasible", "The investment project is not feasible in terms of financial and safety criteria.",
"Feasibility status is undefined; please check the input."))))</f>
        <v>The investment project is highly feasible in terms of financial and safety criteria.</v>
      </c>
      <c r="AR2" s="430"/>
      <c r="AS2" s="430"/>
      <c r="AT2" s="430"/>
      <c r="AU2" s="430"/>
      <c r="AV2" s="430"/>
      <c r="AW2" s="430"/>
    </row>
    <row r="3" spans="1:49">
      <c r="A3" s="418">
        <v>1</v>
      </c>
      <c r="B3" s="418">
        <f>Calc!D39</f>
        <v>2025</v>
      </c>
      <c r="C3" s="403" t="str">
        <f>Calc!$B$1</f>
        <v>INVESTMENT | STUDI KASUS XX</v>
      </c>
      <c r="D3" s="419">
        <f>Calc!$E$4</f>
        <v>40</v>
      </c>
      <c r="E3" s="420">
        <f>Calc!$M$11</f>
        <v>9.35E-2</v>
      </c>
      <c r="F3" s="421">
        <f>Calc!$E$6</f>
        <v>15</v>
      </c>
      <c r="G3" s="419">
        <f>Calc!$E$7</f>
        <v>4</v>
      </c>
      <c r="H3" s="422">
        <f>Calc!$I$7</f>
        <v>0.25</v>
      </c>
      <c r="I3" s="419">
        <f>Calc!$D$62</f>
        <v>17.471593010416623</v>
      </c>
      <c r="J3" s="419">
        <f>Calc!$D$57</f>
        <v>11.542334865534965</v>
      </c>
      <c r="K3" s="420">
        <f>Datasumsi!$F$22</f>
        <v>3.5000000000000003E-2</v>
      </c>
      <c r="L3" s="419">
        <f>Datasumsi!$F$25</f>
        <v>9841467.9299999997</v>
      </c>
      <c r="M3" s="407">
        <f>Calc!$E$82</f>
        <v>0.20454158804256217</v>
      </c>
      <c r="N3" s="419">
        <f>Calc!D75</f>
        <v>5.5992725083352228</v>
      </c>
      <c r="O3" s="419">
        <f>Calc!D76</f>
        <v>-34.400727491664775</v>
      </c>
      <c r="P3" s="409">
        <f>Calc!$E$79</f>
        <v>15.104780660812537</v>
      </c>
      <c r="Q3" s="410">
        <f>Calc!$E$80</f>
        <v>0.14644579611693387</v>
      </c>
      <c r="R3" s="423">
        <f>Calc!$E$81</f>
        <v>7</v>
      </c>
      <c r="S3" s="415">
        <f>Calc!$E$83</f>
        <v>1.3776195165203133</v>
      </c>
      <c r="T3" s="420">
        <f>Calc!$E$84</f>
        <v>1.5136965972618091</v>
      </c>
      <c r="U3" s="414">
        <f>Calc!$F$148</f>
        <v>0.6</v>
      </c>
      <c r="V3" s="414">
        <f>Calc!$F$149</f>
        <v>0.6</v>
      </c>
      <c r="W3" s="414">
        <f>Calc!$F$150</f>
        <v>0.24</v>
      </c>
      <c r="X3" s="414">
        <f>Calc!$F$151</f>
        <v>0.16</v>
      </c>
      <c r="Y3" s="414">
        <f>Calc!$F$152</f>
        <v>0.5</v>
      </c>
      <c r="Z3" s="415">
        <f>Calc!$F$153</f>
        <v>0.48</v>
      </c>
      <c r="AA3" s="415">
        <f>Calc!$F$154</f>
        <v>0.48</v>
      </c>
      <c r="AB3" s="415">
        <f>Calc!$F$155</f>
        <v>0.5</v>
      </c>
      <c r="AC3" s="415">
        <f>Calc!$F$156</f>
        <v>0.4</v>
      </c>
      <c r="AD3" s="415">
        <f>Calc!$F$157</f>
        <v>0.24</v>
      </c>
      <c r="AE3" s="415" t="str">
        <f>Calc!$O$120</f>
        <v>High</v>
      </c>
      <c r="AF3" s="415" t="str">
        <f>Calc!$O$125</f>
        <v>High</v>
      </c>
      <c r="AG3" s="415" t="str">
        <f>Calc!$O$130</f>
        <v>Very High</v>
      </c>
      <c r="AH3" s="415" t="str">
        <f>Calc!$O$135</f>
        <v>Very High</v>
      </c>
      <c r="AI3" s="415" t="str">
        <f>Calc!$O$140</f>
        <v>Moderate</v>
      </c>
      <c r="AJ3" s="416">
        <f>Calc!$G$148</f>
        <v>2.0999999999999996</v>
      </c>
      <c r="AK3" s="416">
        <f>Calc!$G$153</f>
        <v>2.0999999999999996</v>
      </c>
      <c r="AL3" s="416">
        <f>Calc!$G$158</f>
        <v>4.1999999999999993</v>
      </c>
      <c r="AM3" s="416" t="str">
        <f>Calc!$F$159</f>
        <v>Very High</v>
      </c>
      <c r="AN3" s="403" t="str">
        <f>Calc!$G$159</f>
        <v>VERY FEASIBLE</v>
      </c>
      <c r="AO3" s="410" t="str">
        <f>Calc!$G$81</f>
        <v>INVESTMENT IS FEASIBLE, IRR &gt; 9.35%</v>
      </c>
      <c r="AP3" s="410" t="str">
        <f>Calc!$G$82</f>
        <v>Proyek investasi tersebut Layak secara Aspek Finansial</v>
      </c>
      <c r="AQ3" s="424" t="str">
        <f>IF(AN3="Very Feasible", "The investment project is highly feasible in terms of financial and safety criteria.",
IF(AN3="Feasible", "The investment project is feasible in terms of financial and safety criteria.",
IF(AN3="Considered", "The investment project is considered in terms of financial and safety criteria.",
IF(AN3="Not Feasible", "The investment project is not feasible in terms of financial and safety criteria.",
"Feasibility status is undefined; please check the input."))))</f>
        <v>The investment project is highly feasible in terms of financial and safety criteria.</v>
      </c>
      <c r="AR3" s="384"/>
      <c r="AS3" s="384"/>
      <c r="AT3" s="384"/>
      <c r="AU3" s="384"/>
      <c r="AV3" s="384"/>
      <c r="AW3" s="384"/>
    </row>
    <row r="4" spans="1:49">
      <c r="A4" s="418">
        <v>2</v>
      </c>
      <c r="B4" s="418">
        <f>Calc!E39</f>
        <v>2026</v>
      </c>
      <c r="C4" s="403" t="str">
        <f>Calc!$B$1</f>
        <v>INVESTMENT | STUDI KASUS XX</v>
      </c>
      <c r="D4" s="419">
        <f>Calc!$E$4</f>
        <v>40</v>
      </c>
      <c r="E4" s="420">
        <f>Calc!$M$11</f>
        <v>9.35E-2</v>
      </c>
      <c r="F4" s="421">
        <f>Calc!$E$6</f>
        <v>15</v>
      </c>
      <c r="G4" s="419">
        <f>Calc!$E$7</f>
        <v>4</v>
      </c>
      <c r="H4" s="422">
        <f>Calc!$I$7</f>
        <v>0.25</v>
      </c>
      <c r="I4" s="419">
        <f>Calc!$E$62</f>
        <v>18.083098765781205</v>
      </c>
      <c r="J4" s="419">
        <f>Calc!$E$57</f>
        <v>11.946316585828688</v>
      </c>
      <c r="K4" s="420">
        <f>Datasumsi!$F$22</f>
        <v>3.5000000000000003E-2</v>
      </c>
      <c r="L4" s="419">
        <f>Datasumsi!$F$25</f>
        <v>9841467.9299999997</v>
      </c>
      <c r="M4" s="407">
        <f>Calc!$E$82</f>
        <v>0.20454158804256217</v>
      </c>
      <c r="N4" s="419">
        <f>Calc!E75</f>
        <v>5.7873930461269563</v>
      </c>
      <c r="O4" s="419">
        <f>Calc!E76</f>
        <v>-28.613334445537816</v>
      </c>
      <c r="P4" s="409">
        <f>Calc!$E$79</f>
        <v>15.104780660812537</v>
      </c>
      <c r="Q4" s="410">
        <f>Calc!$E$80</f>
        <v>0.14644579611693387</v>
      </c>
      <c r="R4" s="423">
        <f>Calc!$E$81</f>
        <v>7</v>
      </c>
      <c r="S4" s="415">
        <f>Calc!$E$83</f>
        <v>1.3776195165203133</v>
      </c>
      <c r="T4" s="420">
        <f>Calc!$E$84</f>
        <v>1.5136965972618091</v>
      </c>
      <c r="U4" s="414">
        <f>Calc!$F$148</f>
        <v>0.6</v>
      </c>
      <c r="V4" s="414">
        <f>Calc!$F$149</f>
        <v>0.6</v>
      </c>
      <c r="W4" s="414">
        <f>Calc!$F$150</f>
        <v>0.24</v>
      </c>
      <c r="X4" s="414">
        <f>Calc!$F$151</f>
        <v>0.16</v>
      </c>
      <c r="Y4" s="414">
        <f>Calc!$F$152</f>
        <v>0.5</v>
      </c>
      <c r="Z4" s="415">
        <f>Calc!$F$153</f>
        <v>0.48</v>
      </c>
      <c r="AA4" s="415">
        <f>Calc!$F$154</f>
        <v>0.48</v>
      </c>
      <c r="AB4" s="415">
        <f>Calc!$F$155</f>
        <v>0.5</v>
      </c>
      <c r="AC4" s="415">
        <f>Calc!$F$156</f>
        <v>0.4</v>
      </c>
      <c r="AD4" s="415">
        <f>Calc!$F$157</f>
        <v>0.24</v>
      </c>
      <c r="AE4" s="415" t="str">
        <f>Calc!$O$120</f>
        <v>High</v>
      </c>
      <c r="AF4" s="415" t="str">
        <f>Calc!$O$125</f>
        <v>High</v>
      </c>
      <c r="AG4" s="415" t="str">
        <f>Calc!$O$130</f>
        <v>Very High</v>
      </c>
      <c r="AH4" s="415" t="str">
        <f>Calc!$O$135</f>
        <v>Very High</v>
      </c>
      <c r="AI4" s="415" t="str">
        <f>Calc!$O$140</f>
        <v>Moderate</v>
      </c>
      <c r="AJ4" s="416">
        <f>Calc!$G$148</f>
        <v>2.0999999999999996</v>
      </c>
      <c r="AK4" s="416">
        <f>Calc!$G$153</f>
        <v>2.0999999999999996</v>
      </c>
      <c r="AL4" s="416">
        <f>Calc!$G$158</f>
        <v>4.1999999999999993</v>
      </c>
      <c r="AM4" s="416" t="str">
        <f>Calc!$F$159</f>
        <v>Very High</v>
      </c>
      <c r="AN4" s="403" t="str">
        <f>Calc!$G$159</f>
        <v>VERY FEASIBLE</v>
      </c>
      <c r="AO4" s="410" t="str">
        <f>Calc!$G$81</f>
        <v>INVESTMENT IS FEASIBLE, IRR &gt; 9.35%</v>
      </c>
      <c r="AP4" s="410" t="str">
        <f>Calc!$G$82</f>
        <v>Proyek investasi tersebut Layak secara Aspek Finansial</v>
      </c>
      <c r="AQ4" s="424" t="str">
        <f>IF(AN4="Very Feasible", "The investment project is highly feasible in terms of financial and safety criteria.",
IF(AN4="Feasible", "The investment project is feasible in terms of financial and safety criteria.",
IF(AN4="Considered", "The investment project is considered in terms of financial and safety criteria.",
IF(AN4="Not Feasible", "The investment project is not feasible in terms of financial and safety criteria.",
"Feasibility status is undefined; please check the input."))))</f>
        <v>The investment project is highly feasible in terms of financial and safety criteria.</v>
      </c>
      <c r="AR4" s="384"/>
      <c r="AS4" s="384"/>
      <c r="AT4" s="384"/>
      <c r="AU4" s="384"/>
      <c r="AV4" s="384"/>
      <c r="AW4" s="384"/>
    </row>
    <row r="5" spans="1:49">
      <c r="A5" s="418">
        <v>3</v>
      </c>
      <c r="B5" s="418">
        <f>Calc!F39</f>
        <v>2027</v>
      </c>
      <c r="C5" s="403" t="str">
        <f>Calc!$B$1</f>
        <v>INVESTMENT | STUDI KASUS XX</v>
      </c>
      <c r="D5" s="419">
        <f>Calc!$E$4</f>
        <v>40</v>
      </c>
      <c r="E5" s="420">
        <f>Calc!$M$11</f>
        <v>9.35E-2</v>
      </c>
      <c r="F5" s="421">
        <f>Calc!$E$6</f>
        <v>15</v>
      </c>
      <c r="G5" s="419">
        <f>Calc!$E$7</f>
        <v>4</v>
      </c>
      <c r="H5" s="422">
        <f>Calc!$I$7</f>
        <v>0.25</v>
      </c>
      <c r="I5" s="419">
        <f>Calc!$F$62</f>
        <v>18.716007222583542</v>
      </c>
      <c r="J5" s="419">
        <f>Calc!$F$57</f>
        <v>12.364437666332691</v>
      </c>
      <c r="K5" s="420">
        <f>Datasumsi!$F$22</f>
        <v>3.5000000000000003E-2</v>
      </c>
      <c r="L5" s="419">
        <f>Datasumsi!$F$25</f>
        <v>9841467.9299999997</v>
      </c>
      <c r="M5" s="407">
        <f>Calc!$E$82</f>
        <v>0.20454158804256217</v>
      </c>
      <c r="N5" s="419">
        <f>Calc!F75</f>
        <v>5.9820978027413965</v>
      </c>
      <c r="O5" s="419">
        <f>Calc!F76</f>
        <v>-22.63123664279642</v>
      </c>
      <c r="P5" s="409">
        <f>Calc!$E$79</f>
        <v>15.104780660812537</v>
      </c>
      <c r="Q5" s="410">
        <f>Calc!$E$80</f>
        <v>0.14644579611693387</v>
      </c>
      <c r="R5" s="423">
        <f>Calc!$E$81</f>
        <v>7</v>
      </c>
      <c r="S5" s="415">
        <f>Calc!$E$83</f>
        <v>1.3776195165203133</v>
      </c>
      <c r="T5" s="420">
        <f>Calc!$E$84</f>
        <v>1.5136965972618091</v>
      </c>
      <c r="U5" s="414">
        <f>Calc!$F$148</f>
        <v>0.6</v>
      </c>
      <c r="V5" s="414">
        <f>Calc!$F$149</f>
        <v>0.6</v>
      </c>
      <c r="W5" s="414">
        <f>Calc!$F$150</f>
        <v>0.24</v>
      </c>
      <c r="X5" s="414">
        <f>Calc!$F$151</f>
        <v>0.16</v>
      </c>
      <c r="Y5" s="414">
        <f>Calc!$F$152</f>
        <v>0.5</v>
      </c>
      <c r="Z5" s="415">
        <f>Calc!$F$153</f>
        <v>0.48</v>
      </c>
      <c r="AA5" s="415">
        <f>Calc!$F$154</f>
        <v>0.48</v>
      </c>
      <c r="AB5" s="415">
        <f>Calc!$F$155</f>
        <v>0.5</v>
      </c>
      <c r="AC5" s="415">
        <f>Calc!$F$156</f>
        <v>0.4</v>
      </c>
      <c r="AD5" s="415">
        <f>Calc!$F$157</f>
        <v>0.24</v>
      </c>
      <c r="AE5" s="415" t="str">
        <f>Calc!$O$120</f>
        <v>High</v>
      </c>
      <c r="AF5" s="415" t="str">
        <f>Calc!$O$125</f>
        <v>High</v>
      </c>
      <c r="AG5" s="415" t="str">
        <f>Calc!$O$130</f>
        <v>Very High</v>
      </c>
      <c r="AH5" s="415" t="str">
        <f>Calc!$O$135</f>
        <v>Very High</v>
      </c>
      <c r="AI5" s="415" t="str">
        <f>Calc!$O$140</f>
        <v>Moderate</v>
      </c>
      <c r="AJ5" s="416">
        <f>Calc!$G$148</f>
        <v>2.0999999999999996</v>
      </c>
      <c r="AK5" s="416">
        <f>Calc!$G$153</f>
        <v>2.0999999999999996</v>
      </c>
      <c r="AL5" s="416">
        <f>Calc!$G$158</f>
        <v>4.1999999999999993</v>
      </c>
      <c r="AM5" s="416" t="str">
        <f>Calc!$F$159</f>
        <v>Very High</v>
      </c>
      <c r="AN5" s="403" t="str">
        <f>Calc!$G$159</f>
        <v>VERY FEASIBLE</v>
      </c>
      <c r="AO5" s="410" t="str">
        <f>Calc!$G$81</f>
        <v>INVESTMENT IS FEASIBLE, IRR &gt; 9.35%</v>
      </c>
      <c r="AP5" s="410" t="str">
        <f>Calc!$G$82</f>
        <v>Proyek investasi tersebut Layak secara Aspek Finansial</v>
      </c>
      <c r="AQ5" s="424" t="str">
        <f t="shared" ref="AQ5:AQ16" si="0">IF(AN5="Very Feasible", "The investment project is highly feasible in terms of financial and safety criteria.",
IF(AN5="Feasible", "The investment project is feasible in terms of financial and safety criteria.",
IF(AN5="Considered", "The investment project is considered in terms of financial and safety criteria.",
IF(AN5="Not Feasible", "The investment project is not feasible in terms of financial and safety criteria.",
"Feasibility status is undefined; please check the input."))))</f>
        <v>The investment project is highly feasible in terms of financial and safety criteria.</v>
      </c>
      <c r="AR5" s="384"/>
      <c r="AS5" s="384"/>
      <c r="AT5" s="384"/>
      <c r="AU5" s="384"/>
      <c r="AV5" s="384"/>
      <c r="AW5" s="384"/>
    </row>
    <row r="6" spans="1:49">
      <c r="A6" s="418">
        <v>4</v>
      </c>
      <c r="B6" s="418">
        <f>Calc!G39</f>
        <v>2028</v>
      </c>
      <c r="C6" s="403" t="str">
        <f>Calc!$B$1</f>
        <v>INVESTMENT | STUDI KASUS XX</v>
      </c>
      <c r="D6" s="419">
        <f>Calc!$E$4</f>
        <v>40</v>
      </c>
      <c r="E6" s="420">
        <f>Calc!$M$11</f>
        <v>9.35E-2</v>
      </c>
      <c r="F6" s="421">
        <f>Calc!$E$6</f>
        <v>15</v>
      </c>
      <c r="G6" s="419">
        <f>Calc!$E$7</f>
        <v>4</v>
      </c>
      <c r="H6" s="422">
        <f>Calc!$I$7</f>
        <v>0.25</v>
      </c>
      <c r="I6" s="419">
        <f>Calc!$G$62</f>
        <v>19.371067475373966</v>
      </c>
      <c r="J6" s="419">
        <f>Calc!$G$57</f>
        <v>12.797192984654336</v>
      </c>
      <c r="K6" s="420">
        <f>Datasumsi!$F$22</f>
        <v>3.5000000000000003E-2</v>
      </c>
      <c r="L6" s="419">
        <f>Datasumsi!$F$25</f>
        <v>9841467.9299999997</v>
      </c>
      <c r="M6" s="407">
        <f>Calc!$E$82</f>
        <v>0.20454158804256217</v>
      </c>
      <c r="N6" s="419">
        <f>Calc!G75</f>
        <v>6.1836172258373443</v>
      </c>
      <c r="O6" s="419">
        <f>Calc!G76</f>
        <v>-16.447619416959075</v>
      </c>
      <c r="P6" s="409">
        <f>Calc!$E$79</f>
        <v>15.104780660812537</v>
      </c>
      <c r="Q6" s="410">
        <f>Calc!$E$80</f>
        <v>0.14644579611693387</v>
      </c>
      <c r="R6" s="423">
        <f>Calc!$E$81</f>
        <v>7</v>
      </c>
      <c r="S6" s="415">
        <f>Calc!$E$83</f>
        <v>1.3776195165203133</v>
      </c>
      <c r="T6" s="420">
        <f>Calc!$E$84</f>
        <v>1.5136965972618091</v>
      </c>
      <c r="U6" s="414">
        <f>Calc!$F$148</f>
        <v>0.6</v>
      </c>
      <c r="V6" s="414">
        <f>Calc!$F$149</f>
        <v>0.6</v>
      </c>
      <c r="W6" s="414">
        <f>Calc!$F$150</f>
        <v>0.24</v>
      </c>
      <c r="X6" s="414">
        <f>Calc!$F$151</f>
        <v>0.16</v>
      </c>
      <c r="Y6" s="414">
        <f>Calc!$F$152</f>
        <v>0.5</v>
      </c>
      <c r="Z6" s="415">
        <f>Calc!$F$153</f>
        <v>0.48</v>
      </c>
      <c r="AA6" s="415">
        <f>Calc!$F$154</f>
        <v>0.48</v>
      </c>
      <c r="AB6" s="415">
        <f>Calc!$F$155</f>
        <v>0.5</v>
      </c>
      <c r="AC6" s="415">
        <f>Calc!$F$156</f>
        <v>0.4</v>
      </c>
      <c r="AD6" s="415">
        <f>Calc!$F$157</f>
        <v>0.24</v>
      </c>
      <c r="AE6" s="415" t="str">
        <f>Calc!$O$120</f>
        <v>High</v>
      </c>
      <c r="AF6" s="415" t="str">
        <f>Calc!$O$125</f>
        <v>High</v>
      </c>
      <c r="AG6" s="415" t="str">
        <f>Calc!$O$130</f>
        <v>Very High</v>
      </c>
      <c r="AH6" s="415" t="str">
        <f>Calc!$O$135</f>
        <v>Very High</v>
      </c>
      <c r="AI6" s="415" t="str">
        <f>Calc!$O$140</f>
        <v>Moderate</v>
      </c>
      <c r="AJ6" s="416">
        <f>Calc!$G$148</f>
        <v>2.0999999999999996</v>
      </c>
      <c r="AK6" s="416">
        <f>Calc!$G$153</f>
        <v>2.0999999999999996</v>
      </c>
      <c r="AL6" s="416">
        <f>Calc!$G$158</f>
        <v>4.1999999999999993</v>
      </c>
      <c r="AM6" s="416" t="str">
        <f>Calc!$F$159</f>
        <v>Very High</v>
      </c>
      <c r="AN6" s="403" t="str">
        <f>Calc!$G$159</f>
        <v>VERY FEASIBLE</v>
      </c>
      <c r="AO6" s="410" t="str">
        <f>Calc!$G$81</f>
        <v>INVESTMENT IS FEASIBLE, IRR &gt; 9.35%</v>
      </c>
      <c r="AP6" s="410" t="str">
        <f>Calc!$G$82</f>
        <v>Proyek investasi tersebut Layak secara Aspek Finansial</v>
      </c>
      <c r="AQ6" s="424" t="str">
        <f t="shared" si="0"/>
        <v>The investment project is highly feasible in terms of financial and safety criteria.</v>
      </c>
      <c r="AR6" s="384"/>
      <c r="AS6" s="384"/>
      <c r="AT6" s="384"/>
      <c r="AU6" s="384"/>
      <c r="AV6" s="384"/>
      <c r="AW6" s="384"/>
    </row>
    <row r="7" spans="1:49">
      <c r="A7" s="418">
        <v>5</v>
      </c>
      <c r="B7" s="418">
        <f>Calc!H39</f>
        <v>2029</v>
      </c>
      <c r="C7" s="403" t="str">
        <f>Calc!$B$1</f>
        <v>INVESTMENT | STUDI KASUS XX</v>
      </c>
      <c r="D7" s="419">
        <f>Calc!$E$4</f>
        <v>40</v>
      </c>
      <c r="E7" s="420">
        <f>Calc!$M$11</f>
        <v>9.35E-2</v>
      </c>
      <c r="F7" s="421">
        <f>Calc!$E$6</f>
        <v>15</v>
      </c>
      <c r="G7" s="419">
        <f>Calc!$E$7</f>
        <v>4</v>
      </c>
      <c r="H7" s="422">
        <f>Calc!$I$7</f>
        <v>0.25</v>
      </c>
      <c r="I7" s="419">
        <f>Calc!$H$62</f>
        <v>20.049054837012051</v>
      </c>
      <c r="J7" s="419">
        <f>Calc!$H$57</f>
        <v>13.245094739117235</v>
      </c>
      <c r="K7" s="420">
        <f>Datasumsi!$F$22</f>
        <v>3.5000000000000003E-2</v>
      </c>
      <c r="L7" s="419">
        <f>Datasumsi!$F$25</f>
        <v>9841467.9299999997</v>
      </c>
      <c r="M7" s="407">
        <f>Calc!$E$82</f>
        <v>0.20454158804256217</v>
      </c>
      <c r="N7" s="419">
        <f>Calc!H75</f>
        <v>6.3921898287416496</v>
      </c>
      <c r="O7" s="419">
        <f>Calc!H76</f>
        <v>-10.055429588217425</v>
      </c>
      <c r="P7" s="409">
        <f>Calc!$E$79</f>
        <v>15.104780660812537</v>
      </c>
      <c r="Q7" s="410">
        <f>Calc!$E$80</f>
        <v>0.14644579611693387</v>
      </c>
      <c r="R7" s="423">
        <f>Calc!$E$81</f>
        <v>7</v>
      </c>
      <c r="S7" s="415">
        <f>Calc!$E$83</f>
        <v>1.3776195165203133</v>
      </c>
      <c r="T7" s="420">
        <f>Calc!$E$84</f>
        <v>1.5136965972618091</v>
      </c>
      <c r="U7" s="414">
        <f>Calc!$F$148</f>
        <v>0.6</v>
      </c>
      <c r="V7" s="414">
        <f>Calc!$F$149</f>
        <v>0.6</v>
      </c>
      <c r="W7" s="414">
        <f>Calc!$F$150</f>
        <v>0.24</v>
      </c>
      <c r="X7" s="414">
        <f>Calc!$F$151</f>
        <v>0.16</v>
      </c>
      <c r="Y7" s="414">
        <f>Calc!$F$152</f>
        <v>0.5</v>
      </c>
      <c r="Z7" s="415">
        <f>Calc!$F$153</f>
        <v>0.48</v>
      </c>
      <c r="AA7" s="415">
        <f>Calc!$F$154</f>
        <v>0.48</v>
      </c>
      <c r="AB7" s="415">
        <f>Calc!$F$155</f>
        <v>0.5</v>
      </c>
      <c r="AC7" s="415">
        <f>Calc!$F$156</f>
        <v>0.4</v>
      </c>
      <c r="AD7" s="415">
        <f>Calc!$F$157</f>
        <v>0.24</v>
      </c>
      <c r="AE7" s="415" t="str">
        <f>Calc!$O$120</f>
        <v>High</v>
      </c>
      <c r="AF7" s="415" t="str">
        <f>Calc!$O$125</f>
        <v>High</v>
      </c>
      <c r="AG7" s="415" t="str">
        <f>Calc!$O$130</f>
        <v>Very High</v>
      </c>
      <c r="AH7" s="415" t="str">
        <f>Calc!$O$135</f>
        <v>Very High</v>
      </c>
      <c r="AI7" s="415" t="str">
        <f>Calc!$O$140</f>
        <v>Moderate</v>
      </c>
      <c r="AJ7" s="416">
        <f>Calc!$G$148</f>
        <v>2.0999999999999996</v>
      </c>
      <c r="AK7" s="416">
        <f>Calc!$G$153</f>
        <v>2.0999999999999996</v>
      </c>
      <c r="AL7" s="416">
        <f>Calc!$G$158</f>
        <v>4.1999999999999993</v>
      </c>
      <c r="AM7" s="416" t="str">
        <f>Calc!$F$159</f>
        <v>Very High</v>
      </c>
      <c r="AN7" s="403" t="str">
        <f>Calc!$G$159</f>
        <v>VERY FEASIBLE</v>
      </c>
      <c r="AO7" s="410" t="str">
        <f>Calc!$G$81</f>
        <v>INVESTMENT IS FEASIBLE, IRR &gt; 9.35%</v>
      </c>
      <c r="AP7" s="410" t="str">
        <f>Calc!$G$82</f>
        <v>Proyek investasi tersebut Layak secara Aspek Finansial</v>
      </c>
      <c r="AQ7" s="424" t="str">
        <f t="shared" si="0"/>
        <v>The investment project is highly feasible in terms of financial and safety criteria.</v>
      </c>
      <c r="AR7" s="384"/>
      <c r="AS7" s="384"/>
      <c r="AT7" s="384"/>
      <c r="AU7" s="384"/>
      <c r="AV7" s="384"/>
      <c r="AW7" s="384"/>
    </row>
    <row r="8" spans="1:49">
      <c r="A8" s="418">
        <v>6</v>
      </c>
      <c r="B8" s="418">
        <f>Calc!I39</f>
        <v>2030</v>
      </c>
      <c r="C8" s="403" t="str">
        <f>Calc!$B$1</f>
        <v>INVESTMENT | STUDI KASUS XX</v>
      </c>
      <c r="D8" s="419">
        <f>Calc!$E$4</f>
        <v>40</v>
      </c>
      <c r="E8" s="420">
        <f>Calc!$M$11</f>
        <v>9.35E-2</v>
      </c>
      <c r="F8" s="421">
        <f>Calc!$E$6</f>
        <v>15</v>
      </c>
      <c r="G8" s="419">
        <f>Calc!$E$7</f>
        <v>4</v>
      </c>
      <c r="H8" s="422">
        <f>Calc!$I$7</f>
        <v>0.25</v>
      </c>
      <c r="I8" s="419">
        <f>Calc!$I$62</f>
        <v>20.750771756307472</v>
      </c>
      <c r="J8" s="419">
        <f>Calc!$I$57</f>
        <v>13.708673054986336</v>
      </c>
      <c r="K8" s="420">
        <f>Datasumsi!$F$22</f>
        <v>3.5000000000000003E-2</v>
      </c>
      <c r="L8" s="419">
        <f>Datasumsi!$F$25</f>
        <v>9841467.9299999997</v>
      </c>
      <c r="M8" s="407">
        <f>Calc!$E$82</f>
        <v>0.20454158804256217</v>
      </c>
      <c r="N8" s="419">
        <f>Calc!I75</f>
        <v>6.6080624727476085</v>
      </c>
      <c r="O8" s="419">
        <f>Calc!I76</f>
        <v>-3.4473671154698167</v>
      </c>
      <c r="P8" s="409">
        <f>Calc!$E$79</f>
        <v>15.104780660812537</v>
      </c>
      <c r="Q8" s="410">
        <f>Calc!$E$80</f>
        <v>0.14644579611693387</v>
      </c>
      <c r="R8" s="423">
        <f>Calc!$E$81</f>
        <v>7</v>
      </c>
      <c r="S8" s="415">
        <f>Calc!$E$83</f>
        <v>1.3776195165203133</v>
      </c>
      <c r="T8" s="420">
        <f>Calc!$E$84</f>
        <v>1.5136965972618091</v>
      </c>
      <c r="U8" s="414">
        <f>Calc!$F$148</f>
        <v>0.6</v>
      </c>
      <c r="V8" s="414">
        <f>Calc!$F$149</f>
        <v>0.6</v>
      </c>
      <c r="W8" s="414">
        <f>Calc!$F$150</f>
        <v>0.24</v>
      </c>
      <c r="X8" s="414">
        <f>Calc!$F$151</f>
        <v>0.16</v>
      </c>
      <c r="Y8" s="414">
        <f>Calc!$F$152</f>
        <v>0.5</v>
      </c>
      <c r="Z8" s="415">
        <f>Calc!$F$153</f>
        <v>0.48</v>
      </c>
      <c r="AA8" s="415">
        <f>Calc!$F$154</f>
        <v>0.48</v>
      </c>
      <c r="AB8" s="415">
        <f>Calc!$F$155</f>
        <v>0.5</v>
      </c>
      <c r="AC8" s="415">
        <f>Calc!$F$156</f>
        <v>0.4</v>
      </c>
      <c r="AD8" s="415">
        <f>Calc!$F$157</f>
        <v>0.24</v>
      </c>
      <c r="AE8" s="415" t="str">
        <f>Calc!$O$120</f>
        <v>High</v>
      </c>
      <c r="AF8" s="415" t="str">
        <f>Calc!$O$125</f>
        <v>High</v>
      </c>
      <c r="AG8" s="415" t="str">
        <f>Calc!$O$130</f>
        <v>Very High</v>
      </c>
      <c r="AH8" s="415" t="str">
        <f>Calc!$O$135</f>
        <v>Very High</v>
      </c>
      <c r="AI8" s="415" t="str">
        <f>Calc!$O$140</f>
        <v>Moderate</v>
      </c>
      <c r="AJ8" s="416">
        <f>Calc!$G$148</f>
        <v>2.0999999999999996</v>
      </c>
      <c r="AK8" s="416">
        <f>Calc!$G$153</f>
        <v>2.0999999999999996</v>
      </c>
      <c r="AL8" s="416">
        <f>Calc!$G$158</f>
        <v>4.1999999999999993</v>
      </c>
      <c r="AM8" s="416" t="str">
        <f>Calc!$F$159</f>
        <v>Very High</v>
      </c>
      <c r="AN8" s="403" t="str">
        <f>Calc!$G$159</f>
        <v>VERY FEASIBLE</v>
      </c>
      <c r="AO8" s="410" t="str">
        <f>Calc!$G$81</f>
        <v>INVESTMENT IS FEASIBLE, IRR &gt; 9.35%</v>
      </c>
      <c r="AP8" s="410" t="str">
        <f>Calc!$G$82</f>
        <v>Proyek investasi tersebut Layak secara Aspek Finansial</v>
      </c>
      <c r="AQ8" s="424" t="str">
        <f t="shared" si="0"/>
        <v>The investment project is highly feasible in terms of financial and safety criteria.</v>
      </c>
      <c r="AR8" s="384"/>
      <c r="AS8" s="384"/>
      <c r="AT8" s="384"/>
      <c r="AU8" s="384"/>
      <c r="AV8" s="384"/>
      <c r="AW8" s="384"/>
    </row>
    <row r="9" spans="1:49">
      <c r="A9" s="418">
        <v>7</v>
      </c>
      <c r="B9" s="418">
        <f>Calc!J39</f>
        <v>2031</v>
      </c>
      <c r="C9" s="403" t="str">
        <f>Calc!$B$1</f>
        <v>INVESTMENT | STUDI KASUS XX</v>
      </c>
      <c r="D9" s="419">
        <f>Calc!$E$4</f>
        <v>40</v>
      </c>
      <c r="E9" s="420">
        <f>Calc!$M$11</f>
        <v>9.35E-2</v>
      </c>
      <c r="F9" s="421">
        <f>Calc!$E$6</f>
        <v>15</v>
      </c>
      <c r="G9" s="419">
        <f>Calc!$E$7</f>
        <v>4</v>
      </c>
      <c r="H9" s="422">
        <f>Calc!$I$7</f>
        <v>0.25</v>
      </c>
      <c r="I9" s="419">
        <f>Calc!$J$62</f>
        <v>21.477048767778236</v>
      </c>
      <c r="J9" s="419">
        <f>Calc!$J$57</f>
        <v>14.188476611910858</v>
      </c>
      <c r="K9" s="420">
        <f>Datasumsi!$F$22</f>
        <v>3.5000000000000003E-2</v>
      </c>
      <c r="L9" s="419">
        <f>Datasumsi!$F$25</f>
        <v>9841467.9299999997</v>
      </c>
      <c r="M9" s="407">
        <f>Calc!$E$82</f>
        <v>0.20454158804256217</v>
      </c>
      <c r="N9" s="419">
        <f>Calc!J75</f>
        <v>6.8314906592937774</v>
      </c>
      <c r="O9" s="419">
        <f>Calc!J76</f>
        <v>3.3841235438239607</v>
      </c>
      <c r="P9" s="409">
        <f>Calc!$E$79</f>
        <v>15.104780660812537</v>
      </c>
      <c r="Q9" s="410">
        <f>Calc!$E$80</f>
        <v>0.14644579611693387</v>
      </c>
      <c r="R9" s="423">
        <f>Calc!$E$81</f>
        <v>7</v>
      </c>
      <c r="S9" s="415">
        <f>Calc!$E$83</f>
        <v>1.3776195165203133</v>
      </c>
      <c r="T9" s="420">
        <f>Calc!$E$84</f>
        <v>1.5136965972618091</v>
      </c>
      <c r="U9" s="414">
        <f>Calc!$F$148</f>
        <v>0.6</v>
      </c>
      <c r="V9" s="414">
        <f>Calc!$F$149</f>
        <v>0.6</v>
      </c>
      <c r="W9" s="414">
        <f>Calc!$F$150</f>
        <v>0.24</v>
      </c>
      <c r="X9" s="414">
        <f>Calc!$F$151</f>
        <v>0.16</v>
      </c>
      <c r="Y9" s="414">
        <f>Calc!$F$152</f>
        <v>0.5</v>
      </c>
      <c r="Z9" s="415">
        <f>Calc!$F$153</f>
        <v>0.48</v>
      </c>
      <c r="AA9" s="415">
        <f>Calc!$F$154</f>
        <v>0.48</v>
      </c>
      <c r="AB9" s="415">
        <f>Calc!$F$155</f>
        <v>0.5</v>
      </c>
      <c r="AC9" s="415">
        <f>Calc!$F$156</f>
        <v>0.4</v>
      </c>
      <c r="AD9" s="415">
        <f>Calc!$F$157</f>
        <v>0.24</v>
      </c>
      <c r="AE9" s="415" t="str">
        <f>Calc!$O$120</f>
        <v>High</v>
      </c>
      <c r="AF9" s="415" t="str">
        <f>Calc!$O$125</f>
        <v>High</v>
      </c>
      <c r="AG9" s="415" t="str">
        <f>Calc!$O$130</f>
        <v>Very High</v>
      </c>
      <c r="AH9" s="415" t="str">
        <f>Calc!$O$135</f>
        <v>Very High</v>
      </c>
      <c r="AI9" s="415" t="str">
        <f>Calc!$O$140</f>
        <v>Moderate</v>
      </c>
      <c r="AJ9" s="416">
        <f>Calc!$G$148</f>
        <v>2.0999999999999996</v>
      </c>
      <c r="AK9" s="416">
        <f>Calc!$G$153</f>
        <v>2.0999999999999996</v>
      </c>
      <c r="AL9" s="416">
        <f>Calc!$G$158</f>
        <v>4.1999999999999993</v>
      </c>
      <c r="AM9" s="416" t="str">
        <f>Calc!$F$159</f>
        <v>Very High</v>
      </c>
      <c r="AN9" s="403" t="str">
        <f>Calc!$G$159</f>
        <v>VERY FEASIBLE</v>
      </c>
      <c r="AO9" s="410" t="str">
        <f>Calc!$G$81</f>
        <v>INVESTMENT IS FEASIBLE, IRR &gt; 9.35%</v>
      </c>
      <c r="AP9" s="410" t="str">
        <f>Calc!$G$82</f>
        <v>Proyek investasi tersebut Layak secara Aspek Finansial</v>
      </c>
      <c r="AQ9" s="424" t="str">
        <f t="shared" si="0"/>
        <v>The investment project is highly feasible in terms of financial and safety criteria.</v>
      </c>
      <c r="AR9" s="384"/>
      <c r="AS9" s="384"/>
      <c r="AT9" s="384"/>
      <c r="AU9" s="384"/>
      <c r="AV9" s="384"/>
      <c r="AW9" s="384"/>
    </row>
    <row r="10" spans="1:49">
      <c r="A10" s="418">
        <v>8</v>
      </c>
      <c r="B10" s="418">
        <f>Calc!K39</f>
        <v>2032</v>
      </c>
      <c r="C10" s="403" t="str">
        <f>Calc!$B$1</f>
        <v>INVESTMENT | STUDI KASUS XX</v>
      </c>
      <c r="D10" s="419">
        <f>Calc!$E$4</f>
        <v>40</v>
      </c>
      <c r="E10" s="420">
        <f>Calc!$M$11</f>
        <v>9.35E-2</v>
      </c>
      <c r="F10" s="421">
        <f>Calc!$E$6</f>
        <v>15</v>
      </c>
      <c r="G10" s="419">
        <f>Calc!$E$7</f>
        <v>4</v>
      </c>
      <c r="H10" s="422">
        <f>Calc!$I$7</f>
        <v>0.25</v>
      </c>
      <c r="I10" s="419">
        <f>Calc!$K$62</f>
        <v>22.22874547465047</v>
      </c>
      <c r="J10" s="419">
        <f>Calc!$K$57</f>
        <v>14.685073293327738</v>
      </c>
      <c r="K10" s="420">
        <f>Datasumsi!$F$22</f>
        <v>3.5000000000000003E-2</v>
      </c>
      <c r="L10" s="419">
        <f>Datasumsi!$F$25</f>
        <v>9841467.9299999997</v>
      </c>
      <c r="M10" s="407">
        <f>Calc!$E$82</f>
        <v>0.20454158804256217</v>
      </c>
      <c r="N10" s="419">
        <f>Calc!K75</f>
        <v>7.0627388323690568</v>
      </c>
      <c r="O10" s="419">
        <f>Calc!K76</f>
        <v>10.446862376193017</v>
      </c>
      <c r="P10" s="409">
        <f>Calc!$E$79</f>
        <v>15.104780660812537</v>
      </c>
      <c r="Q10" s="410">
        <f>Calc!$E$80</f>
        <v>0.14644579611693387</v>
      </c>
      <c r="R10" s="423">
        <f>Calc!$E$81</f>
        <v>7</v>
      </c>
      <c r="S10" s="415">
        <f>Calc!$E$83</f>
        <v>1.3776195165203133</v>
      </c>
      <c r="T10" s="420">
        <f>Calc!$E$84</f>
        <v>1.5136965972618091</v>
      </c>
      <c r="U10" s="414">
        <f>Calc!$F$148</f>
        <v>0.6</v>
      </c>
      <c r="V10" s="414">
        <f>Calc!$F$149</f>
        <v>0.6</v>
      </c>
      <c r="W10" s="414">
        <f>Calc!$F$150</f>
        <v>0.24</v>
      </c>
      <c r="X10" s="414">
        <f>Calc!$F$151</f>
        <v>0.16</v>
      </c>
      <c r="Y10" s="414">
        <f>Calc!$F$152</f>
        <v>0.5</v>
      </c>
      <c r="Z10" s="415">
        <f>Calc!$F$153</f>
        <v>0.48</v>
      </c>
      <c r="AA10" s="415">
        <f>Calc!$F$154</f>
        <v>0.48</v>
      </c>
      <c r="AB10" s="415">
        <f>Calc!$F$155</f>
        <v>0.5</v>
      </c>
      <c r="AC10" s="415">
        <f>Calc!$F$156</f>
        <v>0.4</v>
      </c>
      <c r="AD10" s="415">
        <f>Calc!$F$157</f>
        <v>0.24</v>
      </c>
      <c r="AE10" s="415" t="str">
        <f>Calc!$O$120</f>
        <v>High</v>
      </c>
      <c r="AF10" s="415" t="str">
        <f>Calc!$O$125</f>
        <v>High</v>
      </c>
      <c r="AG10" s="415" t="str">
        <f>Calc!$O$130</f>
        <v>Very High</v>
      </c>
      <c r="AH10" s="415" t="str">
        <f>Calc!$O$135</f>
        <v>Very High</v>
      </c>
      <c r="AI10" s="415" t="str">
        <f>Calc!$O$140</f>
        <v>Moderate</v>
      </c>
      <c r="AJ10" s="416">
        <f>Calc!$G$148</f>
        <v>2.0999999999999996</v>
      </c>
      <c r="AK10" s="416">
        <f>Calc!$G$153</f>
        <v>2.0999999999999996</v>
      </c>
      <c r="AL10" s="416">
        <f>Calc!$G$158</f>
        <v>4.1999999999999993</v>
      </c>
      <c r="AM10" s="416" t="str">
        <f>Calc!$F$159</f>
        <v>Very High</v>
      </c>
      <c r="AN10" s="403" t="str">
        <f>Calc!$G$159</f>
        <v>VERY FEASIBLE</v>
      </c>
      <c r="AO10" s="410" t="str">
        <f>Calc!$G$81</f>
        <v>INVESTMENT IS FEASIBLE, IRR &gt; 9.35%</v>
      </c>
      <c r="AP10" s="410" t="str">
        <f>Calc!$G$82</f>
        <v>Proyek investasi tersebut Layak secara Aspek Finansial</v>
      </c>
      <c r="AQ10" s="424" t="str">
        <f t="shared" si="0"/>
        <v>The investment project is highly feasible in terms of financial and safety criteria.</v>
      </c>
      <c r="AR10" s="384"/>
      <c r="AS10" s="384"/>
      <c r="AT10" s="384"/>
      <c r="AU10" s="384"/>
      <c r="AV10" s="384"/>
      <c r="AW10" s="384"/>
    </row>
    <row r="11" spans="1:49">
      <c r="A11" s="418">
        <v>9</v>
      </c>
      <c r="B11" s="418">
        <f>Calc!L39</f>
        <v>2033</v>
      </c>
      <c r="C11" s="403" t="str">
        <f>Calc!$B$1</f>
        <v>INVESTMENT | STUDI KASUS XX</v>
      </c>
      <c r="D11" s="419">
        <f>Calc!$E$4</f>
        <v>40</v>
      </c>
      <c r="E11" s="420">
        <f>Calc!$M$11</f>
        <v>9.35E-2</v>
      </c>
      <c r="F11" s="421">
        <f>Calc!$E$6</f>
        <v>15</v>
      </c>
      <c r="G11" s="419">
        <f>Calc!$E$7</f>
        <v>4</v>
      </c>
      <c r="H11" s="422">
        <f>Calc!$I$7</f>
        <v>0.25</v>
      </c>
      <c r="I11" s="419">
        <f>Calc!$L$62</f>
        <v>23.006751566263233</v>
      </c>
      <c r="J11" s="419">
        <f>Calc!$L$57</f>
        <v>15.199050858594205</v>
      </c>
      <c r="K11" s="420">
        <f>Datasumsi!$F$22</f>
        <v>3.5000000000000003E-2</v>
      </c>
      <c r="L11" s="419">
        <f>Datasumsi!$F$25</f>
        <v>9841467.9299999997</v>
      </c>
      <c r="M11" s="407">
        <f>Calc!$E$82</f>
        <v>0.20454158804256217</v>
      </c>
      <c r="N11" s="419">
        <f>Calc!L75</f>
        <v>7.302080691501974</v>
      </c>
      <c r="O11" s="419">
        <f>Calc!L76</f>
        <v>17.748943067694992</v>
      </c>
      <c r="P11" s="409">
        <f>Calc!$E$79</f>
        <v>15.104780660812537</v>
      </c>
      <c r="Q11" s="410">
        <f>Calc!$E$80</f>
        <v>0.14644579611693387</v>
      </c>
      <c r="R11" s="423">
        <f>Calc!$E$81</f>
        <v>7</v>
      </c>
      <c r="S11" s="415">
        <f>Calc!$E$83</f>
        <v>1.3776195165203133</v>
      </c>
      <c r="T11" s="420">
        <f>Calc!$E$84</f>
        <v>1.5136965972618091</v>
      </c>
      <c r="U11" s="414">
        <f>Calc!$F$148</f>
        <v>0.6</v>
      </c>
      <c r="V11" s="414">
        <f>Calc!$F$149</f>
        <v>0.6</v>
      </c>
      <c r="W11" s="414">
        <f>Calc!$F$150</f>
        <v>0.24</v>
      </c>
      <c r="X11" s="414">
        <f>Calc!$F$151</f>
        <v>0.16</v>
      </c>
      <c r="Y11" s="414">
        <f>Calc!$F$152</f>
        <v>0.5</v>
      </c>
      <c r="Z11" s="415">
        <f>Calc!$F$153</f>
        <v>0.48</v>
      </c>
      <c r="AA11" s="415">
        <f>Calc!$F$154</f>
        <v>0.48</v>
      </c>
      <c r="AB11" s="415">
        <f>Calc!$F$155</f>
        <v>0.5</v>
      </c>
      <c r="AC11" s="415">
        <f>Calc!$F$156</f>
        <v>0.4</v>
      </c>
      <c r="AD11" s="415">
        <f>Calc!$F$157</f>
        <v>0.24</v>
      </c>
      <c r="AE11" s="415" t="str">
        <f>Calc!$O$120</f>
        <v>High</v>
      </c>
      <c r="AF11" s="415" t="str">
        <f>Calc!$O$125</f>
        <v>High</v>
      </c>
      <c r="AG11" s="415" t="str">
        <f>Calc!$O$130</f>
        <v>Very High</v>
      </c>
      <c r="AH11" s="415" t="str">
        <f>Calc!$O$135</f>
        <v>Very High</v>
      </c>
      <c r="AI11" s="415" t="str">
        <f>Calc!$O$140</f>
        <v>Moderate</v>
      </c>
      <c r="AJ11" s="416">
        <f>Calc!$G$148</f>
        <v>2.0999999999999996</v>
      </c>
      <c r="AK11" s="416">
        <f>Calc!$G$153</f>
        <v>2.0999999999999996</v>
      </c>
      <c r="AL11" s="416">
        <f>Calc!$G$158</f>
        <v>4.1999999999999993</v>
      </c>
      <c r="AM11" s="416" t="str">
        <f>Calc!$F$159</f>
        <v>Very High</v>
      </c>
      <c r="AN11" s="403" t="str">
        <f>Calc!$G$159</f>
        <v>VERY FEASIBLE</v>
      </c>
      <c r="AO11" s="410" t="str">
        <f>Calc!$G$81</f>
        <v>INVESTMENT IS FEASIBLE, IRR &gt; 9.35%</v>
      </c>
      <c r="AP11" s="410" t="str">
        <f>Calc!$G$82</f>
        <v>Proyek investasi tersebut Layak secara Aspek Finansial</v>
      </c>
      <c r="AQ11" s="424" t="str">
        <f t="shared" si="0"/>
        <v>The investment project is highly feasible in terms of financial and safety criteria.</v>
      </c>
      <c r="AR11" s="384"/>
      <c r="AS11" s="384"/>
      <c r="AT11" s="384"/>
      <c r="AU11" s="384"/>
      <c r="AV11" s="384"/>
      <c r="AW11" s="384"/>
    </row>
    <row r="12" spans="1:49">
      <c r="A12" s="418">
        <v>10</v>
      </c>
      <c r="B12" s="418">
        <f>Calc!M39</f>
        <v>2034</v>
      </c>
      <c r="C12" s="403" t="str">
        <f>Calc!$B$1</f>
        <v>INVESTMENT | STUDI KASUS XX</v>
      </c>
      <c r="D12" s="419">
        <f>Calc!$E$4</f>
        <v>40</v>
      </c>
      <c r="E12" s="420">
        <f>Calc!$M$11</f>
        <v>9.35E-2</v>
      </c>
      <c r="F12" s="421">
        <f>Calc!$E$6</f>
        <v>15</v>
      </c>
      <c r="G12" s="419">
        <f>Calc!$E$7</f>
        <v>4</v>
      </c>
      <c r="H12" s="422">
        <f>Calc!$I$7</f>
        <v>0.25</v>
      </c>
      <c r="I12" s="419">
        <f>Calc!$M$62</f>
        <v>23.811987871082447</v>
      </c>
      <c r="J12" s="419">
        <f>Calc!$M$57</f>
        <v>15.731017638645003</v>
      </c>
      <c r="K12" s="420">
        <f>Datasumsi!$F$22</f>
        <v>3.5000000000000003E-2</v>
      </c>
      <c r="L12" s="419">
        <f>Datasumsi!$F$25</f>
        <v>9841467.9299999997</v>
      </c>
      <c r="M12" s="407">
        <f>Calc!$E$82</f>
        <v>0.20454158804256217</v>
      </c>
      <c r="N12" s="419">
        <f>Calc!$M$75</f>
        <v>7.5497995157045423</v>
      </c>
      <c r="O12" s="419">
        <f>Calc!$M$76</f>
        <v>25.298742583399534</v>
      </c>
      <c r="P12" s="409">
        <f>Calc!$E$79</f>
        <v>15.104780660812537</v>
      </c>
      <c r="Q12" s="410">
        <f>Calc!$E$80</f>
        <v>0.14644579611693387</v>
      </c>
      <c r="R12" s="423">
        <f>Calc!$E$81</f>
        <v>7</v>
      </c>
      <c r="S12" s="415">
        <f>Calc!$E$83</f>
        <v>1.3776195165203133</v>
      </c>
      <c r="T12" s="420">
        <f>Calc!$E$84</f>
        <v>1.5136965972618091</v>
      </c>
      <c r="U12" s="414">
        <f>Calc!$F$148</f>
        <v>0.6</v>
      </c>
      <c r="V12" s="414">
        <f>Calc!$F$149</f>
        <v>0.6</v>
      </c>
      <c r="W12" s="414">
        <f>Calc!$F$150</f>
        <v>0.24</v>
      </c>
      <c r="X12" s="414">
        <f>Calc!$F$151</f>
        <v>0.16</v>
      </c>
      <c r="Y12" s="414">
        <f>Calc!$F$152</f>
        <v>0.5</v>
      </c>
      <c r="Z12" s="415">
        <f>Calc!$F$153</f>
        <v>0.48</v>
      </c>
      <c r="AA12" s="415">
        <f>Calc!$F$154</f>
        <v>0.48</v>
      </c>
      <c r="AB12" s="415">
        <f>Calc!$F$155</f>
        <v>0.5</v>
      </c>
      <c r="AC12" s="415">
        <f>Calc!$F$156</f>
        <v>0.4</v>
      </c>
      <c r="AD12" s="415">
        <f>Calc!$F$157</f>
        <v>0.24</v>
      </c>
      <c r="AE12" s="415" t="str">
        <f>Calc!$O$120</f>
        <v>High</v>
      </c>
      <c r="AF12" s="415" t="str">
        <f>Calc!$O$125</f>
        <v>High</v>
      </c>
      <c r="AG12" s="415" t="str">
        <f>Calc!$O$130</f>
        <v>Very High</v>
      </c>
      <c r="AH12" s="415" t="str">
        <f>Calc!$O$135</f>
        <v>Very High</v>
      </c>
      <c r="AI12" s="415" t="str">
        <f>Calc!$O$140</f>
        <v>Moderate</v>
      </c>
      <c r="AJ12" s="416">
        <f>Calc!$G$148</f>
        <v>2.0999999999999996</v>
      </c>
      <c r="AK12" s="416">
        <f>Calc!$G$153</f>
        <v>2.0999999999999996</v>
      </c>
      <c r="AL12" s="416">
        <f>Calc!$G$158</f>
        <v>4.1999999999999993</v>
      </c>
      <c r="AM12" s="416" t="str">
        <f>Calc!$F$159</f>
        <v>Very High</v>
      </c>
      <c r="AN12" s="403" t="str">
        <f>Calc!$G$159</f>
        <v>VERY FEASIBLE</v>
      </c>
      <c r="AO12" s="410" t="str">
        <f>Calc!$G$81</f>
        <v>INVESTMENT IS FEASIBLE, IRR &gt; 9.35%</v>
      </c>
      <c r="AP12" s="410" t="str">
        <f>Calc!$G$82</f>
        <v>Proyek investasi tersebut Layak secara Aspek Finansial</v>
      </c>
      <c r="AQ12" s="424" t="str">
        <f t="shared" si="0"/>
        <v>The investment project is highly feasible in terms of financial and safety criteria.</v>
      </c>
      <c r="AR12" s="384"/>
      <c r="AS12" s="384"/>
      <c r="AT12" s="384"/>
      <c r="AU12" s="384"/>
      <c r="AV12" s="384"/>
      <c r="AW12" s="384"/>
    </row>
    <row r="13" spans="1:49">
      <c r="A13" s="418">
        <v>11</v>
      </c>
      <c r="B13" s="418">
        <f>Calc!N39</f>
        <v>2035</v>
      </c>
      <c r="C13" s="403" t="str">
        <f>Calc!$B$1</f>
        <v>INVESTMENT | STUDI KASUS XX</v>
      </c>
      <c r="D13" s="419">
        <f>Calc!$E$4</f>
        <v>40</v>
      </c>
      <c r="E13" s="420">
        <f>Calc!$M$11</f>
        <v>9.35E-2</v>
      </c>
      <c r="F13" s="421">
        <f>Calc!$E$6</f>
        <v>15</v>
      </c>
      <c r="G13" s="419">
        <f>Calc!$E$7</f>
        <v>4</v>
      </c>
      <c r="H13" s="422">
        <f>Calc!$I$7</f>
        <v>0.25</v>
      </c>
      <c r="I13" s="419">
        <f>Calc!$N$62</f>
        <v>24.398953372104629</v>
      </c>
      <c r="J13" s="419">
        <f>Calc!$N$57</f>
        <v>16.1187872234376</v>
      </c>
      <c r="K13" s="420">
        <f>Datasumsi!$F$22</f>
        <v>3.5000000000000003E-2</v>
      </c>
      <c r="L13" s="419">
        <f>Datasumsi!$F$25</f>
        <v>9841467.9299999997</v>
      </c>
      <c r="M13" s="407">
        <f>Calc!$E$82</f>
        <v>0.20454158804256217</v>
      </c>
      <c r="N13" s="419">
        <f>Calc!N75</f>
        <v>7.7303706137666612</v>
      </c>
      <c r="O13" s="419">
        <f>Calc!N76</f>
        <v>33.029113197166197</v>
      </c>
      <c r="P13" s="409">
        <f>Calc!$E$79</f>
        <v>15.104780660812537</v>
      </c>
      <c r="Q13" s="410">
        <f>Calc!$E$80</f>
        <v>0.14644579611693387</v>
      </c>
      <c r="R13" s="423">
        <f>Calc!$E$81</f>
        <v>7</v>
      </c>
      <c r="S13" s="415">
        <f>Calc!$E$83</f>
        <v>1.3776195165203133</v>
      </c>
      <c r="T13" s="420">
        <f>Calc!$E$84</f>
        <v>1.5136965972618091</v>
      </c>
      <c r="U13" s="414">
        <f>Calc!$F$148</f>
        <v>0.6</v>
      </c>
      <c r="V13" s="414">
        <f>Calc!$F$149</f>
        <v>0.6</v>
      </c>
      <c r="W13" s="414">
        <f>Calc!$F$150</f>
        <v>0.24</v>
      </c>
      <c r="X13" s="414">
        <f>Calc!$F$151</f>
        <v>0.16</v>
      </c>
      <c r="Y13" s="414">
        <f>Calc!$F$152</f>
        <v>0.5</v>
      </c>
      <c r="Z13" s="415">
        <f>Calc!$F$153</f>
        <v>0.48</v>
      </c>
      <c r="AA13" s="415">
        <f>Calc!$F$154</f>
        <v>0.48</v>
      </c>
      <c r="AB13" s="415">
        <f>Calc!$F$155</f>
        <v>0.5</v>
      </c>
      <c r="AC13" s="415">
        <f>Calc!$F$156</f>
        <v>0.4</v>
      </c>
      <c r="AD13" s="415">
        <f>Calc!$F$157</f>
        <v>0.24</v>
      </c>
      <c r="AE13" s="415" t="str">
        <f>Calc!$O$120</f>
        <v>High</v>
      </c>
      <c r="AF13" s="415" t="str">
        <f>Calc!$O$125</f>
        <v>High</v>
      </c>
      <c r="AG13" s="415" t="str">
        <f>Calc!$O$130</f>
        <v>Very High</v>
      </c>
      <c r="AH13" s="415" t="str">
        <f>Calc!$O$135</f>
        <v>Very High</v>
      </c>
      <c r="AI13" s="415" t="str">
        <f>Calc!$O$140</f>
        <v>Moderate</v>
      </c>
      <c r="AJ13" s="416">
        <f>Calc!$G$148</f>
        <v>2.0999999999999996</v>
      </c>
      <c r="AK13" s="416">
        <f>Calc!$G$153</f>
        <v>2.0999999999999996</v>
      </c>
      <c r="AL13" s="416">
        <f>Calc!$G$158</f>
        <v>4.1999999999999993</v>
      </c>
      <c r="AM13" s="416" t="str">
        <f>Calc!$F$159</f>
        <v>Very High</v>
      </c>
      <c r="AN13" s="403" t="str">
        <f>Calc!$G$159</f>
        <v>VERY FEASIBLE</v>
      </c>
      <c r="AO13" s="410" t="str">
        <f>Calc!$G$81</f>
        <v>INVESTMENT IS FEASIBLE, IRR &gt; 9.35%</v>
      </c>
      <c r="AP13" s="410" t="str">
        <f>Calc!$G$82</f>
        <v>Proyek investasi tersebut Layak secara Aspek Finansial</v>
      </c>
      <c r="AQ13" s="424" t="str">
        <f t="shared" si="0"/>
        <v>The investment project is highly feasible in terms of financial and safety criteria.</v>
      </c>
      <c r="AR13" s="384"/>
      <c r="AS13" s="384"/>
      <c r="AT13" s="384"/>
      <c r="AU13" s="384"/>
      <c r="AV13" s="384"/>
      <c r="AW13" s="384"/>
    </row>
    <row r="14" spans="1:49">
      <c r="A14" s="418">
        <v>12</v>
      </c>
      <c r="B14" s="418">
        <f>Calc!O39</f>
        <v>2036</v>
      </c>
      <c r="C14" s="403" t="str">
        <f>Calc!$B$1</f>
        <v>INVESTMENT | STUDI KASUS XX</v>
      </c>
      <c r="D14" s="419">
        <f>Calc!$E$4</f>
        <v>40</v>
      </c>
      <c r="E14" s="420">
        <f>Calc!$M$11</f>
        <v>9.35E-2</v>
      </c>
      <c r="F14" s="421">
        <f>Calc!$E$6</f>
        <v>15</v>
      </c>
      <c r="G14" s="419">
        <f>Calc!$E$7</f>
        <v>4</v>
      </c>
      <c r="H14" s="422">
        <f>Calc!$I$7</f>
        <v>0.25</v>
      </c>
      <c r="I14" s="419">
        <f>Calc!$O$62</f>
        <v>25.000387572727004</v>
      </c>
      <c r="J14" s="419">
        <f>Calc!$O$57</f>
        <v>16.516115328495335</v>
      </c>
      <c r="K14" s="420">
        <f>Datasumsi!$F$22</f>
        <v>3.5000000000000003E-2</v>
      </c>
      <c r="L14" s="419">
        <f>Datasumsi!$F$25</f>
        <v>9841467.9299999997</v>
      </c>
      <c r="M14" s="407">
        <f>Calc!$E$82</f>
        <v>0.20454158804256217</v>
      </c>
      <c r="N14" s="419">
        <f>Calc!O75</f>
        <v>7.915392789396007</v>
      </c>
      <c r="O14" s="419">
        <f>Calc!O76</f>
        <v>40.944505986562206</v>
      </c>
      <c r="P14" s="409">
        <f>Calc!$E$79</f>
        <v>15.104780660812537</v>
      </c>
      <c r="Q14" s="410">
        <f>Calc!$E$80</f>
        <v>0.14644579611693387</v>
      </c>
      <c r="R14" s="423">
        <f>Calc!$E$81</f>
        <v>7</v>
      </c>
      <c r="S14" s="415">
        <f>Calc!$E$83</f>
        <v>1.3776195165203133</v>
      </c>
      <c r="T14" s="420">
        <f>Calc!$E$84</f>
        <v>1.5136965972618091</v>
      </c>
      <c r="U14" s="414">
        <f>Calc!$F$148</f>
        <v>0.6</v>
      </c>
      <c r="V14" s="414">
        <f>Calc!$F$149</f>
        <v>0.6</v>
      </c>
      <c r="W14" s="414">
        <f>Calc!$F$150</f>
        <v>0.24</v>
      </c>
      <c r="X14" s="414">
        <f>Calc!$F$151</f>
        <v>0.16</v>
      </c>
      <c r="Y14" s="414">
        <f>Calc!$F$152</f>
        <v>0.5</v>
      </c>
      <c r="Z14" s="415">
        <f>Calc!$F$153</f>
        <v>0.48</v>
      </c>
      <c r="AA14" s="415">
        <f>Calc!$F$154</f>
        <v>0.48</v>
      </c>
      <c r="AB14" s="415">
        <f>Calc!$F$155</f>
        <v>0.5</v>
      </c>
      <c r="AC14" s="415">
        <f>Calc!$F$156</f>
        <v>0.4</v>
      </c>
      <c r="AD14" s="415">
        <f>Calc!$F$157</f>
        <v>0.24</v>
      </c>
      <c r="AE14" s="415" t="str">
        <f>Calc!$O$120</f>
        <v>High</v>
      </c>
      <c r="AF14" s="415" t="str">
        <f>Calc!$O$125</f>
        <v>High</v>
      </c>
      <c r="AG14" s="415" t="str">
        <f>Calc!$O$130</f>
        <v>Very High</v>
      </c>
      <c r="AH14" s="415" t="str">
        <f>Calc!$O$135</f>
        <v>Very High</v>
      </c>
      <c r="AI14" s="415" t="str">
        <f>Calc!$O$140</f>
        <v>Moderate</v>
      </c>
      <c r="AJ14" s="416">
        <f>Calc!$G$148</f>
        <v>2.0999999999999996</v>
      </c>
      <c r="AK14" s="416">
        <f>Calc!$G$153</f>
        <v>2.0999999999999996</v>
      </c>
      <c r="AL14" s="416">
        <f>Calc!$G$158</f>
        <v>4.1999999999999993</v>
      </c>
      <c r="AM14" s="416" t="str">
        <f>Calc!$F$159</f>
        <v>Very High</v>
      </c>
      <c r="AN14" s="403" t="str">
        <f>Calc!$G$159</f>
        <v>VERY FEASIBLE</v>
      </c>
      <c r="AO14" s="410" t="str">
        <f>Calc!$G$81</f>
        <v>INVESTMENT IS FEASIBLE, IRR &gt; 9.35%</v>
      </c>
      <c r="AP14" s="410" t="str">
        <f>Calc!$G$82</f>
        <v>Proyek investasi tersebut Layak secara Aspek Finansial</v>
      </c>
      <c r="AQ14" s="424" t="str">
        <f t="shared" si="0"/>
        <v>The investment project is highly feasible in terms of financial and safety criteria.</v>
      </c>
      <c r="AR14" s="384"/>
      <c r="AS14" s="384"/>
      <c r="AT14" s="384"/>
      <c r="AU14" s="384"/>
      <c r="AV14" s="384"/>
      <c r="AW14" s="384"/>
    </row>
    <row r="15" spans="1:49">
      <c r="A15" s="418">
        <v>13</v>
      </c>
      <c r="B15" s="418">
        <f>Calc!P39</f>
        <v>2037</v>
      </c>
      <c r="C15" s="403" t="str">
        <f>Calc!$B$1</f>
        <v>INVESTMENT | STUDI KASUS XX</v>
      </c>
      <c r="D15" s="419">
        <f>Calc!$E$4</f>
        <v>40</v>
      </c>
      <c r="E15" s="420">
        <f>Calc!$M$11</f>
        <v>9.35E-2</v>
      </c>
      <c r="F15" s="421">
        <f>Calc!$E$6</f>
        <v>15</v>
      </c>
      <c r="G15" s="419">
        <f>Calc!$E$7</f>
        <v>4</v>
      </c>
      <c r="H15" s="422">
        <f>Calc!$I$7</f>
        <v>0.25</v>
      </c>
      <c r="I15" s="419">
        <f>Calc!$P$62</f>
        <v>25.616647126394724</v>
      </c>
      <c r="J15" s="419">
        <f>Calc!$P$57</f>
        <v>16.923237571342746</v>
      </c>
      <c r="K15" s="420">
        <f>Datasumsi!$F$22</f>
        <v>3.5000000000000003E-2</v>
      </c>
      <c r="L15" s="419">
        <f>Datasumsi!$F$25</f>
        <v>9841467.9299999997</v>
      </c>
      <c r="M15" s="407">
        <f>Calc!$E$82</f>
        <v>0.20454158804256217</v>
      </c>
      <c r="N15" s="419">
        <f>Calc!P75</f>
        <v>8.1049757616546181</v>
      </c>
      <c r="O15" s="419">
        <f>Calc!P76</f>
        <v>49.04948174821682</v>
      </c>
      <c r="P15" s="409">
        <f>Calc!$E$79</f>
        <v>15.104780660812537</v>
      </c>
      <c r="Q15" s="410">
        <f>Calc!$E$80</f>
        <v>0.14644579611693387</v>
      </c>
      <c r="R15" s="423">
        <f>Calc!$E$81</f>
        <v>7</v>
      </c>
      <c r="S15" s="415">
        <f>Calc!$E$83</f>
        <v>1.3776195165203133</v>
      </c>
      <c r="T15" s="420">
        <f>Calc!$E$84</f>
        <v>1.5136965972618091</v>
      </c>
      <c r="U15" s="414">
        <f>Calc!$F$148</f>
        <v>0.6</v>
      </c>
      <c r="V15" s="414">
        <f>Calc!$F$149</f>
        <v>0.6</v>
      </c>
      <c r="W15" s="414">
        <f>Calc!$F$150</f>
        <v>0.24</v>
      </c>
      <c r="X15" s="414">
        <f>Calc!$F$151</f>
        <v>0.16</v>
      </c>
      <c r="Y15" s="414">
        <f>Calc!$F$152</f>
        <v>0.5</v>
      </c>
      <c r="Z15" s="415">
        <f>Calc!$F$153</f>
        <v>0.48</v>
      </c>
      <c r="AA15" s="415">
        <f>Calc!$F$154</f>
        <v>0.48</v>
      </c>
      <c r="AB15" s="415">
        <f>Calc!$F$155</f>
        <v>0.5</v>
      </c>
      <c r="AC15" s="415">
        <f>Calc!$F$156</f>
        <v>0.4</v>
      </c>
      <c r="AD15" s="415">
        <f>Calc!$F$157</f>
        <v>0.24</v>
      </c>
      <c r="AE15" s="415" t="str">
        <f>Calc!$O$120</f>
        <v>High</v>
      </c>
      <c r="AF15" s="415" t="str">
        <f>Calc!$O$125</f>
        <v>High</v>
      </c>
      <c r="AG15" s="415" t="str">
        <f>Calc!$O$130</f>
        <v>Very High</v>
      </c>
      <c r="AH15" s="415" t="str">
        <f>Calc!$O$135</f>
        <v>Very High</v>
      </c>
      <c r="AI15" s="415" t="str">
        <f>Calc!$O$140</f>
        <v>Moderate</v>
      </c>
      <c r="AJ15" s="416">
        <f>Calc!$G$148</f>
        <v>2.0999999999999996</v>
      </c>
      <c r="AK15" s="416">
        <f>Calc!$G$153</f>
        <v>2.0999999999999996</v>
      </c>
      <c r="AL15" s="416">
        <f>Calc!$G$158</f>
        <v>4.1999999999999993</v>
      </c>
      <c r="AM15" s="416" t="str">
        <f>Calc!$F$159</f>
        <v>Very High</v>
      </c>
      <c r="AN15" s="403" t="str">
        <f>Calc!$G$159</f>
        <v>VERY FEASIBLE</v>
      </c>
      <c r="AO15" s="410" t="str">
        <f>Calc!$G$81</f>
        <v>INVESTMENT IS FEASIBLE, IRR &gt; 9.35%</v>
      </c>
      <c r="AP15" s="410" t="str">
        <f>Calc!$G$82</f>
        <v>Proyek investasi tersebut Layak secara Aspek Finansial</v>
      </c>
      <c r="AQ15" s="424" t="str">
        <f t="shared" si="0"/>
        <v>The investment project is highly feasible in terms of financial and safety criteria.</v>
      </c>
      <c r="AR15" s="384"/>
      <c r="AS15" s="384"/>
      <c r="AT15" s="384"/>
      <c r="AU15" s="384"/>
      <c r="AV15" s="384"/>
      <c r="AW15" s="384"/>
    </row>
    <row r="16" spans="1:49">
      <c r="A16" s="418">
        <v>14</v>
      </c>
      <c r="B16" s="418">
        <f>Calc!Q39</f>
        <v>2038</v>
      </c>
      <c r="C16" s="403" t="str">
        <f>Calc!$B$1</f>
        <v>INVESTMENT | STUDI KASUS XX</v>
      </c>
      <c r="D16" s="419">
        <f>Calc!$E$4</f>
        <v>40</v>
      </c>
      <c r="E16" s="420">
        <f>Calc!$M$11</f>
        <v>9.35E-2</v>
      </c>
      <c r="F16" s="421">
        <f>Calc!$E$6</f>
        <v>15</v>
      </c>
      <c r="G16" s="419">
        <f>Calc!$E$7</f>
        <v>4</v>
      </c>
      <c r="H16" s="422">
        <f>Calc!$I$7</f>
        <v>0.25</v>
      </c>
      <c r="I16" s="419">
        <f>Calc!$Q$62</f>
        <v>26.248097478060348</v>
      </c>
      <c r="J16" s="419">
        <f>Calc!$Q$57</f>
        <v>17.340395377476344</v>
      </c>
      <c r="K16" s="420">
        <f>Datasumsi!$F$22</f>
        <v>3.5000000000000003E-2</v>
      </c>
      <c r="L16" s="419">
        <f>Datasumsi!$F$25</f>
        <v>9841467.9299999997</v>
      </c>
      <c r="M16" s="407">
        <f>Calc!$E$82</f>
        <v>0.20454158804256217</v>
      </c>
      <c r="N16" s="419">
        <f>Calc!Q75</f>
        <v>8.2992319541793993</v>
      </c>
      <c r="O16" s="419">
        <f>Calc!Q76</f>
        <v>57.348713702396218</v>
      </c>
      <c r="P16" s="409">
        <f>Calc!$E$79</f>
        <v>15.104780660812537</v>
      </c>
      <c r="Q16" s="410">
        <f>Calc!$E$80</f>
        <v>0.14644579611693387</v>
      </c>
      <c r="R16" s="423">
        <f>Calc!$E$81</f>
        <v>7</v>
      </c>
      <c r="S16" s="415">
        <f>Calc!$E$83</f>
        <v>1.3776195165203133</v>
      </c>
      <c r="T16" s="420">
        <f>Calc!$E$84</f>
        <v>1.5136965972618091</v>
      </c>
      <c r="U16" s="414">
        <f>Calc!$F$148</f>
        <v>0.6</v>
      </c>
      <c r="V16" s="414">
        <f>Calc!$F$149</f>
        <v>0.6</v>
      </c>
      <c r="W16" s="414">
        <f>Calc!$F$150</f>
        <v>0.24</v>
      </c>
      <c r="X16" s="414">
        <f>Calc!$F$151</f>
        <v>0.16</v>
      </c>
      <c r="Y16" s="414">
        <f>Calc!$F$152</f>
        <v>0.5</v>
      </c>
      <c r="Z16" s="415">
        <f>Calc!$F$153</f>
        <v>0.48</v>
      </c>
      <c r="AA16" s="415">
        <f>Calc!$F$154</f>
        <v>0.48</v>
      </c>
      <c r="AB16" s="415">
        <f>Calc!$F$155</f>
        <v>0.5</v>
      </c>
      <c r="AC16" s="415">
        <f>Calc!$F$156</f>
        <v>0.4</v>
      </c>
      <c r="AD16" s="415">
        <f>Calc!$F$157</f>
        <v>0.24</v>
      </c>
      <c r="AE16" s="415" t="str">
        <f>Calc!$O$120</f>
        <v>High</v>
      </c>
      <c r="AF16" s="415" t="str">
        <f>Calc!$O$125</f>
        <v>High</v>
      </c>
      <c r="AG16" s="415" t="str">
        <f>Calc!$O$130</f>
        <v>Very High</v>
      </c>
      <c r="AH16" s="415" t="str">
        <f>Calc!$O$135</f>
        <v>Very High</v>
      </c>
      <c r="AI16" s="415" t="str">
        <f>Calc!$O$140</f>
        <v>Moderate</v>
      </c>
      <c r="AJ16" s="416">
        <f>Calc!$G$148</f>
        <v>2.0999999999999996</v>
      </c>
      <c r="AK16" s="416">
        <f>Calc!$G$153</f>
        <v>2.0999999999999996</v>
      </c>
      <c r="AL16" s="416">
        <f>Calc!$G$158</f>
        <v>4.1999999999999993</v>
      </c>
      <c r="AM16" s="416" t="str">
        <f>Calc!$F$159</f>
        <v>Very High</v>
      </c>
      <c r="AN16" s="403" t="str">
        <f>Calc!$G$159</f>
        <v>VERY FEASIBLE</v>
      </c>
      <c r="AO16" s="410" t="str">
        <f>Calc!$G$81</f>
        <v>INVESTMENT IS FEASIBLE, IRR &gt; 9.35%</v>
      </c>
      <c r="AP16" s="410" t="str">
        <f>Calc!$G$82</f>
        <v>Proyek investasi tersebut Layak secara Aspek Finansial</v>
      </c>
      <c r="AQ16" s="424" t="str">
        <f t="shared" si="0"/>
        <v>The investment project is highly feasible in terms of financial and safety criteria.</v>
      </c>
      <c r="AR16" s="384"/>
      <c r="AS16" s="384"/>
      <c r="AT16" s="384"/>
      <c r="AU16" s="384"/>
      <c r="AV16" s="384"/>
      <c r="AW16" s="384"/>
    </row>
    <row r="17" spans="1:49">
      <c r="A17" s="418">
        <v>15</v>
      </c>
      <c r="B17" s="418">
        <f>Calc!R39</f>
        <v>2039</v>
      </c>
      <c r="C17" s="403" t="str">
        <f>Calc!$B$1</f>
        <v>INVESTMENT | STUDI KASUS XX</v>
      </c>
      <c r="D17" s="419">
        <f>Calc!$E$4</f>
        <v>40</v>
      </c>
      <c r="E17" s="420">
        <f>Calc!$M$11</f>
        <v>9.35E-2</v>
      </c>
      <c r="F17" s="421">
        <f>Calc!$E$6</f>
        <v>15</v>
      </c>
      <c r="G17" s="419">
        <f>Calc!$E$7</f>
        <v>4</v>
      </c>
      <c r="H17" s="422">
        <f>Calc!$I$7</f>
        <v>0.25</v>
      </c>
      <c r="I17" s="419">
        <f>Calc!$R$62</f>
        <v>26.895113080894536</v>
      </c>
      <c r="J17" s="419">
        <f>Calc!$R$57</f>
        <v>17.767836123531133</v>
      </c>
      <c r="K17" s="420">
        <f>Datasumsi!$F$22</f>
        <v>3.5000000000000003E-2</v>
      </c>
      <c r="L17" s="419">
        <f>Datasumsi!$F$25</f>
        <v>9841467.9299999997</v>
      </c>
      <c r="M17" s="407">
        <f>Calc!$E$82</f>
        <v>0.20454158804256217</v>
      </c>
      <c r="N17" s="419">
        <f>Calc!R75</f>
        <v>16.498276561849934</v>
      </c>
      <c r="O17" s="419">
        <f>Calc!R76</f>
        <v>73.846990264246159</v>
      </c>
      <c r="P17" s="409">
        <f>Calc!$E$79</f>
        <v>15.104780660812537</v>
      </c>
      <c r="Q17" s="410">
        <f>Calc!$E$80</f>
        <v>0.14644579611693387</v>
      </c>
      <c r="R17" s="423">
        <f>Calc!$E$81</f>
        <v>7</v>
      </c>
      <c r="S17" s="415">
        <f>Calc!$E$83</f>
        <v>1.3776195165203133</v>
      </c>
      <c r="T17" s="420">
        <f>Calc!$E$84</f>
        <v>1.5136965972618091</v>
      </c>
      <c r="U17" s="414">
        <f>Calc!$F$148</f>
        <v>0.6</v>
      </c>
      <c r="V17" s="414">
        <f>Calc!$F$149</f>
        <v>0.6</v>
      </c>
      <c r="W17" s="414">
        <f>Calc!$F$150</f>
        <v>0.24</v>
      </c>
      <c r="X17" s="414">
        <f>Calc!$F$151</f>
        <v>0.16</v>
      </c>
      <c r="Y17" s="414">
        <f>Calc!$F$152</f>
        <v>0.5</v>
      </c>
      <c r="Z17" s="415">
        <f>Calc!$F$153</f>
        <v>0.48</v>
      </c>
      <c r="AA17" s="415">
        <f>Calc!$F$154</f>
        <v>0.48</v>
      </c>
      <c r="AB17" s="415">
        <f>Calc!$F$155</f>
        <v>0.5</v>
      </c>
      <c r="AC17" s="415">
        <f>Calc!$F$156</f>
        <v>0.4</v>
      </c>
      <c r="AD17" s="415">
        <f>Calc!$F$157</f>
        <v>0.24</v>
      </c>
      <c r="AE17" s="415" t="str">
        <f>Calc!$O$120</f>
        <v>High</v>
      </c>
      <c r="AF17" s="415" t="str">
        <f>Calc!$O$125</f>
        <v>High</v>
      </c>
      <c r="AG17" s="415" t="str">
        <f>Calc!$O$130</f>
        <v>Very High</v>
      </c>
      <c r="AH17" s="415" t="str">
        <f>Calc!$O$135</f>
        <v>Very High</v>
      </c>
      <c r="AI17" s="415" t="str">
        <f>Calc!$O$140</f>
        <v>Moderate</v>
      </c>
      <c r="AJ17" s="416">
        <f>Calc!$G$148</f>
        <v>2.0999999999999996</v>
      </c>
      <c r="AK17" s="416">
        <f>Calc!$G$153</f>
        <v>2.0999999999999996</v>
      </c>
      <c r="AL17" s="416">
        <f>Calc!$G$158</f>
        <v>4.1999999999999993</v>
      </c>
      <c r="AM17" s="416" t="str">
        <f>Calc!$F$159</f>
        <v>Very High</v>
      </c>
      <c r="AN17" s="403" t="str">
        <f>Calc!$G$159</f>
        <v>VERY FEASIBLE</v>
      </c>
      <c r="AO17" s="410" t="str">
        <f>Calc!$G$81</f>
        <v>INVESTMENT IS FEASIBLE, IRR &gt; 9.35%</v>
      </c>
      <c r="AP17" s="410" t="str">
        <f>Calc!$G$82</f>
        <v>Proyek investasi tersebut Layak secara Aspek Finansial</v>
      </c>
      <c r="AQ17" s="424" t="str">
        <f>IF(AN17="Very Feasible", "The investment project is highly feasible in terms of financial and safety criteria.",
IF(AN17="Feasible", "The investment project is feasible in terms of financial and safety criteria.",
IF(AN17="Considered", "The investment project is considered in terms of financial and safety criteria.",
IF(AN17="Not Feasible", "The investment project is not feasible in terms of financial and safety criteria.",
"Feasibility status is undefined; please check the input."))))</f>
        <v>The investment project is highly feasible in terms of financial and safety criteria.</v>
      </c>
      <c r="AR17" s="384"/>
      <c r="AS17" s="384"/>
      <c r="AT17" s="384"/>
      <c r="AU17" s="384"/>
      <c r="AV17" s="384"/>
      <c r="AW17" s="384"/>
    </row>
    <row r="18" spans="1:49">
      <c r="A18" s="384"/>
      <c r="B18" s="384"/>
      <c r="C18" s="384"/>
      <c r="D18" s="384"/>
      <c r="E18" s="384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4"/>
      <c r="Q18" s="384"/>
      <c r="R18" s="384"/>
      <c r="S18" s="384"/>
      <c r="T18" s="384"/>
      <c r="U18" s="384"/>
      <c r="V18" s="384"/>
      <c r="W18" s="384"/>
      <c r="X18" s="384"/>
      <c r="Y18" s="384"/>
      <c r="Z18" s="384"/>
      <c r="AA18" s="384"/>
      <c r="AB18" s="384"/>
      <c r="AC18" s="384"/>
      <c r="AD18" s="384"/>
      <c r="AE18" s="384"/>
      <c r="AF18" s="384"/>
      <c r="AG18" s="384"/>
      <c r="AH18" s="384"/>
      <c r="AI18" s="384"/>
      <c r="AJ18" s="384"/>
      <c r="AK18" s="384"/>
      <c r="AL18" s="384"/>
      <c r="AM18" s="384"/>
      <c r="AN18" s="384"/>
      <c r="AO18" s="384"/>
      <c r="AP18" s="384"/>
      <c r="AQ18" s="384"/>
      <c r="AR18" s="384"/>
      <c r="AS18" s="384"/>
      <c r="AT18" s="384"/>
      <c r="AU18" s="384"/>
      <c r="AV18" s="384"/>
      <c r="AW18" s="384"/>
    </row>
    <row r="19" spans="1:49">
      <c r="A19" s="384"/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384"/>
      <c r="AM19" s="384"/>
      <c r="AN19" s="384"/>
      <c r="AO19" s="384"/>
      <c r="AP19" s="384"/>
      <c r="AQ19" s="384"/>
      <c r="AR19" s="384"/>
      <c r="AS19" s="384"/>
      <c r="AT19" s="384"/>
      <c r="AU19" s="384"/>
      <c r="AV19" s="384"/>
      <c r="AW19" s="384"/>
    </row>
    <row r="20" spans="1:49">
      <c r="A20" s="384"/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84"/>
      <c r="AA20" s="384"/>
      <c r="AB20" s="384"/>
      <c r="AC20" s="384"/>
      <c r="AD20" s="384"/>
      <c r="AE20" s="384"/>
      <c r="AF20" s="384"/>
      <c r="AG20" s="384"/>
      <c r="AH20" s="384"/>
      <c r="AI20" s="384"/>
      <c r="AJ20" s="384"/>
      <c r="AK20" s="384"/>
      <c r="AL20" s="384"/>
      <c r="AM20" s="384"/>
      <c r="AN20" s="384"/>
      <c r="AO20" s="384"/>
      <c r="AP20" s="384"/>
      <c r="AQ20" s="384"/>
      <c r="AR20" s="384"/>
      <c r="AS20" s="384"/>
      <c r="AT20" s="384"/>
      <c r="AU20" s="384"/>
      <c r="AV20" s="384"/>
      <c r="AW20" s="384"/>
    </row>
    <row r="21" spans="1:49">
      <c r="A21" s="384"/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84"/>
      <c r="AA21" s="384"/>
      <c r="AB21" s="384"/>
      <c r="AC21" s="384"/>
      <c r="AD21" s="384"/>
      <c r="AE21" s="384"/>
      <c r="AF21" s="384"/>
      <c r="AG21" s="384"/>
      <c r="AH21" s="384"/>
      <c r="AI21" s="384"/>
      <c r="AJ21" s="384"/>
      <c r="AK21" s="384"/>
      <c r="AL21" s="384"/>
      <c r="AM21" s="384"/>
      <c r="AN21" s="384"/>
      <c r="AO21" s="384"/>
      <c r="AP21" s="384"/>
      <c r="AQ21" s="384"/>
      <c r="AR21" s="384"/>
      <c r="AS21" s="384"/>
      <c r="AT21" s="384"/>
      <c r="AU21" s="384"/>
      <c r="AV21" s="384"/>
      <c r="AW21" s="384"/>
    </row>
    <row r="22" spans="1:49">
      <c r="A22" s="384"/>
      <c r="B22" s="384"/>
      <c r="C22" s="384"/>
      <c r="D22" s="384"/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  <c r="T22" s="384"/>
      <c r="U22" s="384"/>
      <c r="V22" s="384"/>
      <c r="W22" s="384"/>
      <c r="X22" s="384"/>
      <c r="Y22" s="384"/>
      <c r="Z22" s="384"/>
      <c r="AA22" s="384"/>
      <c r="AB22" s="384"/>
      <c r="AC22" s="384"/>
      <c r="AD22" s="384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4"/>
      <c r="AW22" s="384"/>
    </row>
    <row r="23" spans="1:49">
      <c r="A23" s="384"/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4"/>
      <c r="AB23" s="384"/>
      <c r="AC23" s="384"/>
      <c r="AD23" s="384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4"/>
      <c r="AW23" s="384"/>
    </row>
    <row r="24" spans="1:49">
      <c r="A24" s="38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84"/>
      <c r="O24" s="384"/>
      <c r="P24" s="384"/>
      <c r="Q24" s="384"/>
      <c r="R24" s="384"/>
      <c r="S24" s="384"/>
      <c r="T24" s="384"/>
      <c r="U24" s="384"/>
      <c r="V24" s="384"/>
      <c r="W24" s="384"/>
      <c r="X24" s="384"/>
      <c r="Y24" s="384"/>
      <c r="Z24" s="384"/>
      <c r="AA24" s="384"/>
      <c r="AB24" s="384"/>
      <c r="AC24" s="384"/>
      <c r="AD24" s="384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4"/>
      <c r="AW24" s="384"/>
    </row>
    <row r="25" spans="1:49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384"/>
      <c r="Z25" s="384"/>
      <c r="AA25" s="384"/>
      <c r="AB25" s="384"/>
      <c r="AC25" s="384"/>
      <c r="AD25" s="384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4"/>
      <c r="AW25" s="384"/>
    </row>
    <row r="26" spans="1:49">
      <c r="A26" s="384"/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84"/>
      <c r="AA26" s="384"/>
      <c r="AB26" s="384"/>
      <c r="AC26" s="384"/>
      <c r="AD26" s="384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4"/>
      <c r="AW26" s="384"/>
    </row>
    <row r="27" spans="1:49">
      <c r="A27" s="384"/>
      <c r="B27" s="384"/>
      <c r="C27" s="384"/>
      <c r="D27" s="384"/>
      <c r="E27" s="384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4"/>
      <c r="T27" s="384"/>
      <c r="U27" s="384"/>
      <c r="V27" s="384"/>
      <c r="W27" s="384"/>
      <c r="X27" s="384"/>
      <c r="Y27" s="384"/>
      <c r="Z27" s="384"/>
      <c r="AA27" s="384"/>
      <c r="AB27" s="384"/>
      <c r="AC27" s="384"/>
      <c r="AD27" s="384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4"/>
      <c r="AW27" s="384"/>
    </row>
    <row r="28" spans="1:49">
      <c r="A28" s="384"/>
      <c r="B28" s="384"/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4"/>
      <c r="T28" s="384"/>
      <c r="U28" s="384"/>
      <c r="V28" s="384"/>
      <c r="W28" s="384"/>
      <c r="X28" s="384"/>
      <c r="Y28" s="384"/>
      <c r="Z28" s="384"/>
      <c r="AA28" s="384"/>
      <c r="AB28" s="384"/>
      <c r="AC28" s="384"/>
      <c r="AD28" s="384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4"/>
      <c r="AW28" s="384"/>
    </row>
    <row r="29" spans="1:49">
      <c r="A29" s="384"/>
      <c r="B29" s="384"/>
      <c r="C29" s="384"/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4"/>
      <c r="AW29" s="384"/>
    </row>
    <row r="30" spans="1:49">
      <c r="A30" s="384"/>
      <c r="B30" s="384"/>
      <c r="C30" s="384"/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  <c r="V30" s="384"/>
      <c r="W30" s="384"/>
      <c r="X30" s="384"/>
      <c r="Y30" s="384"/>
      <c r="Z30" s="384"/>
      <c r="AA30" s="384"/>
      <c r="AB30" s="384"/>
      <c r="AC30" s="384"/>
      <c r="AD30" s="384"/>
      <c r="AE30" s="384"/>
      <c r="AF30" s="384"/>
      <c r="AG30" s="384"/>
      <c r="AH30" s="384"/>
      <c r="AI30" s="384"/>
      <c r="AJ30" s="384"/>
      <c r="AK30" s="384"/>
      <c r="AL30" s="384"/>
      <c r="AM30" s="384"/>
      <c r="AN30" s="384"/>
      <c r="AO30" s="384"/>
      <c r="AP30" s="384"/>
      <c r="AQ30" s="384"/>
      <c r="AR30" s="384"/>
      <c r="AS30" s="384"/>
      <c r="AT30" s="384"/>
      <c r="AU30" s="384"/>
      <c r="AV30" s="384"/>
      <c r="AW30" s="384"/>
    </row>
    <row r="31" spans="1:49">
      <c r="A31" s="384"/>
      <c r="B31" s="384"/>
      <c r="C31" s="384"/>
      <c r="D31" s="384"/>
      <c r="E31" s="384"/>
      <c r="F31" s="384"/>
      <c r="G31" s="384"/>
      <c r="H31" s="384"/>
      <c r="I31" s="384"/>
      <c r="J31" s="384"/>
      <c r="K31" s="384"/>
      <c r="L31" s="384"/>
      <c r="M31" s="384"/>
      <c r="N31" s="384"/>
      <c r="O31" s="384"/>
      <c r="P31" s="384"/>
      <c r="Q31" s="384"/>
      <c r="R31" s="384"/>
      <c r="S31" s="384"/>
      <c r="T31" s="384"/>
      <c r="U31" s="384"/>
      <c r="V31" s="384"/>
      <c r="W31" s="384"/>
      <c r="X31" s="384"/>
      <c r="Y31" s="384"/>
      <c r="Z31" s="384"/>
      <c r="AA31" s="384"/>
      <c r="AB31" s="384"/>
      <c r="AC31" s="384"/>
      <c r="AD31" s="384"/>
      <c r="AE31" s="384"/>
      <c r="AF31" s="384"/>
      <c r="AG31" s="384"/>
      <c r="AH31" s="384"/>
      <c r="AI31" s="384"/>
      <c r="AJ31" s="384"/>
      <c r="AK31" s="384"/>
      <c r="AL31" s="384"/>
      <c r="AM31" s="384"/>
      <c r="AN31" s="384"/>
      <c r="AO31" s="384"/>
      <c r="AP31" s="384"/>
      <c r="AQ31" s="384"/>
      <c r="AR31" s="384"/>
      <c r="AS31" s="384"/>
      <c r="AT31" s="384"/>
      <c r="AU31" s="384"/>
      <c r="AV31" s="384"/>
      <c r="AW31" s="384"/>
    </row>
    <row r="32" spans="1:49">
      <c r="A32" s="384"/>
      <c r="B32" s="384"/>
      <c r="C32" s="384"/>
      <c r="D32" s="384"/>
      <c r="E32" s="384"/>
      <c r="F32" s="384"/>
      <c r="G32" s="384"/>
      <c r="H32" s="384"/>
      <c r="I32" s="384"/>
      <c r="J32" s="384"/>
      <c r="K32" s="384"/>
      <c r="L32" s="384"/>
      <c r="M32" s="384"/>
      <c r="N32" s="384"/>
      <c r="O32" s="384"/>
      <c r="P32" s="384"/>
      <c r="Q32" s="384"/>
      <c r="R32" s="384"/>
      <c r="S32" s="384"/>
      <c r="T32" s="384"/>
      <c r="U32" s="384"/>
      <c r="V32" s="384"/>
      <c r="W32" s="384"/>
      <c r="X32" s="384"/>
      <c r="Y32" s="384"/>
      <c r="Z32" s="384"/>
      <c r="AA32" s="384"/>
      <c r="AB32" s="384"/>
      <c r="AC32" s="384"/>
      <c r="AD32" s="384"/>
      <c r="AE32" s="384"/>
      <c r="AF32" s="384"/>
      <c r="AG32" s="384"/>
      <c r="AH32" s="384"/>
      <c r="AI32" s="384"/>
      <c r="AJ32" s="384"/>
      <c r="AK32" s="384"/>
      <c r="AL32" s="384"/>
      <c r="AM32" s="384"/>
      <c r="AN32" s="384"/>
      <c r="AO32" s="384"/>
      <c r="AP32" s="384"/>
      <c r="AQ32" s="384"/>
      <c r="AR32" s="384"/>
      <c r="AS32" s="384"/>
      <c r="AT32" s="384"/>
      <c r="AU32" s="384"/>
      <c r="AV32" s="384"/>
      <c r="AW32" s="384"/>
    </row>
    <row r="33" spans="1:49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4"/>
      <c r="M33" s="384"/>
      <c r="N33" s="384"/>
      <c r="O33" s="384"/>
      <c r="P33" s="384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384"/>
      <c r="AG33" s="384"/>
      <c r="AH33" s="384"/>
      <c r="AI33" s="384"/>
      <c r="AJ33" s="384"/>
      <c r="AK33" s="384"/>
      <c r="AL33" s="384"/>
      <c r="AM33" s="384"/>
      <c r="AN33" s="384"/>
      <c r="AO33" s="384"/>
      <c r="AP33" s="384"/>
      <c r="AQ33" s="384"/>
      <c r="AR33" s="384"/>
      <c r="AS33" s="384"/>
      <c r="AT33" s="384"/>
      <c r="AU33" s="384"/>
      <c r="AV33" s="384"/>
      <c r="AW33" s="384"/>
    </row>
    <row r="34" spans="1:49">
      <c r="A34" s="38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84"/>
      <c r="O34" s="384"/>
      <c r="P34" s="384"/>
      <c r="Q34" s="384"/>
      <c r="R34" s="384"/>
      <c r="S34" s="384"/>
      <c r="T34" s="384"/>
      <c r="U34" s="384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384"/>
      <c r="AG34" s="384"/>
      <c r="AH34" s="384"/>
      <c r="AI34" s="384"/>
      <c r="AJ34" s="384"/>
      <c r="AK34" s="384"/>
      <c r="AL34" s="384"/>
      <c r="AM34" s="384"/>
      <c r="AN34" s="384"/>
      <c r="AO34" s="384"/>
      <c r="AP34" s="384"/>
      <c r="AQ34" s="384"/>
      <c r="AR34" s="384"/>
      <c r="AS34" s="384"/>
      <c r="AT34" s="384"/>
      <c r="AU34" s="384"/>
      <c r="AV34" s="384"/>
      <c r="AW34" s="384"/>
    </row>
    <row r="35" spans="1:49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384"/>
      <c r="AG35" s="384"/>
      <c r="AH35" s="384"/>
      <c r="AI35" s="384"/>
      <c r="AJ35" s="384"/>
      <c r="AK35" s="384"/>
      <c r="AL35" s="384"/>
      <c r="AM35" s="384"/>
      <c r="AN35" s="384"/>
      <c r="AO35" s="384"/>
      <c r="AP35" s="384"/>
      <c r="AQ35" s="384"/>
      <c r="AR35" s="384"/>
      <c r="AS35" s="384"/>
      <c r="AT35" s="384"/>
      <c r="AU35" s="384"/>
      <c r="AV35" s="384"/>
      <c r="AW35" s="384"/>
    </row>
    <row r="36" spans="1:49">
      <c r="A36" s="384"/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384"/>
      <c r="AG36" s="384"/>
      <c r="AH36" s="384"/>
      <c r="AI36" s="384"/>
      <c r="AJ36" s="384"/>
      <c r="AK36" s="384"/>
      <c r="AL36" s="384"/>
      <c r="AM36" s="384"/>
      <c r="AN36" s="384"/>
      <c r="AO36" s="384"/>
      <c r="AP36" s="384"/>
      <c r="AQ36" s="384"/>
      <c r="AR36" s="384"/>
      <c r="AS36" s="384"/>
      <c r="AT36" s="384"/>
      <c r="AU36" s="384"/>
      <c r="AV36" s="384"/>
      <c r="AW36" s="384"/>
    </row>
    <row r="37" spans="1:49">
      <c r="A37" s="384"/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384"/>
      <c r="AG37" s="384"/>
      <c r="AH37" s="384"/>
      <c r="AI37" s="384"/>
      <c r="AJ37" s="384"/>
      <c r="AK37" s="384"/>
      <c r="AL37" s="384"/>
      <c r="AM37" s="384"/>
      <c r="AN37" s="384"/>
      <c r="AO37" s="384"/>
      <c r="AP37" s="384"/>
      <c r="AQ37" s="384"/>
      <c r="AR37" s="384"/>
      <c r="AS37" s="384"/>
      <c r="AT37" s="384"/>
      <c r="AU37" s="384"/>
      <c r="AV37" s="384"/>
      <c r="AW37" s="384"/>
    </row>
    <row r="38" spans="1:49">
      <c r="A38" s="38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84"/>
      <c r="O38" s="384"/>
      <c r="P38" s="384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384"/>
      <c r="AG38" s="384"/>
      <c r="AH38" s="384"/>
      <c r="AI38" s="384"/>
      <c r="AJ38" s="384"/>
      <c r="AK38" s="384"/>
      <c r="AL38" s="384"/>
      <c r="AM38" s="384"/>
      <c r="AN38" s="384"/>
      <c r="AO38" s="384"/>
      <c r="AP38" s="384"/>
      <c r="AQ38" s="384"/>
      <c r="AR38" s="384"/>
      <c r="AS38" s="384"/>
      <c r="AT38" s="384"/>
      <c r="AU38" s="384"/>
      <c r="AV38" s="384"/>
      <c r="AW38" s="384"/>
    </row>
    <row r="39" spans="1:49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384"/>
      <c r="AG39" s="384"/>
      <c r="AH39" s="384"/>
      <c r="AI39" s="384"/>
      <c r="AJ39" s="384"/>
      <c r="AK39" s="384"/>
      <c r="AL39" s="384"/>
      <c r="AM39" s="384"/>
      <c r="AN39" s="384"/>
      <c r="AO39" s="384"/>
      <c r="AP39" s="384"/>
      <c r="AQ39" s="384"/>
      <c r="AR39" s="384"/>
      <c r="AS39" s="384"/>
      <c r="AT39" s="384"/>
      <c r="AU39" s="384"/>
      <c r="AV39" s="384"/>
      <c r="AW39" s="384"/>
    </row>
    <row r="40" spans="1:49">
      <c r="A40" s="384"/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384"/>
      <c r="AG40" s="384"/>
      <c r="AH40" s="384"/>
      <c r="AI40" s="384"/>
      <c r="AJ40" s="384"/>
      <c r="AK40" s="384"/>
      <c r="AL40" s="384"/>
      <c r="AM40" s="384"/>
      <c r="AN40" s="384"/>
      <c r="AO40" s="384"/>
      <c r="AP40" s="384"/>
      <c r="AQ40" s="384"/>
      <c r="AR40" s="384"/>
      <c r="AS40" s="384"/>
      <c r="AT40" s="384"/>
      <c r="AU40" s="384"/>
      <c r="AV40" s="384"/>
      <c r="AW40" s="384"/>
    </row>
    <row r="41" spans="1:49">
      <c r="A41" s="384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4"/>
      <c r="P41" s="384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384"/>
      <c r="AG41" s="384"/>
      <c r="AH41" s="384"/>
      <c r="AI41" s="384"/>
      <c r="AJ41" s="384"/>
      <c r="AK41" s="384"/>
      <c r="AL41" s="384"/>
      <c r="AM41" s="384"/>
      <c r="AN41" s="384"/>
      <c r="AO41" s="384"/>
      <c r="AP41" s="384"/>
      <c r="AQ41" s="384"/>
      <c r="AR41" s="384"/>
      <c r="AS41" s="384"/>
      <c r="AT41" s="384"/>
      <c r="AU41" s="384"/>
      <c r="AV41" s="384"/>
      <c r="AW41" s="384"/>
    </row>
    <row r="42" spans="1:49">
      <c r="A42" s="38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84"/>
      <c r="O42" s="384"/>
      <c r="P42" s="384"/>
      <c r="Q42" s="384"/>
      <c r="R42" s="384"/>
      <c r="S42" s="384"/>
      <c r="T42" s="384"/>
      <c r="U42" s="384"/>
      <c r="V42" s="384"/>
      <c r="W42" s="384"/>
      <c r="X42" s="384"/>
      <c r="Y42" s="384"/>
      <c r="Z42" s="384"/>
      <c r="AA42" s="384"/>
      <c r="AB42" s="384"/>
      <c r="AC42" s="384"/>
      <c r="AD42" s="384"/>
      <c r="AE42" s="384"/>
      <c r="AF42" s="384"/>
      <c r="AG42" s="384"/>
      <c r="AH42" s="384"/>
      <c r="AI42" s="384"/>
      <c r="AJ42" s="384"/>
      <c r="AK42" s="384"/>
      <c r="AL42" s="384"/>
      <c r="AM42" s="384"/>
      <c r="AN42" s="384"/>
      <c r="AO42" s="384"/>
      <c r="AP42" s="384"/>
      <c r="AQ42" s="384"/>
      <c r="AR42" s="384"/>
      <c r="AS42" s="384"/>
      <c r="AT42" s="384"/>
      <c r="AU42" s="384"/>
      <c r="AV42" s="384"/>
      <c r="AW42" s="384"/>
    </row>
    <row r="43" spans="1:49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84"/>
      <c r="O43" s="384"/>
      <c r="P43" s="384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384"/>
      <c r="AG43" s="384"/>
      <c r="AH43" s="384"/>
      <c r="AI43" s="384"/>
      <c r="AJ43" s="384"/>
      <c r="AK43" s="384"/>
      <c r="AL43" s="384"/>
      <c r="AM43" s="384"/>
      <c r="AN43" s="384"/>
      <c r="AO43" s="384"/>
      <c r="AP43" s="384"/>
      <c r="AQ43" s="384"/>
      <c r="AR43" s="384"/>
      <c r="AS43" s="384"/>
      <c r="AT43" s="384"/>
      <c r="AU43" s="384"/>
      <c r="AV43" s="384"/>
      <c r="AW43" s="384"/>
    </row>
    <row r="44" spans="1:49">
      <c r="A44" s="384"/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384"/>
      <c r="AG44" s="384"/>
      <c r="AH44" s="384"/>
      <c r="AI44" s="384"/>
      <c r="AJ44" s="384"/>
      <c r="AK44" s="384"/>
      <c r="AL44" s="384"/>
      <c r="AM44" s="384"/>
      <c r="AN44" s="384"/>
      <c r="AO44" s="384"/>
      <c r="AP44" s="384"/>
      <c r="AQ44" s="384"/>
      <c r="AR44" s="384"/>
      <c r="AS44" s="384"/>
      <c r="AT44" s="384"/>
      <c r="AU44" s="384"/>
      <c r="AV44" s="384"/>
      <c r="AW44" s="384"/>
    </row>
    <row r="45" spans="1:49">
      <c r="A45" s="384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4"/>
      <c r="M45" s="384"/>
      <c r="N45" s="384"/>
      <c r="O45" s="384"/>
      <c r="P45" s="384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384"/>
      <c r="AG45" s="384"/>
      <c r="AH45" s="384"/>
      <c r="AI45" s="384"/>
      <c r="AJ45" s="384"/>
      <c r="AK45" s="384"/>
      <c r="AL45" s="384"/>
      <c r="AM45" s="384"/>
      <c r="AN45" s="384"/>
      <c r="AO45" s="384"/>
      <c r="AP45" s="384"/>
      <c r="AQ45" s="384"/>
      <c r="AR45" s="384"/>
      <c r="AS45" s="384"/>
      <c r="AT45" s="384"/>
      <c r="AU45" s="384"/>
      <c r="AV45" s="384"/>
      <c r="AW45" s="384"/>
    </row>
    <row r="46" spans="1:49">
      <c r="A46" s="38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384"/>
      <c r="AG46" s="384"/>
      <c r="AH46" s="384"/>
      <c r="AI46" s="384"/>
      <c r="AJ46" s="384"/>
      <c r="AK46" s="384"/>
      <c r="AL46" s="384"/>
      <c r="AM46" s="384"/>
      <c r="AN46" s="384"/>
      <c r="AO46" s="384"/>
      <c r="AP46" s="384"/>
      <c r="AQ46" s="384"/>
      <c r="AR46" s="384"/>
      <c r="AS46" s="384"/>
      <c r="AT46" s="384"/>
      <c r="AU46" s="384"/>
      <c r="AV46" s="384"/>
      <c r="AW46" s="384"/>
    </row>
    <row r="47" spans="1:49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384"/>
      <c r="AG47" s="384"/>
      <c r="AH47" s="384"/>
      <c r="AI47" s="384"/>
      <c r="AJ47" s="384"/>
      <c r="AK47" s="384"/>
      <c r="AL47" s="384"/>
      <c r="AM47" s="384"/>
      <c r="AN47" s="384"/>
      <c r="AO47" s="384"/>
      <c r="AP47" s="384"/>
      <c r="AQ47" s="384"/>
      <c r="AR47" s="384"/>
      <c r="AS47" s="384"/>
      <c r="AT47" s="384"/>
      <c r="AU47" s="384"/>
      <c r="AV47" s="384"/>
      <c r="AW47" s="384"/>
    </row>
    <row r="48" spans="1:49">
      <c r="A48" s="384"/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384"/>
      <c r="AG48" s="384"/>
      <c r="AH48" s="384"/>
      <c r="AI48" s="384"/>
      <c r="AJ48" s="384"/>
      <c r="AK48" s="384"/>
      <c r="AL48" s="384"/>
      <c r="AM48" s="384"/>
      <c r="AN48" s="384"/>
      <c r="AO48" s="384"/>
      <c r="AP48" s="384"/>
      <c r="AQ48" s="384"/>
      <c r="AR48" s="384"/>
      <c r="AS48" s="384"/>
      <c r="AT48" s="384"/>
      <c r="AU48" s="384"/>
      <c r="AV48" s="384"/>
      <c r="AW48" s="384"/>
    </row>
    <row r="49" spans="1:49">
      <c r="A49" s="384"/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384"/>
      <c r="AB49" s="384"/>
      <c r="AC49" s="384"/>
      <c r="AD49" s="384"/>
      <c r="AE49" s="384"/>
      <c r="AF49" s="384"/>
      <c r="AG49" s="384"/>
      <c r="AH49" s="384"/>
      <c r="AI49" s="384"/>
      <c r="AJ49" s="384"/>
      <c r="AK49" s="384"/>
      <c r="AL49" s="384"/>
      <c r="AM49" s="384"/>
      <c r="AN49" s="384"/>
      <c r="AO49" s="384"/>
      <c r="AP49" s="384"/>
      <c r="AQ49" s="384"/>
      <c r="AR49" s="384"/>
      <c r="AS49" s="384"/>
      <c r="AT49" s="384"/>
      <c r="AU49" s="384"/>
      <c r="AV49" s="384"/>
      <c r="AW49" s="384"/>
    </row>
    <row r="50" spans="1:49">
      <c r="A50" s="384"/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84"/>
      <c r="AA50" s="384"/>
      <c r="AB50" s="384"/>
      <c r="AC50" s="384"/>
      <c r="AD50" s="384"/>
      <c r="AE50" s="384"/>
      <c r="AF50" s="384"/>
      <c r="AG50" s="384"/>
      <c r="AH50" s="384"/>
      <c r="AI50" s="384"/>
      <c r="AJ50" s="384"/>
      <c r="AK50" s="384"/>
      <c r="AL50" s="384"/>
      <c r="AM50" s="384"/>
      <c r="AN50" s="384"/>
      <c r="AO50" s="384"/>
      <c r="AP50" s="384"/>
      <c r="AQ50" s="384"/>
      <c r="AR50" s="384"/>
      <c r="AS50" s="384"/>
      <c r="AT50" s="384"/>
      <c r="AU50" s="384"/>
      <c r="AV50" s="384"/>
      <c r="AW50" s="384"/>
    </row>
  </sheetData>
  <sheetProtection algorithmName="SHA-512" hashValue="wCmTYkv8olvytlhSMNBkRIg7WP1AeN21jFpgJftnh07Ac6tHS8RZmZAgCDfpLJIDUkUT7BqamIqUMEN+DBaYLQ==" saltValue="8LEWnge/VHau3WeHYU2RlQ==" spinCount="100000" sheet="1" objects="1" scenarios="1"/>
  <phoneticPr fontId="51" type="noConversion"/>
  <pageMargins left="0.7" right="0.7" top="0.75" bottom="0.75" header="0.3" footer="0.3"/>
  <ignoredErrors>
    <ignoredError sqref="N10:N12 N2 O12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165"/>
  <sheetViews>
    <sheetView showGridLines="0" tabSelected="1" zoomScaleNormal="72" zoomScaleSheetLayoutView="80" workbookViewId="0">
      <pane ySplit="1" topLeftCell="A19" activePane="bottomLeft" state="frozen"/>
      <selection activeCell="AI3" sqref="AI3"/>
      <selection pane="bottomLeft" activeCell="P48" sqref="P48"/>
    </sheetView>
  </sheetViews>
  <sheetFormatPr defaultColWidth="10" defaultRowHeight="14"/>
  <cols>
    <col min="1" max="1" width="3" style="159" customWidth="1"/>
    <col min="2" max="2" width="45" style="159" bestFit="1" customWidth="1"/>
    <col min="3" max="3" width="10" style="159" bestFit="1" customWidth="1"/>
    <col min="4" max="4" width="12.75" style="159" bestFit="1" customWidth="1"/>
    <col min="5" max="14" width="13.25" style="159" customWidth="1"/>
    <col min="15" max="18" width="13.75" style="159" bestFit="1" customWidth="1"/>
    <col min="19" max="16384" width="10" style="159"/>
  </cols>
  <sheetData>
    <row r="1" spans="1:13" s="158" customFormat="1" ht="20">
      <c r="A1" s="361"/>
      <c r="B1" s="511" t="s">
        <v>280</v>
      </c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13" ht="9" customHeight="1">
      <c r="G2" s="160"/>
    </row>
    <row r="3" spans="1:13" s="161" customFormat="1" ht="17.25" customHeight="1">
      <c r="B3" s="512" t="s">
        <v>33</v>
      </c>
      <c r="C3" s="513"/>
      <c r="D3" s="513"/>
      <c r="E3" s="514"/>
      <c r="G3" s="515" t="s">
        <v>34</v>
      </c>
      <c r="H3" s="513"/>
      <c r="I3" s="516"/>
      <c r="K3" s="512" t="s">
        <v>35</v>
      </c>
      <c r="L3" s="513"/>
      <c r="M3" s="514"/>
    </row>
    <row r="4" spans="1:13">
      <c r="B4" s="162" t="s">
        <v>145</v>
      </c>
      <c r="C4" s="163"/>
      <c r="D4" s="376">
        <f>Datasumsi!$F$8</f>
        <v>1</v>
      </c>
      <c r="E4" s="164">
        <f>(D4*Datasumsi!$F$7/1000000000)</f>
        <v>40</v>
      </c>
      <c r="F4" s="165"/>
      <c r="G4" s="166"/>
      <c r="H4" s="167"/>
      <c r="I4" s="168"/>
      <c r="K4" s="169" t="s">
        <v>36</v>
      </c>
      <c r="L4" s="167"/>
      <c r="M4" s="170"/>
    </row>
    <row r="5" spans="1:13">
      <c r="B5" s="171" t="s">
        <v>37</v>
      </c>
      <c r="C5" s="172"/>
      <c r="D5" s="173"/>
      <c r="E5" s="174">
        <v>0</v>
      </c>
      <c r="G5" s="175" t="s">
        <v>38</v>
      </c>
      <c r="H5" s="176"/>
      <c r="I5" s="177" t="s">
        <v>39</v>
      </c>
      <c r="K5" s="171" t="s">
        <v>40</v>
      </c>
      <c r="L5" s="176"/>
      <c r="M5" s="178"/>
    </row>
    <row r="6" spans="1:13">
      <c r="B6" s="171" t="s">
        <v>41</v>
      </c>
      <c r="C6" s="172"/>
      <c r="D6" s="173"/>
      <c r="E6" s="179">
        <f>Datasumsi!$F$20</f>
        <v>15</v>
      </c>
      <c r="G6" s="180"/>
      <c r="H6" s="181"/>
      <c r="I6" s="182">
        <v>0</v>
      </c>
      <c r="K6" s="171" t="s">
        <v>42</v>
      </c>
      <c r="L6" s="176"/>
      <c r="M6" s="183"/>
    </row>
    <row r="7" spans="1:13">
      <c r="B7" s="171" t="s">
        <v>43</v>
      </c>
      <c r="C7" s="172"/>
      <c r="D7" s="173"/>
      <c r="E7" s="184">
        <f>Datasumsi!$F$21*E4</f>
        <v>4</v>
      </c>
      <c r="G7" s="185" t="s">
        <v>44</v>
      </c>
      <c r="H7" s="186"/>
      <c r="I7" s="187">
        <f>Datasumsi!$F$23</f>
        <v>0.25</v>
      </c>
      <c r="K7" s="171" t="s">
        <v>45</v>
      </c>
      <c r="L7" s="176"/>
      <c r="M7" s="188"/>
    </row>
    <row r="8" spans="1:13">
      <c r="B8" s="171" t="s">
        <v>46</v>
      </c>
      <c r="C8" s="172"/>
      <c r="D8" s="173"/>
      <c r="E8" s="189">
        <v>1</v>
      </c>
      <c r="I8" s="190"/>
      <c r="K8" s="171" t="s">
        <v>47</v>
      </c>
      <c r="L8" s="176"/>
      <c r="M8" s="188"/>
    </row>
    <row r="9" spans="1:13">
      <c r="B9" s="171" t="s">
        <v>48</v>
      </c>
      <c r="C9" s="172"/>
      <c r="D9" s="173"/>
      <c r="E9" s="191">
        <v>0</v>
      </c>
      <c r="G9" s="165"/>
      <c r="I9" s="190"/>
      <c r="K9" s="171" t="s">
        <v>49</v>
      </c>
      <c r="L9" s="176"/>
      <c r="M9" s="192"/>
    </row>
    <row r="10" spans="1:13">
      <c r="B10" s="193" t="s">
        <v>50</v>
      </c>
      <c r="C10" s="194"/>
      <c r="D10" s="195"/>
      <c r="E10" s="196">
        <v>0</v>
      </c>
      <c r="F10" s="165"/>
      <c r="I10" s="190"/>
      <c r="K10" s="193" t="s">
        <v>51</v>
      </c>
      <c r="L10" s="197"/>
      <c r="M10" s="198"/>
    </row>
    <row r="11" spans="1:13">
      <c r="E11" s="190"/>
      <c r="K11" s="199" t="s">
        <v>52</v>
      </c>
      <c r="L11" s="186"/>
      <c r="M11" s="200">
        <f>Datasumsi!$F$24</f>
        <v>9.35E-2</v>
      </c>
    </row>
    <row r="12" spans="1:13" ht="15.75" customHeight="1">
      <c r="B12" s="515" t="s">
        <v>53</v>
      </c>
      <c r="C12" s="513"/>
      <c r="D12" s="513"/>
      <c r="E12" s="516"/>
      <c r="K12" s="517" t="s">
        <v>54</v>
      </c>
      <c r="L12" s="517"/>
      <c r="M12" s="517"/>
    </row>
    <row r="13" spans="1:13">
      <c r="B13" s="201" t="s">
        <v>55</v>
      </c>
      <c r="C13" s="163"/>
      <c r="D13" s="167"/>
      <c r="E13" s="202">
        <v>0</v>
      </c>
    </row>
    <row r="14" spans="1:13">
      <c r="B14" s="171" t="s">
        <v>56</v>
      </c>
      <c r="C14" s="172"/>
      <c r="D14" s="176"/>
      <c r="E14" s="191">
        <v>0</v>
      </c>
    </row>
    <row r="15" spans="1:13">
      <c r="B15" s="193" t="s">
        <v>57</v>
      </c>
      <c r="C15" s="194"/>
      <c r="D15" s="197"/>
      <c r="E15" s="203">
        <v>0</v>
      </c>
    </row>
    <row r="16" spans="1:13" ht="10.5" customHeight="1">
      <c r="E16" s="204"/>
    </row>
    <row r="17" spans="2:18" ht="20.25" customHeight="1">
      <c r="B17" s="508" t="s">
        <v>58</v>
      </c>
      <c r="C17" s="509"/>
      <c r="D17" s="509"/>
      <c r="E17" s="509"/>
      <c r="F17" s="509"/>
      <c r="G17" s="509"/>
      <c r="H17" s="509"/>
      <c r="I17" s="509"/>
      <c r="J17" s="509"/>
      <c r="K17" s="509"/>
      <c r="L17" s="509"/>
      <c r="M17" s="509"/>
      <c r="N17" s="509"/>
      <c r="O17" s="509"/>
      <c r="P17" s="509"/>
      <c r="Q17" s="509"/>
      <c r="R17" s="510"/>
    </row>
    <row r="18" spans="2:18" s="208" customFormat="1">
      <c r="B18" s="205"/>
      <c r="C18" s="206"/>
      <c r="D18" s="207">
        <v>1</v>
      </c>
      <c r="E18" s="207">
        <f>D18+1</f>
        <v>2</v>
      </c>
      <c r="F18" s="207">
        <f>E18+1</f>
        <v>3</v>
      </c>
      <c r="G18" s="207">
        <f>F18+1</f>
        <v>4</v>
      </c>
      <c r="H18" s="207">
        <f>G18+1</f>
        <v>5</v>
      </c>
      <c r="I18" s="207">
        <f>H18+1</f>
        <v>6</v>
      </c>
      <c r="J18" s="207">
        <f t="shared" ref="J18:R18" si="0">I18+1</f>
        <v>7</v>
      </c>
      <c r="K18" s="207">
        <f t="shared" si="0"/>
        <v>8</v>
      </c>
      <c r="L18" s="207">
        <f t="shared" si="0"/>
        <v>9</v>
      </c>
      <c r="M18" s="207">
        <f t="shared" si="0"/>
        <v>10</v>
      </c>
      <c r="N18" s="207">
        <f t="shared" si="0"/>
        <v>11</v>
      </c>
      <c r="O18" s="207">
        <f t="shared" si="0"/>
        <v>12</v>
      </c>
      <c r="P18" s="207">
        <f t="shared" si="0"/>
        <v>13</v>
      </c>
      <c r="Q18" s="207">
        <f t="shared" si="0"/>
        <v>14</v>
      </c>
      <c r="R18" s="207">
        <f t="shared" si="0"/>
        <v>15</v>
      </c>
    </row>
    <row r="19" spans="2:18" s="190" customFormat="1">
      <c r="B19" s="175" t="s">
        <v>59</v>
      </c>
      <c r="C19" s="209"/>
      <c r="D19" s="210"/>
      <c r="E19" s="210">
        <v>0</v>
      </c>
      <c r="F19" s="210">
        <v>0</v>
      </c>
      <c r="G19" s="210">
        <v>0</v>
      </c>
      <c r="H19" s="210">
        <v>0</v>
      </c>
      <c r="I19" s="210">
        <v>0</v>
      </c>
      <c r="J19" s="210">
        <v>0</v>
      </c>
      <c r="K19" s="210">
        <v>0</v>
      </c>
      <c r="L19" s="210">
        <v>0</v>
      </c>
      <c r="M19" s="210">
        <v>0</v>
      </c>
      <c r="N19" s="210">
        <v>0</v>
      </c>
      <c r="O19" s="210">
        <v>0</v>
      </c>
      <c r="P19" s="210">
        <v>0</v>
      </c>
      <c r="Q19" s="210">
        <v>0</v>
      </c>
      <c r="R19" s="210">
        <v>0</v>
      </c>
    </row>
    <row r="20" spans="2:18" s="190" customFormat="1">
      <c r="B20" s="211"/>
      <c r="C20" s="212"/>
      <c r="D20" s="213"/>
      <c r="E20" s="213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</row>
    <row r="21" spans="2:18" s="190" customFormat="1">
      <c r="B21" s="215"/>
      <c r="C21" s="216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</row>
    <row r="22" spans="2:18" s="190" customFormat="1">
      <c r="B22" s="498" t="s">
        <v>60</v>
      </c>
      <c r="C22" s="499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</row>
    <row r="23" spans="2:18" s="190" customFormat="1">
      <c r="B23" s="218"/>
      <c r="C23" s="219"/>
      <c r="D23" s="220">
        <v>1</v>
      </c>
      <c r="E23" s="220">
        <f>D23+1</f>
        <v>2</v>
      </c>
      <c r="F23" s="220">
        <f>E23+1</f>
        <v>3</v>
      </c>
      <c r="G23" s="220">
        <f>F23+1</f>
        <v>4</v>
      </c>
      <c r="H23" s="220">
        <f>G23+1</f>
        <v>5</v>
      </c>
      <c r="I23" s="220">
        <f>H23+1</f>
        <v>6</v>
      </c>
      <c r="J23" s="220">
        <f t="shared" ref="J23:R23" si="1">I23+1</f>
        <v>7</v>
      </c>
      <c r="K23" s="220">
        <f t="shared" si="1"/>
        <v>8</v>
      </c>
      <c r="L23" s="220">
        <f t="shared" si="1"/>
        <v>9</v>
      </c>
      <c r="M23" s="220">
        <f t="shared" si="1"/>
        <v>10</v>
      </c>
      <c r="N23" s="220">
        <f t="shared" si="1"/>
        <v>11</v>
      </c>
      <c r="O23" s="220">
        <f t="shared" si="1"/>
        <v>12</v>
      </c>
      <c r="P23" s="220">
        <f t="shared" si="1"/>
        <v>13</v>
      </c>
      <c r="Q23" s="220">
        <f t="shared" si="1"/>
        <v>14</v>
      </c>
      <c r="R23" s="220">
        <f t="shared" si="1"/>
        <v>15</v>
      </c>
    </row>
    <row r="24" spans="2:18" ht="8.25" customHeight="1"/>
    <row r="25" spans="2:18" ht="19.5" customHeight="1">
      <c r="B25" s="500" t="s">
        <v>33</v>
      </c>
      <c r="C25" s="501"/>
      <c r="D25" s="502"/>
    </row>
    <row r="26" spans="2:18">
      <c r="B26" s="221" t="s">
        <v>61</v>
      </c>
      <c r="C26" s="222"/>
      <c r="D26" s="223">
        <f>E4</f>
        <v>40</v>
      </c>
    </row>
    <row r="27" spans="2:18">
      <c r="B27" s="224" t="s">
        <v>62</v>
      </c>
      <c r="C27" s="225"/>
      <c r="D27" s="226">
        <f>E4*E9</f>
        <v>0</v>
      </c>
    </row>
    <row r="28" spans="2:18">
      <c r="B28" s="221" t="s">
        <v>63</v>
      </c>
      <c r="C28" s="222"/>
      <c r="D28" s="223">
        <f>D26-D27</f>
        <v>40</v>
      </c>
    </row>
    <row r="29" spans="2:18">
      <c r="B29" s="224" t="s">
        <v>64</v>
      </c>
      <c r="C29" s="225"/>
      <c r="D29" s="226">
        <f>E13</f>
        <v>0</v>
      </c>
    </row>
    <row r="30" spans="2:18">
      <c r="B30" s="224" t="s">
        <v>65</v>
      </c>
      <c r="C30" s="225"/>
      <c r="D30" s="226">
        <f>E5</f>
        <v>0</v>
      </c>
    </row>
    <row r="31" spans="2:18">
      <c r="B31" s="221" t="s">
        <v>66</v>
      </c>
      <c r="C31" s="222"/>
      <c r="D31" s="227">
        <f>D28+D29+D30</f>
        <v>40</v>
      </c>
    </row>
    <row r="32" spans="2:18" ht="9.75" customHeight="1"/>
    <row r="33" spans="2:18">
      <c r="B33" s="228" t="s">
        <v>67</v>
      </c>
      <c r="C33" s="228"/>
      <c r="D33" s="228"/>
      <c r="E33" s="228"/>
      <c r="F33" s="228"/>
      <c r="G33" s="228"/>
      <c r="H33" s="228"/>
      <c r="I33" s="228"/>
      <c r="J33" s="229"/>
      <c r="K33" s="229"/>
      <c r="L33" s="229"/>
      <c r="M33" s="229"/>
    </row>
    <row r="34" spans="2:18">
      <c r="B34" s="230" t="s">
        <v>68</v>
      </c>
      <c r="C34" s="231"/>
      <c r="D34" s="232">
        <f t="shared" ref="D34:R34" si="2">IF(D23=$E$6,$E$7,0)</f>
        <v>0</v>
      </c>
      <c r="E34" s="232">
        <f t="shared" si="2"/>
        <v>0</v>
      </c>
      <c r="F34" s="232">
        <f t="shared" si="2"/>
        <v>0</v>
      </c>
      <c r="G34" s="232">
        <f t="shared" si="2"/>
        <v>0</v>
      </c>
      <c r="H34" s="232">
        <f t="shared" si="2"/>
        <v>0</v>
      </c>
      <c r="I34" s="232">
        <f t="shared" si="2"/>
        <v>0</v>
      </c>
      <c r="J34" s="232">
        <f t="shared" si="2"/>
        <v>0</v>
      </c>
      <c r="K34" s="232">
        <f t="shared" si="2"/>
        <v>0</v>
      </c>
      <c r="L34" s="232">
        <f t="shared" si="2"/>
        <v>0</v>
      </c>
      <c r="M34" s="232">
        <f t="shared" si="2"/>
        <v>0</v>
      </c>
      <c r="N34" s="232">
        <f t="shared" si="2"/>
        <v>0</v>
      </c>
      <c r="O34" s="232">
        <f t="shared" si="2"/>
        <v>0</v>
      </c>
      <c r="P34" s="232">
        <f t="shared" si="2"/>
        <v>0</v>
      </c>
      <c r="Q34" s="232">
        <f t="shared" si="2"/>
        <v>0</v>
      </c>
      <c r="R34" s="232">
        <f t="shared" si="2"/>
        <v>4</v>
      </c>
    </row>
    <row r="35" spans="2:18">
      <c r="B35" s="233" t="s">
        <v>69</v>
      </c>
      <c r="C35" s="234"/>
      <c r="D35" s="235">
        <f>IF(D23=$E$6,($E$13+SUM(D74:L74))*$E$15,0)</f>
        <v>0</v>
      </c>
      <c r="E35" s="235">
        <f>IF(E23=$E$6,($E$13+SUM(E74:M74))*$E$15,0)</f>
        <v>0</v>
      </c>
      <c r="F35" s="235">
        <f>IF(F23=$E$6,($E$13+SUM(F74:M74))*$E$15,0)</f>
        <v>0</v>
      </c>
      <c r="G35" s="235">
        <f>IF(G23=$E$6,($E$13+SUM(G74:M74))*$E$15,0)</f>
        <v>0</v>
      </c>
      <c r="H35" s="235">
        <f>IF(H23=$E$6,($E$13+SUM(H74:M74))*$E$15,0)</f>
        <v>0</v>
      </c>
      <c r="I35" s="235">
        <f t="shared" ref="I35:N35" si="3">IF(I23=$E$6,($E$13+SUM(I74:M74))*$E$15,0)</f>
        <v>0</v>
      </c>
      <c r="J35" s="235">
        <f t="shared" si="3"/>
        <v>0</v>
      </c>
      <c r="K35" s="235">
        <f t="shared" si="3"/>
        <v>0</v>
      </c>
      <c r="L35" s="235">
        <f t="shared" si="3"/>
        <v>0</v>
      </c>
      <c r="M35" s="235">
        <f t="shared" si="3"/>
        <v>0</v>
      </c>
      <c r="N35" s="235">
        <f t="shared" si="3"/>
        <v>0</v>
      </c>
      <c r="O35" s="235">
        <f>IF(O23=$E$6,($E$13+SUM(O74:R74))*$E$15,0)</f>
        <v>0</v>
      </c>
      <c r="P35" s="235">
        <f>IF(P23=$E$6,($E$13+SUM(P74:R74))*$E$15,0)</f>
        <v>0</v>
      </c>
      <c r="Q35" s="235">
        <f>IF(Q23=$E$6,($E$13+SUM(Q74:S74))*$E$15,0)</f>
        <v>0</v>
      </c>
      <c r="R35" s="235">
        <f>IF(R23=$E$6,($E$13+SUM(R74:T74))*$E$15,0)</f>
        <v>0</v>
      </c>
    </row>
    <row r="38" spans="2:18" ht="15.75" customHeight="1">
      <c r="B38" s="236" t="s">
        <v>70</v>
      </c>
      <c r="C38" s="237"/>
      <c r="D38" s="237"/>
      <c r="E38" s="237"/>
      <c r="F38" s="237"/>
      <c r="G38" s="237"/>
      <c r="H38" s="237"/>
      <c r="I38" s="238"/>
      <c r="J38" s="238"/>
      <c r="K38" s="238"/>
      <c r="L38" s="238"/>
      <c r="M38" s="238"/>
      <c r="N38" s="238"/>
      <c r="O38" s="238"/>
      <c r="P38" s="238"/>
      <c r="Q38" s="238"/>
      <c r="R38" s="238"/>
    </row>
    <row r="39" spans="2:18">
      <c r="B39" s="239" t="s">
        <v>71</v>
      </c>
      <c r="C39" s="240">
        <v>2024</v>
      </c>
      <c r="D39" s="241">
        <f t="shared" ref="D39:I39" si="4">C39+1</f>
        <v>2025</v>
      </c>
      <c r="E39" s="241">
        <f t="shared" si="4"/>
        <v>2026</v>
      </c>
      <c r="F39" s="241">
        <f t="shared" si="4"/>
        <v>2027</v>
      </c>
      <c r="G39" s="241">
        <f t="shared" si="4"/>
        <v>2028</v>
      </c>
      <c r="H39" s="241">
        <f t="shared" si="4"/>
        <v>2029</v>
      </c>
      <c r="I39" s="241">
        <f t="shared" si="4"/>
        <v>2030</v>
      </c>
      <c r="J39" s="241">
        <f t="shared" ref="J39:R39" si="5">I39+1</f>
        <v>2031</v>
      </c>
      <c r="K39" s="241">
        <f t="shared" si="5"/>
        <v>2032</v>
      </c>
      <c r="L39" s="241">
        <f t="shared" si="5"/>
        <v>2033</v>
      </c>
      <c r="M39" s="241">
        <f t="shared" si="5"/>
        <v>2034</v>
      </c>
      <c r="N39" s="241">
        <f t="shared" si="5"/>
        <v>2035</v>
      </c>
      <c r="O39" s="241">
        <f t="shared" si="5"/>
        <v>2036</v>
      </c>
      <c r="P39" s="241">
        <f t="shared" si="5"/>
        <v>2037</v>
      </c>
      <c r="Q39" s="241">
        <f t="shared" si="5"/>
        <v>2038</v>
      </c>
      <c r="R39" s="241">
        <f t="shared" si="5"/>
        <v>2039</v>
      </c>
    </row>
    <row r="40" spans="2:18">
      <c r="B40" s="221" t="s">
        <v>72</v>
      </c>
      <c r="C40" s="222"/>
      <c r="D40" s="242">
        <f t="shared" ref="D40:R40" si="6">IF(D23&gt;$E$6,0,1)</f>
        <v>1</v>
      </c>
      <c r="E40" s="242">
        <f t="shared" si="6"/>
        <v>1</v>
      </c>
      <c r="F40" s="242">
        <f t="shared" si="6"/>
        <v>1</v>
      </c>
      <c r="G40" s="242">
        <f t="shared" si="6"/>
        <v>1</v>
      </c>
      <c r="H40" s="242">
        <f t="shared" si="6"/>
        <v>1</v>
      </c>
      <c r="I40" s="242">
        <f t="shared" si="6"/>
        <v>1</v>
      </c>
      <c r="J40" s="242">
        <f t="shared" si="6"/>
        <v>1</v>
      </c>
      <c r="K40" s="242">
        <f t="shared" si="6"/>
        <v>1</v>
      </c>
      <c r="L40" s="242">
        <f t="shared" si="6"/>
        <v>1</v>
      </c>
      <c r="M40" s="242">
        <f t="shared" si="6"/>
        <v>1</v>
      </c>
      <c r="N40" s="242">
        <f t="shared" si="6"/>
        <v>1</v>
      </c>
      <c r="O40" s="242">
        <f t="shared" si="6"/>
        <v>1</v>
      </c>
      <c r="P40" s="242">
        <f t="shared" si="6"/>
        <v>1</v>
      </c>
      <c r="Q40" s="242">
        <f t="shared" si="6"/>
        <v>1</v>
      </c>
      <c r="R40" s="242">
        <f t="shared" si="6"/>
        <v>1</v>
      </c>
    </row>
    <row r="41" spans="2:18">
      <c r="B41" s="243"/>
      <c r="C41" s="243"/>
      <c r="D41" s="244"/>
      <c r="E41" s="244"/>
      <c r="F41" s="244"/>
      <c r="G41" s="244"/>
      <c r="H41" s="244"/>
      <c r="I41" s="244"/>
    </row>
    <row r="42" spans="2:18" ht="15">
      <c r="B42" s="245"/>
      <c r="C42" s="245"/>
    </row>
    <row r="43" spans="2:18" ht="17.5">
      <c r="B43" s="246" t="s">
        <v>113</v>
      </c>
      <c r="C43" s="245"/>
    </row>
    <row r="44" spans="2:18" s="161" customFormat="1" ht="18.75" customHeight="1">
      <c r="B44" s="247" t="s">
        <v>92</v>
      </c>
      <c r="C44" s="248"/>
      <c r="D44" s="249">
        <f>D39</f>
        <v>2025</v>
      </c>
      <c r="E44" s="249">
        <f>D44+1</f>
        <v>2026</v>
      </c>
      <c r="F44" s="249">
        <f>E44+1</f>
        <v>2027</v>
      </c>
      <c r="G44" s="249">
        <f>F44+1</f>
        <v>2028</v>
      </c>
      <c r="H44" s="249">
        <f>G44+1</f>
        <v>2029</v>
      </c>
      <c r="I44" s="249">
        <f>H44+1</f>
        <v>2030</v>
      </c>
      <c r="J44" s="249">
        <f t="shared" ref="J44" si="7">I44+1</f>
        <v>2031</v>
      </c>
      <c r="K44" s="249">
        <f t="shared" ref="K44" si="8">J44+1</f>
        <v>2032</v>
      </c>
      <c r="L44" s="249">
        <f t="shared" ref="L44" si="9">K44+1</f>
        <v>2033</v>
      </c>
      <c r="M44" s="249">
        <f t="shared" ref="M44" si="10">L44+1</f>
        <v>2034</v>
      </c>
      <c r="N44" s="249">
        <f t="shared" ref="N44" si="11">M44+1</f>
        <v>2035</v>
      </c>
      <c r="O44" s="249">
        <f t="shared" ref="O44" si="12">N44+1</f>
        <v>2036</v>
      </c>
      <c r="P44" s="249">
        <f t="shared" ref="P44" si="13">O44+1</f>
        <v>2037</v>
      </c>
      <c r="Q44" s="249">
        <f t="shared" ref="Q44" si="14">P44+1</f>
        <v>2038</v>
      </c>
      <c r="R44" s="249">
        <f t="shared" ref="R44" si="15">Q44+1</f>
        <v>2039</v>
      </c>
    </row>
    <row r="45" spans="2:18" s="161" customFormat="1" ht="18.75" customHeight="1">
      <c r="B45" s="250" t="s">
        <v>114</v>
      </c>
      <c r="C45" s="251"/>
      <c r="D45" s="252">
        <f>Datasumsi!$F$25</f>
        <v>9841467.9299999997</v>
      </c>
      <c r="E45" s="253">
        <f>D45*(1+E46)</f>
        <v>9841467.9299999997</v>
      </c>
      <c r="F45" s="253">
        <f t="shared" ref="F45:R45" si="16">E45*(1+F46)</f>
        <v>9841467.9299999997</v>
      </c>
      <c r="G45" s="253">
        <f t="shared" si="16"/>
        <v>9841467.9299999997</v>
      </c>
      <c r="H45" s="253">
        <f t="shared" si="16"/>
        <v>9841467.9299999997</v>
      </c>
      <c r="I45" s="253">
        <f t="shared" si="16"/>
        <v>9939882.6093000006</v>
      </c>
      <c r="J45" s="253">
        <f t="shared" si="16"/>
        <v>9939882.6093000006</v>
      </c>
      <c r="K45" s="253">
        <f t="shared" si="16"/>
        <v>9939882.6093000006</v>
      </c>
      <c r="L45" s="253">
        <f t="shared" si="16"/>
        <v>9939882.6093000006</v>
      </c>
      <c r="M45" s="253">
        <f t="shared" si="16"/>
        <v>9939882.6093000006</v>
      </c>
      <c r="N45" s="253">
        <f t="shared" si="16"/>
        <v>9939882.6093000006</v>
      </c>
      <c r="O45" s="253">
        <f t="shared" si="16"/>
        <v>10039281.435393</v>
      </c>
      <c r="P45" s="253">
        <f t="shared" si="16"/>
        <v>10039281.435393</v>
      </c>
      <c r="Q45" s="253">
        <f t="shared" si="16"/>
        <v>10039281.435393</v>
      </c>
      <c r="R45" s="253">
        <f t="shared" si="16"/>
        <v>10039281.435393</v>
      </c>
    </row>
    <row r="46" spans="2:18" ht="15">
      <c r="B46" s="250" t="s">
        <v>124</v>
      </c>
      <c r="C46" s="251"/>
      <c r="D46" s="254">
        <v>0</v>
      </c>
      <c r="E46" s="255">
        <f>D46</f>
        <v>0</v>
      </c>
      <c r="F46" s="255">
        <f t="shared" ref="F46:H46" si="17">E46</f>
        <v>0</v>
      </c>
      <c r="G46" s="255">
        <f t="shared" si="17"/>
        <v>0</v>
      </c>
      <c r="H46" s="255">
        <f t="shared" si="17"/>
        <v>0</v>
      </c>
      <c r="I46" s="255">
        <v>0.01</v>
      </c>
      <c r="J46" s="255">
        <v>0</v>
      </c>
      <c r="K46" s="255">
        <f>J46</f>
        <v>0</v>
      </c>
      <c r="L46" s="255">
        <f t="shared" ref="L46:N46" si="18">K46</f>
        <v>0</v>
      </c>
      <c r="M46" s="255">
        <f t="shared" si="18"/>
        <v>0</v>
      </c>
      <c r="N46" s="255">
        <f t="shared" si="18"/>
        <v>0</v>
      </c>
      <c r="O46" s="255">
        <v>0.01</v>
      </c>
      <c r="P46" s="255">
        <v>0</v>
      </c>
      <c r="Q46" s="255">
        <f>P46</f>
        <v>0</v>
      </c>
      <c r="R46" s="255">
        <f>Q46</f>
        <v>0</v>
      </c>
    </row>
    <row r="47" spans="2:18" ht="15">
      <c r="B47" s="245"/>
      <c r="C47" s="245"/>
      <c r="D47" s="256">
        <f>D45-D52</f>
        <v>8621967.9299999997</v>
      </c>
    </row>
    <row r="48" spans="2:18" ht="17.5">
      <c r="B48" s="257" t="s">
        <v>161</v>
      </c>
      <c r="C48" s="258"/>
      <c r="D48" s="259"/>
      <c r="E48" s="259"/>
      <c r="F48" s="259"/>
      <c r="G48" s="259"/>
      <c r="H48" s="259"/>
      <c r="I48" s="259"/>
    </row>
    <row r="49" spans="2:19" s="161" customFormat="1" ht="18.75" customHeight="1">
      <c r="B49" s="247" t="s">
        <v>92</v>
      </c>
      <c r="C49" s="248"/>
      <c r="D49" s="249">
        <f>D39</f>
        <v>2025</v>
      </c>
      <c r="E49" s="249">
        <f>D49+1</f>
        <v>2026</v>
      </c>
      <c r="F49" s="249">
        <f>E49+1</f>
        <v>2027</v>
      </c>
      <c r="G49" s="249">
        <f>F49+1</f>
        <v>2028</v>
      </c>
      <c r="H49" s="249">
        <f>G49+1</f>
        <v>2029</v>
      </c>
      <c r="I49" s="249">
        <f>H49+1</f>
        <v>2030</v>
      </c>
      <c r="J49" s="249">
        <f t="shared" ref="J49" si="19">I49+1</f>
        <v>2031</v>
      </c>
      <c r="K49" s="249">
        <f t="shared" ref="K49" si="20">J49+1</f>
        <v>2032</v>
      </c>
      <c r="L49" s="249">
        <f t="shared" ref="L49" si="21">K49+1</f>
        <v>2033</v>
      </c>
      <c r="M49" s="249">
        <f t="shared" ref="M49" si="22">L49+1</f>
        <v>2034</v>
      </c>
      <c r="N49" s="249">
        <f t="shared" ref="N49" si="23">M49+1</f>
        <v>2035</v>
      </c>
      <c r="O49" s="249">
        <f t="shared" ref="O49" si="24">N49+1</f>
        <v>2036</v>
      </c>
      <c r="P49" s="249">
        <f t="shared" ref="P49" si="25">O49+1</f>
        <v>2037</v>
      </c>
      <c r="Q49" s="249">
        <f t="shared" ref="Q49" si="26">P49+1</f>
        <v>2038</v>
      </c>
      <c r="R49" s="249">
        <f t="shared" ref="R49" si="27">Q49+1</f>
        <v>2039</v>
      </c>
    </row>
    <row r="50" spans="2:19" s="161" customFormat="1" ht="18.75" customHeight="1">
      <c r="B50" s="250" t="s">
        <v>91</v>
      </c>
      <c r="C50" s="251"/>
      <c r="D50" s="260">
        <f>Datasumsi!$F$12</f>
        <v>1219500</v>
      </c>
      <c r="E50" s="253">
        <f>Datasumsi!F12</f>
        <v>1219500</v>
      </c>
      <c r="F50" s="253">
        <f t="shared" ref="F50:R50" si="28">E50*(1-F51)</f>
        <v>1219500</v>
      </c>
      <c r="G50" s="253">
        <f t="shared" si="28"/>
        <v>1219500</v>
      </c>
      <c r="H50" s="253">
        <f t="shared" si="28"/>
        <v>1219500</v>
      </c>
      <c r="I50" s="253">
        <f t="shared" si="28"/>
        <v>1219500</v>
      </c>
      <c r="J50" s="253">
        <f t="shared" si="28"/>
        <v>1219500</v>
      </c>
      <c r="K50" s="253">
        <f t="shared" si="28"/>
        <v>1219500</v>
      </c>
      <c r="L50" s="253">
        <f t="shared" si="28"/>
        <v>1219500</v>
      </c>
      <c r="M50" s="253">
        <f t="shared" si="28"/>
        <v>1219500</v>
      </c>
      <c r="N50" s="253">
        <f t="shared" si="28"/>
        <v>1207305</v>
      </c>
      <c r="O50" s="253">
        <f t="shared" si="28"/>
        <v>1195231.95</v>
      </c>
      <c r="P50" s="253">
        <f t="shared" si="28"/>
        <v>1183279.6305</v>
      </c>
      <c r="Q50" s="253">
        <f t="shared" si="28"/>
        <v>1171446.8341949999</v>
      </c>
      <c r="R50" s="253">
        <f t="shared" si="28"/>
        <v>1159732.3658530498</v>
      </c>
    </row>
    <row r="51" spans="2:19" s="161" customFormat="1" ht="18.75" customHeight="1">
      <c r="B51" s="250" t="s">
        <v>73</v>
      </c>
      <c r="C51" s="251"/>
      <c r="D51" s="261"/>
      <c r="E51" s="261">
        <v>0</v>
      </c>
      <c r="F51" s="261">
        <f>E51</f>
        <v>0</v>
      </c>
      <c r="G51" s="261">
        <f>F51</f>
        <v>0</v>
      </c>
      <c r="H51" s="261">
        <f>G51</f>
        <v>0</v>
      </c>
      <c r="I51" s="261">
        <f>H51</f>
        <v>0</v>
      </c>
      <c r="J51" s="261">
        <f t="shared" ref="J51:R51" si="29">I51</f>
        <v>0</v>
      </c>
      <c r="K51" s="261">
        <f t="shared" si="29"/>
        <v>0</v>
      </c>
      <c r="L51" s="261">
        <f t="shared" si="29"/>
        <v>0</v>
      </c>
      <c r="M51" s="261">
        <f t="shared" si="29"/>
        <v>0</v>
      </c>
      <c r="N51" s="261">
        <v>0.01</v>
      </c>
      <c r="O51" s="261">
        <f>N51</f>
        <v>0.01</v>
      </c>
      <c r="P51" s="261">
        <f t="shared" si="29"/>
        <v>0.01</v>
      </c>
      <c r="Q51" s="261">
        <f t="shared" si="29"/>
        <v>0.01</v>
      </c>
      <c r="R51" s="261">
        <f t="shared" si="29"/>
        <v>0.01</v>
      </c>
    </row>
    <row r="52" spans="2:19" s="161" customFormat="1" ht="18.75" customHeight="1">
      <c r="B52" s="262" t="s">
        <v>138</v>
      </c>
      <c r="C52" s="263">
        <f>Datasumsi!F8</f>
        <v>1</v>
      </c>
      <c r="D52" s="264">
        <f>$C$52*D50</f>
        <v>1219500</v>
      </c>
      <c r="E52" s="264">
        <f t="shared" ref="E52:R52" si="30">$C$52*E50</f>
        <v>1219500</v>
      </c>
      <c r="F52" s="264">
        <f t="shared" si="30"/>
        <v>1219500</v>
      </c>
      <c r="G52" s="264">
        <f t="shared" si="30"/>
        <v>1219500</v>
      </c>
      <c r="H52" s="264">
        <f t="shared" si="30"/>
        <v>1219500</v>
      </c>
      <c r="I52" s="264">
        <f t="shared" si="30"/>
        <v>1219500</v>
      </c>
      <c r="J52" s="264">
        <f t="shared" si="30"/>
        <v>1219500</v>
      </c>
      <c r="K52" s="264">
        <f t="shared" si="30"/>
        <v>1219500</v>
      </c>
      <c r="L52" s="264">
        <f t="shared" si="30"/>
        <v>1219500</v>
      </c>
      <c r="M52" s="264">
        <f t="shared" si="30"/>
        <v>1219500</v>
      </c>
      <c r="N52" s="264">
        <f t="shared" si="30"/>
        <v>1207305</v>
      </c>
      <c r="O52" s="264">
        <f t="shared" si="30"/>
        <v>1195231.95</v>
      </c>
      <c r="P52" s="264">
        <f t="shared" si="30"/>
        <v>1183279.6305</v>
      </c>
      <c r="Q52" s="264">
        <f t="shared" si="30"/>
        <v>1171446.8341949999</v>
      </c>
      <c r="R52" s="264">
        <f t="shared" si="30"/>
        <v>1159732.3658530498</v>
      </c>
    </row>
    <row r="53" spans="2:19" s="161" customFormat="1" ht="18.75" customHeight="1">
      <c r="B53" s="265"/>
      <c r="C53" s="266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</row>
    <row r="54" spans="2:19" s="161" customFormat="1" ht="18.75" customHeight="1">
      <c r="B54" s="268" t="s">
        <v>125</v>
      </c>
      <c r="C54" s="269"/>
      <c r="D54" s="270">
        <f>IF(D45&lt;=D52,D45,D52)</f>
        <v>1219500</v>
      </c>
      <c r="E54" s="270">
        <f t="shared" ref="E54:R54" si="31">IF(E45&lt;=E52,E45,E52)</f>
        <v>1219500</v>
      </c>
      <c r="F54" s="270">
        <f t="shared" si="31"/>
        <v>1219500</v>
      </c>
      <c r="G54" s="270">
        <f t="shared" si="31"/>
        <v>1219500</v>
      </c>
      <c r="H54" s="270">
        <f t="shared" si="31"/>
        <v>1219500</v>
      </c>
      <c r="I54" s="270">
        <f t="shared" si="31"/>
        <v>1219500</v>
      </c>
      <c r="J54" s="270">
        <f t="shared" si="31"/>
        <v>1219500</v>
      </c>
      <c r="K54" s="270">
        <f t="shared" si="31"/>
        <v>1219500</v>
      </c>
      <c r="L54" s="270">
        <f t="shared" si="31"/>
        <v>1219500</v>
      </c>
      <c r="M54" s="270">
        <f t="shared" si="31"/>
        <v>1219500</v>
      </c>
      <c r="N54" s="270">
        <f t="shared" si="31"/>
        <v>1207305</v>
      </c>
      <c r="O54" s="270">
        <f t="shared" si="31"/>
        <v>1195231.95</v>
      </c>
      <c r="P54" s="270">
        <f t="shared" si="31"/>
        <v>1183279.6305</v>
      </c>
      <c r="Q54" s="270">
        <f t="shared" si="31"/>
        <v>1171446.8341949999</v>
      </c>
      <c r="R54" s="270">
        <f t="shared" si="31"/>
        <v>1159732.3658530498</v>
      </c>
    </row>
    <row r="55" spans="2:19" s="161" customFormat="1" ht="20.5" customHeight="1">
      <c r="B55" s="271" t="s">
        <v>115</v>
      </c>
      <c r="C55" s="272"/>
      <c r="D55" s="273">
        <f>Datasumsi!$F$13</f>
        <v>9464.8092378310503</v>
      </c>
      <c r="E55" s="274">
        <f t="shared" ref="E55" si="32">D55*(1+E56)</f>
        <v>9796.0775611551362</v>
      </c>
      <c r="F55" s="274">
        <f t="shared" ref="F55" si="33">E55*(1+F56)</f>
        <v>10138.940275795565</v>
      </c>
      <c r="G55" s="274">
        <f t="shared" ref="G55" si="34">F55*(1+G56)</f>
        <v>10493.803185448409</v>
      </c>
      <c r="H55" s="274">
        <f t="shared" ref="H55" si="35">G55*(1+H56)</f>
        <v>10861.086296939102</v>
      </c>
      <c r="I55" s="274">
        <f t="shared" ref="I55" si="36">H55*(1+I56)</f>
        <v>11241.224317331969</v>
      </c>
      <c r="J55" s="274">
        <f t="shared" ref="J55" si="37">I55*(1+J56)</f>
        <v>11634.667168438587</v>
      </c>
      <c r="K55" s="274">
        <f t="shared" ref="K55" si="38">J55*(1+K56)</f>
        <v>12041.880519333938</v>
      </c>
      <c r="L55" s="274">
        <f t="shared" ref="L55" si="39">K55*(1+L56)</f>
        <v>12463.346337510624</v>
      </c>
      <c r="M55" s="274">
        <f t="shared" ref="M55" si="40">L55*(1+M56)</f>
        <v>12899.563459323495</v>
      </c>
      <c r="N55" s="274">
        <f t="shared" ref="N55" si="41">M55*(1+N56)</f>
        <v>13351.048180399817</v>
      </c>
      <c r="O55" s="274">
        <f t="shared" ref="O55" si="42">N55*(1+O56)</f>
        <v>13818.334866713811</v>
      </c>
      <c r="P55" s="274">
        <f t="shared" ref="P55" si="43">O55*(1+P56)</f>
        <v>14301.976587048794</v>
      </c>
      <c r="Q55" s="274">
        <f t="shared" ref="Q55" si="44">P55*(1+Q56)</f>
        <v>14802.5457675955</v>
      </c>
      <c r="R55" s="274">
        <f t="shared" ref="R55" si="45">Q55*(1+R56)</f>
        <v>15320.634869461343</v>
      </c>
    </row>
    <row r="56" spans="2:19" s="161" customFormat="1" ht="20.5" customHeight="1">
      <c r="B56" s="271" t="s">
        <v>116</v>
      </c>
      <c r="C56" s="272"/>
      <c r="D56" s="275"/>
      <c r="E56" s="276">
        <v>3.5000000000000003E-2</v>
      </c>
      <c r="F56" s="276">
        <f>E56</f>
        <v>3.5000000000000003E-2</v>
      </c>
      <c r="G56" s="276">
        <f>F56</f>
        <v>3.5000000000000003E-2</v>
      </c>
      <c r="H56" s="276">
        <f>G56</f>
        <v>3.5000000000000003E-2</v>
      </c>
      <c r="I56" s="276">
        <f>H56</f>
        <v>3.5000000000000003E-2</v>
      </c>
      <c r="J56" s="276">
        <f t="shared" ref="J56:R56" si="46">I56</f>
        <v>3.5000000000000003E-2</v>
      </c>
      <c r="K56" s="276">
        <f t="shared" si="46"/>
        <v>3.5000000000000003E-2</v>
      </c>
      <c r="L56" s="276">
        <f t="shared" si="46"/>
        <v>3.5000000000000003E-2</v>
      </c>
      <c r="M56" s="276">
        <f t="shared" si="46"/>
        <v>3.5000000000000003E-2</v>
      </c>
      <c r="N56" s="276">
        <f t="shared" si="46"/>
        <v>3.5000000000000003E-2</v>
      </c>
      <c r="O56" s="276">
        <f t="shared" si="46"/>
        <v>3.5000000000000003E-2</v>
      </c>
      <c r="P56" s="276">
        <f t="shared" si="46"/>
        <v>3.5000000000000003E-2</v>
      </c>
      <c r="Q56" s="276">
        <f t="shared" si="46"/>
        <v>3.5000000000000003E-2</v>
      </c>
      <c r="R56" s="276">
        <f t="shared" si="46"/>
        <v>3.5000000000000003E-2</v>
      </c>
    </row>
    <row r="57" spans="2:19" s="161" customFormat="1" ht="20.5" customHeight="1">
      <c r="B57" s="277" t="s">
        <v>74</v>
      </c>
      <c r="C57" s="278"/>
      <c r="D57" s="279">
        <f t="shared" ref="D57:R57" si="47">D54*D55/1000000000</f>
        <v>11.542334865534965</v>
      </c>
      <c r="E57" s="279">
        <f t="shared" si="47"/>
        <v>11.946316585828688</v>
      </c>
      <c r="F57" s="279">
        <f t="shared" si="47"/>
        <v>12.364437666332691</v>
      </c>
      <c r="G57" s="279">
        <f t="shared" si="47"/>
        <v>12.797192984654336</v>
      </c>
      <c r="H57" s="279">
        <f t="shared" si="47"/>
        <v>13.245094739117235</v>
      </c>
      <c r="I57" s="279">
        <f t="shared" si="47"/>
        <v>13.708673054986336</v>
      </c>
      <c r="J57" s="279">
        <f t="shared" si="47"/>
        <v>14.188476611910858</v>
      </c>
      <c r="K57" s="279">
        <f t="shared" si="47"/>
        <v>14.685073293327738</v>
      </c>
      <c r="L57" s="279">
        <f t="shared" si="47"/>
        <v>15.199050858594205</v>
      </c>
      <c r="M57" s="279">
        <f t="shared" si="47"/>
        <v>15.731017638645003</v>
      </c>
      <c r="N57" s="279">
        <f t="shared" si="47"/>
        <v>16.1187872234376</v>
      </c>
      <c r="O57" s="279">
        <f t="shared" si="47"/>
        <v>16.516115328495335</v>
      </c>
      <c r="P57" s="279">
        <f t="shared" si="47"/>
        <v>16.923237571342746</v>
      </c>
      <c r="Q57" s="279">
        <f t="shared" si="47"/>
        <v>17.340395377476344</v>
      </c>
      <c r="R57" s="279">
        <f t="shared" si="47"/>
        <v>17.767836123531133</v>
      </c>
      <c r="S57" s="363">
        <f>SUM(D57:R57)</f>
        <v>220.07403992321525</v>
      </c>
    </row>
    <row r="58" spans="2:19">
      <c r="B58" s="280" t="s">
        <v>242</v>
      </c>
      <c r="C58" s="280"/>
      <c r="D58" s="281">
        <f>D57/(1+$M$11)^D23</f>
        <v>10.555404540955616</v>
      </c>
      <c r="E58" s="281">
        <f t="shared" ref="E58:R58" si="48">E57/(1+$M$11)^E23</f>
        <v>9.9907121169538744</v>
      </c>
      <c r="F58" s="281">
        <f t="shared" si="48"/>
        <v>9.4562295757176589</v>
      </c>
      <c r="G58" s="281">
        <f t="shared" si="48"/>
        <v>8.9503407506792669</v>
      </c>
      <c r="H58" s="281">
        <f t="shared" si="48"/>
        <v>8.4715159368569175</v>
      </c>
      <c r="I58" s="281">
        <f t="shared" si="48"/>
        <v>8.0183072653378229</v>
      </c>
      <c r="J58" s="281">
        <f t="shared" si="48"/>
        <v>7.5893443252168691</v>
      </c>
      <c r="K58" s="281">
        <f t="shared" si="48"/>
        <v>7.1833300197525931</v>
      </c>
      <c r="L58" s="281">
        <f t="shared" si="48"/>
        <v>6.7990366442102719</v>
      </c>
      <c r="M58" s="281">
        <f t="shared" si="48"/>
        <v>6.4353021735323566</v>
      </c>
      <c r="N58" s="281">
        <f t="shared" si="48"/>
        <v>6.0301164811247627</v>
      </c>
      <c r="O58" s="281">
        <f t="shared" si="48"/>
        <v>5.6504424804613516</v>
      </c>
      <c r="P58" s="281">
        <f t="shared" si="48"/>
        <v>5.2946738798397117</v>
      </c>
      <c r="Q58" s="281">
        <f t="shared" si="48"/>
        <v>4.9613055244423965</v>
      </c>
      <c r="R58" s="281">
        <f t="shared" si="48"/>
        <v>4.6489270284589859</v>
      </c>
    </row>
    <row r="59" spans="2:19" s="161" customFormat="1" ht="22.9" customHeight="1">
      <c r="B59" s="282" t="s">
        <v>160</v>
      </c>
      <c r="C59" s="229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3"/>
      <c r="P59" s="283"/>
      <c r="Q59" s="283"/>
      <c r="R59" s="283"/>
    </row>
    <row r="60" spans="2:19" s="161" customFormat="1" ht="22.9" customHeight="1">
      <c r="B60" s="271" t="s">
        <v>117</v>
      </c>
      <c r="C60" s="272"/>
      <c r="D60" s="284">
        <f>Datasumsi!$F$19</f>
        <v>14326.849537037</v>
      </c>
      <c r="E60" s="274">
        <f>D60*(1+E61)</f>
        <v>14828.289270833295</v>
      </c>
      <c r="F60" s="274">
        <f t="shared" ref="F60:R60" si="49">E60*(1+F61)</f>
        <v>15347.279395312458</v>
      </c>
      <c r="G60" s="274">
        <f t="shared" si="49"/>
        <v>15884.434174148393</v>
      </c>
      <c r="H60" s="274">
        <f t="shared" si="49"/>
        <v>16440.389370243585</v>
      </c>
      <c r="I60" s="274">
        <f t="shared" si="49"/>
        <v>17015.802998202111</v>
      </c>
      <c r="J60" s="274">
        <f t="shared" si="49"/>
        <v>17611.356103139184</v>
      </c>
      <c r="K60" s="274">
        <f t="shared" si="49"/>
        <v>18227.753566749052</v>
      </c>
      <c r="L60" s="274">
        <f t="shared" si="49"/>
        <v>18865.724941585268</v>
      </c>
      <c r="M60" s="274">
        <f t="shared" si="49"/>
        <v>19526.025314540751</v>
      </c>
      <c r="N60" s="274">
        <f t="shared" si="49"/>
        <v>20209.436200549677</v>
      </c>
      <c r="O60" s="274">
        <f t="shared" si="49"/>
        <v>20916.766467568916</v>
      </c>
      <c r="P60" s="274">
        <f t="shared" si="49"/>
        <v>21648.853293933826</v>
      </c>
      <c r="Q60" s="274">
        <f t="shared" si="49"/>
        <v>22406.563159221507</v>
      </c>
      <c r="R60" s="274">
        <f t="shared" si="49"/>
        <v>23190.792869794259</v>
      </c>
    </row>
    <row r="61" spans="2:19" s="161" customFormat="1" ht="22.9" customHeight="1">
      <c r="B61" s="271" t="s">
        <v>118</v>
      </c>
      <c r="C61" s="272"/>
      <c r="D61" s="274">
        <v>0</v>
      </c>
      <c r="E61" s="276">
        <v>3.5000000000000003E-2</v>
      </c>
      <c r="F61" s="276">
        <f>E61</f>
        <v>3.5000000000000003E-2</v>
      </c>
      <c r="G61" s="276">
        <f>F61</f>
        <v>3.5000000000000003E-2</v>
      </c>
      <c r="H61" s="276">
        <f>G61</f>
        <v>3.5000000000000003E-2</v>
      </c>
      <c r="I61" s="276">
        <f>H61</f>
        <v>3.5000000000000003E-2</v>
      </c>
      <c r="J61" s="276">
        <f t="shared" ref="J61:R61" si="50">I61</f>
        <v>3.5000000000000003E-2</v>
      </c>
      <c r="K61" s="276">
        <f t="shared" si="50"/>
        <v>3.5000000000000003E-2</v>
      </c>
      <c r="L61" s="276">
        <f t="shared" si="50"/>
        <v>3.5000000000000003E-2</v>
      </c>
      <c r="M61" s="276">
        <f t="shared" si="50"/>
        <v>3.5000000000000003E-2</v>
      </c>
      <c r="N61" s="276">
        <f t="shared" si="50"/>
        <v>3.5000000000000003E-2</v>
      </c>
      <c r="O61" s="276">
        <f t="shared" si="50"/>
        <v>3.5000000000000003E-2</v>
      </c>
      <c r="P61" s="276">
        <f t="shared" si="50"/>
        <v>3.5000000000000003E-2</v>
      </c>
      <c r="Q61" s="276">
        <f t="shared" si="50"/>
        <v>3.5000000000000003E-2</v>
      </c>
      <c r="R61" s="276">
        <f t="shared" si="50"/>
        <v>3.5000000000000003E-2</v>
      </c>
    </row>
    <row r="62" spans="2:19" s="161" customFormat="1" ht="22.9" customHeight="1">
      <c r="B62" s="285" t="s">
        <v>74</v>
      </c>
      <c r="C62" s="286"/>
      <c r="D62" s="287">
        <f t="shared" ref="D62:R62" si="51">D54*D60/1000000000</f>
        <v>17.471593010416623</v>
      </c>
      <c r="E62" s="287">
        <f t="shared" si="51"/>
        <v>18.083098765781205</v>
      </c>
      <c r="F62" s="287">
        <f t="shared" si="51"/>
        <v>18.716007222583542</v>
      </c>
      <c r="G62" s="287">
        <f t="shared" si="51"/>
        <v>19.371067475373966</v>
      </c>
      <c r="H62" s="287">
        <f t="shared" si="51"/>
        <v>20.049054837012051</v>
      </c>
      <c r="I62" s="287">
        <f t="shared" si="51"/>
        <v>20.750771756307472</v>
      </c>
      <c r="J62" s="287">
        <f t="shared" si="51"/>
        <v>21.477048767778236</v>
      </c>
      <c r="K62" s="287">
        <f t="shared" si="51"/>
        <v>22.22874547465047</v>
      </c>
      <c r="L62" s="287">
        <f>L54*L60/1000000000</f>
        <v>23.006751566263233</v>
      </c>
      <c r="M62" s="287">
        <f>M54*M60/1000000000</f>
        <v>23.811987871082447</v>
      </c>
      <c r="N62" s="287">
        <f t="shared" si="51"/>
        <v>24.398953372104629</v>
      </c>
      <c r="O62" s="287">
        <f t="shared" si="51"/>
        <v>25.000387572727004</v>
      </c>
      <c r="P62" s="287">
        <f t="shared" si="51"/>
        <v>25.616647126394724</v>
      </c>
      <c r="Q62" s="287">
        <f t="shared" si="51"/>
        <v>26.248097478060348</v>
      </c>
      <c r="R62" s="287">
        <f t="shared" si="51"/>
        <v>26.895113080894536</v>
      </c>
      <c r="S62" s="363">
        <f>SUM(D62:R62)</f>
        <v>333.12532537743044</v>
      </c>
    </row>
    <row r="63" spans="2:19">
      <c r="B63" s="288" t="s">
        <v>173</v>
      </c>
      <c r="C63" s="288"/>
      <c r="D63" s="289">
        <f>D62/(1+$M$11)^D23</f>
        <v>15.977679936366368</v>
      </c>
      <c r="E63" s="290">
        <f t="shared" ref="E63:R63" si="52">E62/(1+$M$11)^E23</f>
        <v>15.122906935655411</v>
      </c>
      <c r="F63" s="290">
        <f t="shared" si="52"/>
        <v>14.313862531690305</v>
      </c>
      <c r="G63" s="290">
        <f t="shared" si="52"/>
        <v>13.548100338636914</v>
      </c>
      <c r="H63" s="290">
        <f t="shared" si="52"/>
        <v>12.823304847269505</v>
      </c>
      <c r="I63" s="290">
        <f t="shared" si="52"/>
        <v>12.137284423341507</v>
      </c>
      <c r="J63" s="290">
        <f t="shared" si="52"/>
        <v>11.487964680529</v>
      </c>
      <c r="K63" s="290">
        <f t="shared" si="52"/>
        <v>10.873382207908106</v>
      </c>
      <c r="L63" s="290">
        <f t="shared" si="52"/>
        <v>10.291678632999441</v>
      </c>
      <c r="M63" s="290">
        <f t="shared" si="52"/>
        <v>9.7410950024274552</v>
      </c>
      <c r="N63" s="290">
        <f t="shared" si="52"/>
        <v>9.1277667985709119</v>
      </c>
      <c r="O63" s="290">
        <f t="shared" si="52"/>
        <v>8.5530555556979273</v>
      </c>
      <c r="P63" s="290">
        <f t="shared" si="52"/>
        <v>8.0145298355243551</v>
      </c>
      <c r="Q63" s="290">
        <f t="shared" si="52"/>
        <v>7.5099112903246716</v>
      </c>
      <c r="R63" s="290">
        <f t="shared" si="52"/>
        <v>7.0370650238968224</v>
      </c>
    </row>
    <row r="64" spans="2:19">
      <c r="B64" s="291"/>
      <c r="C64" s="291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</row>
    <row r="65" spans="2:19" s="161" customFormat="1" ht="19.899999999999999" customHeight="1">
      <c r="B65" s="293" t="s">
        <v>59</v>
      </c>
      <c r="C65" s="294"/>
      <c r="D65" s="295">
        <f>D62-D57</f>
        <v>5.9292581448816577</v>
      </c>
      <c r="E65" s="295">
        <f t="shared" ref="E65:R65" si="53">E62-E57</f>
        <v>6.1367821799525171</v>
      </c>
      <c r="F65" s="295">
        <f t="shared" si="53"/>
        <v>6.3515695562508512</v>
      </c>
      <c r="G65" s="295">
        <f t="shared" si="53"/>
        <v>6.5738744907196303</v>
      </c>
      <c r="H65" s="295">
        <f t="shared" si="53"/>
        <v>6.8039600978948158</v>
      </c>
      <c r="I65" s="295">
        <f t="shared" si="53"/>
        <v>7.0420987013211356</v>
      </c>
      <c r="J65" s="295">
        <f t="shared" si="53"/>
        <v>7.2885721558673779</v>
      </c>
      <c r="K65" s="295">
        <f t="shared" si="53"/>
        <v>7.5436721813227319</v>
      </c>
      <c r="L65" s="295">
        <f t="shared" si="53"/>
        <v>7.8077007076690279</v>
      </c>
      <c r="M65" s="295">
        <f t="shared" si="53"/>
        <v>8.0809702324374442</v>
      </c>
      <c r="N65" s="295">
        <f t="shared" si="53"/>
        <v>8.2801661486670284</v>
      </c>
      <c r="O65" s="295">
        <f t="shared" si="53"/>
        <v>8.4842722442316685</v>
      </c>
      <c r="P65" s="295">
        <f t="shared" si="53"/>
        <v>8.6934095550519785</v>
      </c>
      <c r="Q65" s="295">
        <f t="shared" si="53"/>
        <v>8.9077021005840038</v>
      </c>
      <c r="R65" s="295">
        <f t="shared" si="53"/>
        <v>9.1272769573634029</v>
      </c>
    </row>
    <row r="66" spans="2:19">
      <c r="B66" s="160"/>
      <c r="C66" s="160"/>
      <c r="D66" s="296"/>
      <c r="E66" s="296"/>
      <c r="F66" s="296"/>
      <c r="G66" s="296"/>
      <c r="H66" s="296"/>
      <c r="I66" s="296"/>
      <c r="J66" s="296"/>
      <c r="K66" s="296"/>
      <c r="L66" s="296"/>
      <c r="M66" s="296"/>
    </row>
    <row r="67" spans="2:19">
      <c r="B67" s="160"/>
      <c r="C67" s="160"/>
      <c r="D67" s="296"/>
      <c r="E67" s="296"/>
      <c r="F67" s="296"/>
      <c r="G67" s="296"/>
      <c r="H67" s="296"/>
      <c r="I67" s="296"/>
      <c r="J67" s="296"/>
      <c r="K67" s="296"/>
      <c r="L67" s="296"/>
      <c r="M67" s="296"/>
    </row>
    <row r="68" spans="2:19">
      <c r="B68" s="297" t="s">
        <v>75</v>
      </c>
      <c r="C68" s="298"/>
      <c r="D68" s="299">
        <f>D65</f>
        <v>5.9292581448816577</v>
      </c>
      <c r="E68" s="299">
        <f t="shared" ref="E68:R68" si="54">E65</f>
        <v>6.1367821799525171</v>
      </c>
      <c r="F68" s="299">
        <f t="shared" si="54"/>
        <v>6.3515695562508512</v>
      </c>
      <c r="G68" s="299">
        <f t="shared" si="54"/>
        <v>6.5738744907196303</v>
      </c>
      <c r="H68" s="299">
        <f t="shared" si="54"/>
        <v>6.8039600978948158</v>
      </c>
      <c r="I68" s="299">
        <f t="shared" si="54"/>
        <v>7.0420987013211356</v>
      </c>
      <c r="J68" s="299">
        <f t="shared" si="54"/>
        <v>7.2885721558673779</v>
      </c>
      <c r="K68" s="299">
        <f t="shared" si="54"/>
        <v>7.5436721813227319</v>
      </c>
      <c r="L68" s="299">
        <f t="shared" si="54"/>
        <v>7.8077007076690279</v>
      </c>
      <c r="M68" s="299">
        <f t="shared" si="54"/>
        <v>8.0809702324374442</v>
      </c>
      <c r="N68" s="299">
        <f t="shared" si="54"/>
        <v>8.2801661486670284</v>
      </c>
      <c r="O68" s="299">
        <f t="shared" si="54"/>
        <v>8.4842722442316685</v>
      </c>
      <c r="P68" s="299">
        <f t="shared" si="54"/>
        <v>8.6934095550519785</v>
      </c>
      <c r="Q68" s="299">
        <f t="shared" si="54"/>
        <v>8.9077021005840038</v>
      </c>
      <c r="R68" s="299">
        <f t="shared" si="54"/>
        <v>9.1272769573634029</v>
      </c>
    </row>
    <row r="69" spans="2:19">
      <c r="B69" s="300" t="s">
        <v>76</v>
      </c>
      <c r="C69" s="301"/>
      <c r="D69" s="302">
        <f t="shared" ref="D69:R69" si="55">D89</f>
        <v>2.4</v>
      </c>
      <c r="E69" s="302">
        <f t="shared" si="55"/>
        <v>2.4</v>
      </c>
      <c r="F69" s="302">
        <f t="shared" si="55"/>
        <v>2.4</v>
      </c>
      <c r="G69" s="302">
        <f t="shared" si="55"/>
        <v>2.4</v>
      </c>
      <c r="H69" s="302">
        <f t="shared" si="55"/>
        <v>2.4</v>
      </c>
      <c r="I69" s="302">
        <f t="shared" si="55"/>
        <v>2.4</v>
      </c>
      <c r="J69" s="302">
        <f t="shared" si="55"/>
        <v>2.4</v>
      </c>
      <c r="K69" s="302">
        <f t="shared" si="55"/>
        <v>2.4</v>
      </c>
      <c r="L69" s="302">
        <f t="shared" si="55"/>
        <v>2.4</v>
      </c>
      <c r="M69" s="302">
        <f t="shared" si="55"/>
        <v>2.4</v>
      </c>
      <c r="N69" s="302">
        <f t="shared" si="55"/>
        <v>2.4</v>
      </c>
      <c r="O69" s="302">
        <f t="shared" si="55"/>
        <v>2.4</v>
      </c>
      <c r="P69" s="302">
        <f t="shared" si="55"/>
        <v>2.4</v>
      </c>
      <c r="Q69" s="302">
        <f t="shared" si="55"/>
        <v>2.4</v>
      </c>
      <c r="R69" s="302">
        <f t="shared" si="55"/>
        <v>2.4</v>
      </c>
    </row>
    <row r="70" spans="2:19">
      <c r="B70" s="300" t="s">
        <v>77</v>
      </c>
      <c r="C70" s="301"/>
      <c r="D70" s="303">
        <f t="shared" ref="D70:R70" si="56">D68-D69</f>
        <v>3.5292581448816578</v>
      </c>
      <c r="E70" s="303">
        <f t="shared" si="56"/>
        <v>3.7367821799525172</v>
      </c>
      <c r="F70" s="303">
        <f t="shared" si="56"/>
        <v>3.9515695562508513</v>
      </c>
      <c r="G70" s="303">
        <f t="shared" si="56"/>
        <v>4.1738744907196299</v>
      </c>
      <c r="H70" s="303">
        <f t="shared" si="56"/>
        <v>4.4039600978948155</v>
      </c>
      <c r="I70" s="303">
        <f t="shared" si="56"/>
        <v>4.6420987013211352</v>
      </c>
      <c r="J70" s="303">
        <f t="shared" si="56"/>
        <v>4.8885721558673776</v>
      </c>
      <c r="K70" s="303">
        <f t="shared" si="56"/>
        <v>5.1436721813227315</v>
      </c>
      <c r="L70" s="303">
        <f t="shared" si="56"/>
        <v>5.4077007076690276</v>
      </c>
      <c r="M70" s="303">
        <f t="shared" si="56"/>
        <v>5.6809702324374438</v>
      </c>
      <c r="N70" s="303">
        <f t="shared" si="56"/>
        <v>5.880166148667028</v>
      </c>
      <c r="O70" s="303">
        <f t="shared" si="56"/>
        <v>6.0842722442316681</v>
      </c>
      <c r="P70" s="303">
        <f t="shared" si="56"/>
        <v>6.2934095550519782</v>
      </c>
      <c r="Q70" s="303">
        <f t="shared" si="56"/>
        <v>6.5077021005840034</v>
      </c>
      <c r="R70" s="303">
        <f t="shared" si="56"/>
        <v>6.7272769573634026</v>
      </c>
    </row>
    <row r="71" spans="2:19">
      <c r="B71" s="300" t="s">
        <v>78</v>
      </c>
      <c r="C71" s="301"/>
      <c r="D71" s="302">
        <f>IF(D70&lt;=0,0,$M$11*D70)</f>
        <v>0.32998563654643498</v>
      </c>
      <c r="E71" s="302">
        <f t="shared" ref="E71:R71" si="57">IF(E70&lt;=0,0,$M$11*E70)</f>
        <v>0.34938913382556036</v>
      </c>
      <c r="F71" s="302">
        <f t="shared" si="57"/>
        <v>0.3694717535094546</v>
      </c>
      <c r="G71" s="302">
        <f t="shared" si="57"/>
        <v>0.3902572648822854</v>
      </c>
      <c r="H71" s="302">
        <f t="shared" si="57"/>
        <v>0.41177026915316522</v>
      </c>
      <c r="I71" s="302">
        <f t="shared" si="57"/>
        <v>0.43403622857352614</v>
      </c>
      <c r="J71" s="302">
        <f t="shared" si="57"/>
        <v>0.45708149657359981</v>
      </c>
      <c r="K71" s="302">
        <f t="shared" si="57"/>
        <v>0.4809333489536754</v>
      </c>
      <c r="L71" s="302">
        <f t="shared" si="57"/>
        <v>0.5056200161670541</v>
      </c>
      <c r="M71" s="302">
        <f t="shared" si="57"/>
        <v>0.53117071673290095</v>
      </c>
      <c r="N71" s="302">
        <f t="shared" si="57"/>
        <v>0.54979553490036714</v>
      </c>
      <c r="O71" s="302">
        <f t="shared" si="57"/>
        <v>0.56887945483566094</v>
      </c>
      <c r="P71" s="302">
        <f t="shared" si="57"/>
        <v>0.58843379339735991</v>
      </c>
      <c r="Q71" s="302">
        <f t="shared" si="57"/>
        <v>0.60847014640460428</v>
      </c>
      <c r="R71" s="302">
        <f t="shared" si="57"/>
        <v>0.62900039551347819</v>
      </c>
    </row>
    <row r="72" spans="2:19">
      <c r="B72" s="300" t="s">
        <v>79</v>
      </c>
      <c r="C72" s="301"/>
      <c r="D72" s="302">
        <f t="shared" ref="D72:R72" si="58">D70-D71</f>
        <v>3.1992725083352229</v>
      </c>
      <c r="E72" s="302">
        <f t="shared" si="58"/>
        <v>3.3873930461269568</v>
      </c>
      <c r="F72" s="302">
        <f t="shared" si="58"/>
        <v>3.5820978027413966</v>
      </c>
      <c r="G72" s="302">
        <f t="shared" si="58"/>
        <v>3.7836172258373444</v>
      </c>
      <c r="H72" s="302">
        <f t="shared" si="58"/>
        <v>3.9921898287416502</v>
      </c>
      <c r="I72" s="302">
        <f t="shared" si="58"/>
        <v>4.208062472747609</v>
      </c>
      <c r="J72" s="302">
        <f t="shared" si="58"/>
        <v>4.4314906592937779</v>
      </c>
      <c r="K72" s="302">
        <f t="shared" si="58"/>
        <v>4.6627388323690564</v>
      </c>
      <c r="L72" s="302">
        <f t="shared" si="58"/>
        <v>4.9020806915019737</v>
      </c>
      <c r="M72" s="302">
        <f t="shared" si="58"/>
        <v>5.1497995157045429</v>
      </c>
      <c r="N72" s="302">
        <f t="shared" si="58"/>
        <v>5.3303706137666609</v>
      </c>
      <c r="O72" s="302">
        <f t="shared" si="58"/>
        <v>5.5153927893960075</v>
      </c>
      <c r="P72" s="302">
        <f t="shared" si="58"/>
        <v>5.7049757616546186</v>
      </c>
      <c r="Q72" s="302">
        <f t="shared" si="58"/>
        <v>5.8992319541793989</v>
      </c>
      <c r="R72" s="302">
        <f t="shared" si="58"/>
        <v>6.0982765618499242</v>
      </c>
    </row>
    <row r="73" spans="2:19">
      <c r="B73" s="300" t="s">
        <v>80</v>
      </c>
      <c r="C73" s="301"/>
      <c r="D73" s="302">
        <f>D69</f>
        <v>2.4</v>
      </c>
      <c r="E73" s="302">
        <f t="shared" ref="E73:R73" si="59">E69</f>
        <v>2.4</v>
      </c>
      <c r="F73" s="302">
        <f t="shared" si="59"/>
        <v>2.4</v>
      </c>
      <c r="G73" s="302">
        <f t="shared" si="59"/>
        <v>2.4</v>
      </c>
      <c r="H73" s="302">
        <f t="shared" si="59"/>
        <v>2.4</v>
      </c>
      <c r="I73" s="302">
        <f t="shared" si="59"/>
        <v>2.4</v>
      </c>
      <c r="J73" s="302">
        <f t="shared" si="59"/>
        <v>2.4</v>
      </c>
      <c r="K73" s="302">
        <f t="shared" si="59"/>
        <v>2.4</v>
      </c>
      <c r="L73" s="302">
        <f t="shared" si="59"/>
        <v>2.4</v>
      </c>
      <c r="M73" s="302">
        <f t="shared" si="59"/>
        <v>2.4</v>
      </c>
      <c r="N73" s="302">
        <f t="shared" si="59"/>
        <v>2.4</v>
      </c>
      <c r="O73" s="302">
        <f t="shared" si="59"/>
        <v>2.4</v>
      </c>
      <c r="P73" s="302">
        <f t="shared" si="59"/>
        <v>2.4</v>
      </c>
      <c r="Q73" s="302">
        <f t="shared" si="59"/>
        <v>2.4</v>
      </c>
      <c r="R73" s="302">
        <f t="shared" si="59"/>
        <v>2.4</v>
      </c>
    </row>
    <row r="74" spans="2:19">
      <c r="B74" s="304" t="s">
        <v>81</v>
      </c>
      <c r="C74" s="305"/>
      <c r="D74" s="306">
        <f t="shared" ref="D74:R74" si="60">($E$14*D65-$D$29)*D40</f>
        <v>0</v>
      </c>
      <c r="E74" s="306">
        <f t="shared" si="60"/>
        <v>0</v>
      </c>
      <c r="F74" s="306">
        <f t="shared" si="60"/>
        <v>0</v>
      </c>
      <c r="G74" s="306">
        <f t="shared" si="60"/>
        <v>0</v>
      </c>
      <c r="H74" s="306">
        <f t="shared" si="60"/>
        <v>0</v>
      </c>
      <c r="I74" s="306">
        <f t="shared" si="60"/>
        <v>0</v>
      </c>
      <c r="J74" s="306">
        <f t="shared" si="60"/>
        <v>0</v>
      </c>
      <c r="K74" s="306">
        <f t="shared" si="60"/>
        <v>0</v>
      </c>
      <c r="L74" s="306">
        <f t="shared" si="60"/>
        <v>0</v>
      </c>
      <c r="M74" s="306">
        <f t="shared" si="60"/>
        <v>0</v>
      </c>
      <c r="N74" s="306">
        <f t="shared" si="60"/>
        <v>0</v>
      </c>
      <c r="O74" s="306">
        <f t="shared" si="60"/>
        <v>0</v>
      </c>
      <c r="P74" s="306">
        <f t="shared" si="60"/>
        <v>0</v>
      </c>
      <c r="Q74" s="306">
        <f t="shared" si="60"/>
        <v>0</v>
      </c>
      <c r="R74" s="306">
        <f t="shared" si="60"/>
        <v>0</v>
      </c>
    </row>
    <row r="75" spans="2:19">
      <c r="B75" s="307" t="s">
        <v>82</v>
      </c>
      <c r="C75" s="308">
        <f>-D31</f>
        <v>-40</v>
      </c>
      <c r="D75" s="227">
        <f>D72+D73-D74+D34</f>
        <v>5.5992725083352228</v>
      </c>
      <c r="E75" s="227">
        <f t="shared" ref="E75:Q75" si="61">E72+E73-E74+E34</f>
        <v>5.7873930461269563</v>
      </c>
      <c r="F75" s="227">
        <f t="shared" si="61"/>
        <v>5.9820978027413965</v>
      </c>
      <c r="G75" s="227">
        <f t="shared" si="61"/>
        <v>6.1836172258373443</v>
      </c>
      <c r="H75" s="227">
        <f t="shared" si="61"/>
        <v>6.3921898287416496</v>
      </c>
      <c r="I75" s="227">
        <f t="shared" si="61"/>
        <v>6.6080624727476085</v>
      </c>
      <c r="J75" s="227">
        <f t="shared" si="61"/>
        <v>6.8314906592937774</v>
      </c>
      <c r="K75" s="227">
        <f t="shared" si="61"/>
        <v>7.0627388323690568</v>
      </c>
      <c r="L75" s="227">
        <f t="shared" si="61"/>
        <v>7.302080691501974</v>
      </c>
      <c r="M75" s="227">
        <f t="shared" si="61"/>
        <v>7.5497995157045423</v>
      </c>
      <c r="N75" s="227">
        <f t="shared" si="61"/>
        <v>7.7303706137666612</v>
      </c>
      <c r="O75" s="227">
        <f t="shared" si="61"/>
        <v>7.915392789396007</v>
      </c>
      <c r="P75" s="227">
        <f t="shared" si="61"/>
        <v>8.1049757616546181</v>
      </c>
      <c r="Q75" s="227">
        <f t="shared" si="61"/>
        <v>8.2992319541793993</v>
      </c>
      <c r="R75" s="227">
        <f>R72+R73-R74+R34+R90</f>
        <v>16.498276561849934</v>
      </c>
      <c r="S75" s="256">
        <f>SUM(D75:R75)</f>
        <v>113.84699026424616</v>
      </c>
    </row>
    <row r="76" spans="2:19">
      <c r="B76" s="309" t="s">
        <v>172</v>
      </c>
      <c r="C76" s="310">
        <f>C75</f>
        <v>-40</v>
      </c>
      <c r="D76" s="311">
        <f>SUM($C$75:D75)</f>
        <v>-34.400727491664775</v>
      </c>
      <c r="E76" s="311">
        <f>SUM($C$75:E75)</f>
        <v>-28.613334445537816</v>
      </c>
      <c r="F76" s="311">
        <f>SUM($C$75:F75)</f>
        <v>-22.63123664279642</v>
      </c>
      <c r="G76" s="311">
        <f>SUM($C$75:G75)</f>
        <v>-16.447619416959075</v>
      </c>
      <c r="H76" s="311">
        <f>SUM($C$75:H75)</f>
        <v>-10.055429588217425</v>
      </c>
      <c r="I76" s="311">
        <f>SUM($C$75:I75)</f>
        <v>-3.4473671154698167</v>
      </c>
      <c r="J76" s="311">
        <f>SUM($C$75:J75)</f>
        <v>3.3841235438239607</v>
      </c>
      <c r="K76" s="311">
        <f>SUM($C$75:K75)</f>
        <v>10.446862376193017</v>
      </c>
      <c r="L76" s="311">
        <f>SUM($C$75:L75)</f>
        <v>17.748943067694992</v>
      </c>
      <c r="M76" s="311">
        <f>SUM($C$75:M75)</f>
        <v>25.298742583399534</v>
      </c>
      <c r="N76" s="311">
        <f>SUM($C$75:N75)</f>
        <v>33.029113197166197</v>
      </c>
      <c r="O76" s="311">
        <f>SUM($C$75:O75)</f>
        <v>40.944505986562206</v>
      </c>
      <c r="P76" s="311">
        <f>SUM($C$75:P75)</f>
        <v>49.04948174821682</v>
      </c>
      <c r="Q76" s="311">
        <f>SUM($C$75:Q75)</f>
        <v>57.348713702396218</v>
      </c>
      <c r="R76" s="311">
        <f>SUM($C$75:R75)</f>
        <v>73.846990264246159</v>
      </c>
      <c r="S76" s="256">
        <f>SUM(D76:R76)</f>
        <v>195.50176176905379</v>
      </c>
    </row>
    <row r="77" spans="2:19">
      <c r="O77" s="256"/>
    </row>
    <row r="78" spans="2:19" ht="21" customHeight="1">
      <c r="D78" s="503" t="s">
        <v>83</v>
      </c>
      <c r="E78" s="504"/>
    </row>
    <row r="79" spans="2:19" ht="26.5" customHeight="1">
      <c r="D79" s="312" t="s">
        <v>84</v>
      </c>
      <c r="E79" s="313">
        <f>NPV($M$11,D75:R75)+C75</f>
        <v>15.104780660812537</v>
      </c>
      <c r="F79" s="314" t="s">
        <v>85</v>
      </c>
      <c r="G79" s="315"/>
      <c r="H79" s="315"/>
    </row>
    <row r="80" spans="2:19" ht="26.5" customHeight="1">
      <c r="D80" s="316" t="s">
        <v>86</v>
      </c>
      <c r="E80" s="317">
        <f>IRR(C75:R75)</f>
        <v>0.14644579611693387</v>
      </c>
      <c r="F80" s="318" t="s">
        <v>162</v>
      </c>
      <c r="G80" s="319" t="str">
        <f>IF(E80&lt;=M11,"INVESTASI TIDAK LAYAK ; IRR &gt; 9,35%","INVESTASI LAYAK ; IRR &gt; 9,35%")</f>
        <v>INVESTASI LAYAK ; IRR &gt; 9,35%</v>
      </c>
      <c r="H80" s="320"/>
      <c r="I80" s="321"/>
    </row>
    <row r="81" spans="2:19" ht="26.5" customHeight="1">
      <c r="D81" s="322" t="s">
        <v>168</v>
      </c>
      <c r="E81" s="323">
        <f>MATCH(0,C76:Q76,1)</f>
        <v>7</v>
      </c>
      <c r="F81" s="318"/>
      <c r="G81" s="366" t="str">
        <f>IF(E80&lt;=M11, "INVESTMENT IS NOT FEASIBLE, IRR &lt; 9.35%", "INVESTMENT IS FEASIBLE, IRR &gt; 9.35%")</f>
        <v>INVESTMENT IS FEASIBLE, IRR &gt; 9.35%</v>
      </c>
      <c r="H81" s="367"/>
      <c r="I81" s="368"/>
    </row>
    <row r="82" spans="2:19" ht="26.5" customHeight="1">
      <c r="D82" s="322" t="s">
        <v>171</v>
      </c>
      <c r="E82" s="323">
        <f>E79/R76</f>
        <v>0.20454158804256217</v>
      </c>
      <c r="F82" s="318"/>
      <c r="G82" s="369" t="str">
        <f>IF(E80&lt;=M11, "Proyek investasi tersebut Tidak Layak secara Aspek Finansial", "Proyek investasi tersebut Layak secara Aspek Finansial")</f>
        <v>Proyek investasi tersebut Layak secara Aspek Finansial</v>
      </c>
      <c r="H82" s="370"/>
      <c r="I82" s="371"/>
      <c r="J82" s="372"/>
    </row>
    <row r="83" spans="2:19" ht="26.5" customHeight="1">
      <c r="D83" s="322" t="s">
        <v>169</v>
      </c>
      <c r="E83" s="323">
        <f>(E79+E4)/E4</f>
        <v>1.3776195165203133</v>
      </c>
      <c r="F83" s="318"/>
      <c r="G83" s="324"/>
      <c r="H83" s="325"/>
      <c r="I83" s="326"/>
    </row>
    <row r="84" spans="2:19" ht="26.5" customHeight="1">
      <c r="D84" s="322" t="s">
        <v>170</v>
      </c>
      <c r="E84" s="327">
        <f>(SUM(D62:R62))/(SUM(D57:R57))</f>
        <v>1.5136965972618091</v>
      </c>
      <c r="F84" s="318"/>
      <c r="G84" s="324"/>
      <c r="H84" s="325"/>
      <c r="I84" s="326"/>
    </row>
    <row r="85" spans="2:19">
      <c r="E85" s="328"/>
    </row>
    <row r="87" spans="2:19" ht="19.5" customHeight="1">
      <c r="B87" s="505" t="s">
        <v>87</v>
      </c>
      <c r="C87" s="506"/>
      <c r="D87" s="506"/>
      <c r="E87" s="506"/>
      <c r="F87" s="506"/>
      <c r="G87" s="506"/>
      <c r="H87" s="506"/>
      <c r="I87" s="506"/>
      <c r="J87" s="506"/>
      <c r="K87" s="506"/>
      <c r="L87" s="506"/>
      <c r="M87" s="506"/>
      <c r="N87" s="506"/>
      <c r="O87" s="506"/>
      <c r="P87" s="506"/>
      <c r="Q87" s="506"/>
      <c r="R87" s="507"/>
    </row>
    <row r="88" spans="2:19">
      <c r="B88" s="307" t="s">
        <v>88</v>
      </c>
      <c r="C88" s="329"/>
      <c r="D88" s="330">
        <f>E4</f>
        <v>40</v>
      </c>
      <c r="E88" s="330">
        <f t="shared" ref="E88:R88" si="62">(D88-D89)*E40</f>
        <v>37.6</v>
      </c>
      <c r="F88" s="330">
        <f t="shared" si="62"/>
        <v>35.200000000000003</v>
      </c>
      <c r="G88" s="330">
        <f t="shared" si="62"/>
        <v>32.800000000000004</v>
      </c>
      <c r="H88" s="330">
        <f t="shared" si="62"/>
        <v>30.400000000000006</v>
      </c>
      <c r="I88" s="330">
        <f t="shared" si="62"/>
        <v>28.000000000000007</v>
      </c>
      <c r="J88" s="330">
        <f t="shared" si="62"/>
        <v>25.600000000000009</v>
      </c>
      <c r="K88" s="330">
        <f t="shared" si="62"/>
        <v>23.20000000000001</v>
      </c>
      <c r="L88" s="330">
        <f t="shared" si="62"/>
        <v>20.800000000000011</v>
      </c>
      <c r="M88" s="330">
        <f t="shared" si="62"/>
        <v>18.400000000000013</v>
      </c>
      <c r="N88" s="330">
        <f t="shared" si="62"/>
        <v>16.000000000000014</v>
      </c>
      <c r="O88" s="330">
        <f t="shared" si="62"/>
        <v>13.600000000000014</v>
      </c>
      <c r="P88" s="330">
        <f t="shared" si="62"/>
        <v>11.200000000000014</v>
      </c>
      <c r="Q88" s="330">
        <f t="shared" si="62"/>
        <v>8.8000000000000131</v>
      </c>
      <c r="R88" s="330">
        <f t="shared" si="62"/>
        <v>6.4000000000000128</v>
      </c>
    </row>
    <row r="89" spans="2:19">
      <c r="B89" s="307" t="s">
        <v>76</v>
      </c>
      <c r="C89" s="329"/>
      <c r="D89" s="330">
        <f t="shared" ref="D89:R89" si="63">IF($E$8=1,(($E$4-$E$7)/$E$6)*D40,(IF($E$7&lt;D4*(1-2/$E$6)^(D23),$E$4*(1-2/$E$6)^(D23-1)*(2/$E$6)*D40,(IF(0&lt;($E$4*(1-2/$E$6)^(D23-1))-$E$7,0,D4*D40*(1-2/$E$6)^(D23-1)-$E$7)))))</f>
        <v>2.4</v>
      </c>
      <c r="E89" s="330">
        <f t="shared" si="63"/>
        <v>2.4</v>
      </c>
      <c r="F89" s="330">
        <f t="shared" si="63"/>
        <v>2.4</v>
      </c>
      <c r="G89" s="330">
        <f t="shared" si="63"/>
        <v>2.4</v>
      </c>
      <c r="H89" s="330">
        <f t="shared" si="63"/>
        <v>2.4</v>
      </c>
      <c r="I89" s="330">
        <f t="shared" si="63"/>
        <v>2.4</v>
      </c>
      <c r="J89" s="330">
        <f t="shared" si="63"/>
        <v>2.4</v>
      </c>
      <c r="K89" s="330">
        <f t="shared" si="63"/>
        <v>2.4</v>
      </c>
      <c r="L89" s="330">
        <f t="shared" si="63"/>
        <v>2.4</v>
      </c>
      <c r="M89" s="330">
        <f t="shared" si="63"/>
        <v>2.4</v>
      </c>
      <c r="N89" s="330">
        <f t="shared" si="63"/>
        <v>2.4</v>
      </c>
      <c r="O89" s="330">
        <f t="shared" si="63"/>
        <v>2.4</v>
      </c>
      <c r="P89" s="330">
        <f t="shared" si="63"/>
        <v>2.4</v>
      </c>
      <c r="Q89" s="330">
        <f t="shared" si="63"/>
        <v>2.4</v>
      </c>
      <c r="R89" s="330">
        <f t="shared" si="63"/>
        <v>2.4</v>
      </c>
      <c r="S89" s="256">
        <f>SUM(D89:R89)</f>
        <v>35.999999999999993</v>
      </c>
    </row>
    <row r="90" spans="2:19">
      <c r="B90" s="307" t="s">
        <v>89</v>
      </c>
      <c r="C90" s="329"/>
      <c r="D90" s="330">
        <f t="shared" ref="D90:R90" si="64">D88-D89</f>
        <v>37.6</v>
      </c>
      <c r="E90" s="330">
        <f t="shared" si="64"/>
        <v>35.200000000000003</v>
      </c>
      <c r="F90" s="330">
        <f t="shared" si="64"/>
        <v>32.800000000000004</v>
      </c>
      <c r="G90" s="330">
        <f t="shared" si="64"/>
        <v>30.400000000000006</v>
      </c>
      <c r="H90" s="330">
        <f t="shared" si="64"/>
        <v>28.000000000000007</v>
      </c>
      <c r="I90" s="331">
        <f t="shared" si="64"/>
        <v>25.600000000000009</v>
      </c>
      <c r="J90" s="331">
        <f t="shared" si="64"/>
        <v>23.20000000000001</v>
      </c>
      <c r="K90" s="331">
        <f t="shared" si="64"/>
        <v>20.800000000000011</v>
      </c>
      <c r="L90" s="331">
        <f t="shared" si="64"/>
        <v>18.400000000000013</v>
      </c>
      <c r="M90" s="331">
        <f t="shared" si="64"/>
        <v>16.000000000000014</v>
      </c>
      <c r="N90" s="331">
        <f t="shared" si="64"/>
        <v>13.600000000000014</v>
      </c>
      <c r="O90" s="331">
        <f t="shared" si="64"/>
        <v>11.200000000000014</v>
      </c>
      <c r="P90" s="331">
        <f t="shared" si="64"/>
        <v>8.8000000000000131</v>
      </c>
      <c r="Q90" s="331">
        <f t="shared" si="64"/>
        <v>6.4000000000000128</v>
      </c>
      <c r="R90" s="331">
        <f t="shared" si="64"/>
        <v>4.0000000000000124</v>
      </c>
      <c r="S90" s="332">
        <f>D88-S89</f>
        <v>4.0000000000000071</v>
      </c>
    </row>
    <row r="92" spans="2:19">
      <c r="D92" s="333" t="s">
        <v>131</v>
      </c>
      <c r="E92" s="333" t="s">
        <v>90</v>
      </c>
      <c r="F92" s="334"/>
      <c r="G92" s="333" t="s">
        <v>196</v>
      </c>
      <c r="H92" s="333" t="s">
        <v>90</v>
      </c>
    </row>
    <row r="93" spans="2:19">
      <c r="D93" s="335">
        <v>56.496101414907145</v>
      </c>
      <c r="E93" s="336">
        <v>0.10445836547314695</v>
      </c>
      <c r="F93" s="334"/>
      <c r="G93" s="335">
        <v>8464.8092378310503</v>
      </c>
      <c r="H93" s="336">
        <v>0.10445836547314695</v>
      </c>
    </row>
    <row r="94" spans="2:19">
      <c r="D94" s="335">
        <v>58.287027829759701</v>
      </c>
      <c r="E94" s="336">
        <v>9.3533789974242151E-2</v>
      </c>
      <c r="F94" s="334"/>
      <c r="G94" s="335">
        <v>8837.2608442956171</v>
      </c>
      <c r="H94" s="336">
        <v>9.3488716994652929E-2</v>
      </c>
    </row>
    <row r="95" spans="2:19">
      <c r="D95" s="335">
        <v>62.145711556397863</v>
      </c>
      <c r="E95" s="336">
        <v>7.1186347328741406E-2</v>
      </c>
      <c r="F95" s="334"/>
      <c r="G95" s="335">
        <v>9311.2901616141553</v>
      </c>
      <c r="H95" s="336">
        <v>7.9063688561431658E-2</v>
      </c>
    </row>
    <row r="96" spans="2:19">
      <c r="H96" s="337"/>
      <c r="I96" s="338"/>
      <c r="J96" s="325"/>
    </row>
    <row r="97" spans="7:10">
      <c r="G97" s="339"/>
      <c r="H97" s="337"/>
      <c r="I97" s="256"/>
      <c r="J97" s="340"/>
    </row>
    <row r="98" spans="7:10">
      <c r="H98" s="337"/>
      <c r="I98" s="256"/>
      <c r="J98" s="165"/>
    </row>
    <row r="115" spans="1:17" ht="20.5" thickBot="1">
      <c r="A115" s="341"/>
      <c r="B115" s="342" t="s">
        <v>197</v>
      </c>
      <c r="C115" s="341"/>
      <c r="D115" s="341"/>
      <c r="E115" s="341"/>
      <c r="F115" s="341"/>
      <c r="G115" s="341"/>
      <c r="H115" s="341"/>
      <c r="I115" s="341"/>
      <c r="J115" s="341"/>
      <c r="K115" s="341"/>
      <c r="L115" s="341"/>
      <c r="M115" s="341"/>
    </row>
    <row r="117" spans="1:17">
      <c r="B117" s="343" t="s">
        <v>198</v>
      </c>
      <c r="C117" s="343" t="s">
        <v>199</v>
      </c>
      <c r="D117" s="343" t="s">
        <v>200</v>
      </c>
      <c r="E117" s="343" t="s">
        <v>201</v>
      </c>
      <c r="F117" s="343" t="s">
        <v>202</v>
      </c>
      <c r="G117" s="343" t="s">
        <v>203</v>
      </c>
      <c r="H117" s="343" t="s">
        <v>204</v>
      </c>
      <c r="I117" s="343" t="s">
        <v>225</v>
      </c>
      <c r="J117" s="343" t="s">
        <v>226</v>
      </c>
      <c r="K117" s="343" t="s">
        <v>227</v>
      </c>
      <c r="L117" s="343" t="s">
        <v>228</v>
      </c>
      <c r="M117" s="343" t="s">
        <v>229</v>
      </c>
      <c r="N117" s="344" t="s">
        <v>230</v>
      </c>
      <c r="O117" s="374" t="s">
        <v>268</v>
      </c>
      <c r="P117" s="497" t="s">
        <v>205</v>
      </c>
      <c r="Q117" s="497"/>
    </row>
    <row r="118" spans="1:17" ht="15">
      <c r="B118" s="493" t="s">
        <v>206</v>
      </c>
      <c r="C118" s="345">
        <v>1</v>
      </c>
      <c r="D118" s="346">
        <f>Datasumsi!E33</f>
        <v>5</v>
      </c>
      <c r="E118" s="346">
        <f>Datasumsi!F33</f>
        <v>5</v>
      </c>
      <c r="F118" s="346">
        <f>Datasumsi!G33</f>
        <v>5</v>
      </c>
      <c r="G118" s="346">
        <f>Datasumsi!H33</f>
        <v>4</v>
      </c>
      <c r="H118" s="346">
        <f>Datasumsi!I33</f>
        <v>4</v>
      </c>
      <c r="I118" s="346">
        <f>Datasumsi!J33</f>
        <v>4</v>
      </c>
      <c r="J118" s="346">
        <f>Datasumsi!K33</f>
        <v>3</v>
      </c>
      <c r="K118" s="346">
        <f>Datasumsi!L33</f>
        <v>5</v>
      </c>
      <c r="L118" s="346">
        <f>Datasumsi!M33</f>
        <v>4</v>
      </c>
      <c r="M118" s="346">
        <f>Datasumsi!N33</f>
        <v>3</v>
      </c>
      <c r="N118" s="347"/>
      <c r="O118" s="347"/>
      <c r="P118" s="494" t="str">
        <f>IF(N120=1,"Tidak ada kebijakan keselamatan yang jelas",IF(N120=2,"Kebijakan keselamatan ada tetapi tidak terdokumentasi dengan baik",IF(N120=3,"Kebijakan keselamatan terdokumentasi tetapi tidak sepenuhnya diterapkan",IF(N120=4,"Kebijakan keselamatan terdokumentasi dan diterapkan dengan baik",IF(N120=5,"Kebijakan keselamatan terdokumentasi, diterapkan, dan secara rutin ditinjau serta diperbarui","None")))))</f>
        <v>Kebijakan keselamatan terdokumentasi dan diterapkan dengan baik</v>
      </c>
      <c r="Q118" s="494"/>
    </row>
    <row r="119" spans="1:17" ht="15">
      <c r="B119" s="493"/>
      <c r="C119" s="345">
        <v>2</v>
      </c>
      <c r="D119" s="346">
        <f>Datasumsi!E34</f>
        <v>5</v>
      </c>
      <c r="E119" s="346">
        <f>Datasumsi!F34</f>
        <v>2</v>
      </c>
      <c r="F119" s="346">
        <f>Datasumsi!G34</f>
        <v>3</v>
      </c>
      <c r="G119" s="346">
        <f>Datasumsi!H34</f>
        <v>3</v>
      </c>
      <c r="H119" s="346">
        <f>Datasumsi!I34</f>
        <v>5</v>
      </c>
      <c r="I119" s="346">
        <f>Datasumsi!J34</f>
        <v>5</v>
      </c>
      <c r="J119" s="346">
        <f>Datasumsi!K34</f>
        <v>3</v>
      </c>
      <c r="K119" s="346">
        <f>Datasumsi!L34</f>
        <v>4</v>
      </c>
      <c r="L119" s="346">
        <f>Datasumsi!M34</f>
        <v>5</v>
      </c>
      <c r="M119" s="346">
        <f>Datasumsi!N34</f>
        <v>4</v>
      </c>
      <c r="N119" s="348"/>
      <c r="O119" s="348"/>
      <c r="P119" s="494"/>
      <c r="Q119" s="494"/>
    </row>
    <row r="120" spans="1:17" ht="15">
      <c r="B120" s="493"/>
      <c r="C120" s="345">
        <v>3</v>
      </c>
      <c r="D120" s="346">
        <f>Datasumsi!E35</f>
        <v>4</v>
      </c>
      <c r="E120" s="346">
        <f>Datasumsi!F35</f>
        <v>5</v>
      </c>
      <c r="F120" s="346">
        <f>Datasumsi!G35</f>
        <v>5</v>
      </c>
      <c r="G120" s="346">
        <f>Datasumsi!H35</f>
        <v>5</v>
      </c>
      <c r="H120" s="346">
        <f>Datasumsi!I35</f>
        <v>4</v>
      </c>
      <c r="I120" s="346">
        <f>Datasumsi!J35</f>
        <v>4</v>
      </c>
      <c r="J120" s="346">
        <f>Datasumsi!K35</f>
        <v>4</v>
      </c>
      <c r="K120" s="346">
        <f>Datasumsi!L35</f>
        <v>5</v>
      </c>
      <c r="L120" s="346">
        <f>Datasumsi!M35</f>
        <v>1</v>
      </c>
      <c r="M120" s="346">
        <f>Datasumsi!N35</f>
        <v>3</v>
      </c>
      <c r="N120" s="348">
        <f>MEDIAN(D118:M122)</f>
        <v>4</v>
      </c>
      <c r="O120" s="348" t="str">
        <f>IF(N120=5,"Very High",IF(N120=4,"High",IF(N120=3,"Neutral",IF(N120=2,"Low",IF(N120=1,"Very Low","-")))))</f>
        <v>High</v>
      </c>
      <c r="P120" s="494"/>
      <c r="Q120" s="494"/>
    </row>
    <row r="121" spans="1:17" ht="15">
      <c r="B121" s="493"/>
      <c r="C121" s="345">
        <v>4</v>
      </c>
      <c r="D121" s="346">
        <f>Datasumsi!E36</f>
        <v>5</v>
      </c>
      <c r="E121" s="346">
        <f>Datasumsi!F36</f>
        <v>2</v>
      </c>
      <c r="F121" s="346">
        <f>Datasumsi!G36</f>
        <v>3</v>
      </c>
      <c r="G121" s="346">
        <f>Datasumsi!H36</f>
        <v>3</v>
      </c>
      <c r="H121" s="346">
        <f>Datasumsi!I36</f>
        <v>3</v>
      </c>
      <c r="I121" s="346">
        <f>Datasumsi!J36</f>
        <v>3</v>
      </c>
      <c r="J121" s="346">
        <f>Datasumsi!K36</f>
        <v>1</v>
      </c>
      <c r="K121" s="346">
        <f>Datasumsi!L36</f>
        <v>4</v>
      </c>
      <c r="L121" s="346">
        <f>Datasumsi!M36</f>
        <v>4</v>
      </c>
      <c r="M121" s="346">
        <f>Datasumsi!N36</f>
        <v>3</v>
      </c>
      <c r="N121" s="348"/>
      <c r="O121" s="348"/>
      <c r="P121" s="494"/>
      <c r="Q121" s="494"/>
    </row>
    <row r="122" spans="1:17" ht="15">
      <c r="B122" s="493"/>
      <c r="C122" s="345">
        <v>5</v>
      </c>
      <c r="D122" s="346">
        <f>Datasumsi!E37</f>
        <v>5</v>
      </c>
      <c r="E122" s="346">
        <f>Datasumsi!F37</f>
        <v>1</v>
      </c>
      <c r="F122" s="346">
        <f>Datasumsi!G37</f>
        <v>4</v>
      </c>
      <c r="G122" s="346">
        <f>Datasumsi!H37</f>
        <v>4</v>
      </c>
      <c r="H122" s="346">
        <f>Datasumsi!I37</f>
        <v>4</v>
      </c>
      <c r="I122" s="346">
        <f>Datasumsi!J37</f>
        <v>5</v>
      </c>
      <c r="J122" s="346">
        <f>Datasumsi!K37</f>
        <v>5</v>
      </c>
      <c r="K122" s="346">
        <f>Datasumsi!L37</f>
        <v>5</v>
      </c>
      <c r="L122" s="346">
        <f>Datasumsi!M37</f>
        <v>4</v>
      </c>
      <c r="M122" s="346">
        <f>Datasumsi!N37</f>
        <v>2</v>
      </c>
      <c r="N122" s="349"/>
      <c r="O122" s="349"/>
      <c r="P122" s="494"/>
      <c r="Q122" s="494"/>
    </row>
    <row r="123" spans="1:17" ht="15">
      <c r="B123" s="493" t="s">
        <v>207</v>
      </c>
      <c r="C123" s="345">
        <v>1</v>
      </c>
      <c r="D123" s="346">
        <f>Datasumsi!E38</f>
        <v>5</v>
      </c>
      <c r="E123" s="346">
        <f>Datasumsi!F38</f>
        <v>3</v>
      </c>
      <c r="F123" s="346">
        <f>Datasumsi!G38</f>
        <v>5</v>
      </c>
      <c r="G123" s="346">
        <f>Datasumsi!H38</f>
        <v>4</v>
      </c>
      <c r="H123" s="346">
        <f>Datasumsi!I38</f>
        <v>4</v>
      </c>
      <c r="I123" s="346">
        <f>Datasumsi!J38</f>
        <v>5</v>
      </c>
      <c r="J123" s="346">
        <f>Datasumsi!K38</f>
        <v>5</v>
      </c>
      <c r="K123" s="346">
        <f>Datasumsi!L38</f>
        <v>5</v>
      </c>
      <c r="L123" s="346">
        <f>Datasumsi!M38</f>
        <v>5</v>
      </c>
      <c r="M123" s="346">
        <f>Datasumsi!N38</f>
        <v>5</v>
      </c>
      <c r="N123" s="350"/>
      <c r="O123" s="347"/>
      <c r="P123" s="494" t="str">
        <f>IF(N125=1,"Tidak ada kebijakan keselamatan yang jelas",IF(N125=2,"Kebijakan keselamatan ada tetapi tidak terdokumentasi dengan baik",IF(N125=3,"Kebijakan keselamatan terdokumentasi tetapi tidak sepenuhnya diterapkan",IF(N125=4,"Kebijakan keselamatan terdokumentasi dan diterapkan dengan baik",IF(N125=5,"Kebijakan keselamatan terdokumentasi, diterapkan, dan secara rutin ditinjau serta diperbarui","None")))))</f>
        <v>Kebijakan keselamatan terdokumentasi dan diterapkan dengan baik</v>
      </c>
      <c r="Q123" s="494"/>
    </row>
    <row r="124" spans="1:17" ht="15">
      <c r="B124" s="493"/>
      <c r="C124" s="345">
        <v>2</v>
      </c>
      <c r="D124" s="346">
        <f>Datasumsi!E39</f>
        <v>5</v>
      </c>
      <c r="E124" s="346">
        <f>Datasumsi!F39</f>
        <v>4</v>
      </c>
      <c r="F124" s="346">
        <f>Datasumsi!G39</f>
        <v>5</v>
      </c>
      <c r="G124" s="346">
        <f>Datasumsi!H39</f>
        <v>5</v>
      </c>
      <c r="H124" s="346">
        <f>Datasumsi!I39</f>
        <v>5</v>
      </c>
      <c r="I124" s="346">
        <f>Datasumsi!J39</f>
        <v>5</v>
      </c>
      <c r="J124" s="346">
        <f>Datasumsi!K39</f>
        <v>5</v>
      </c>
      <c r="K124" s="346">
        <f>Datasumsi!L39</f>
        <v>4</v>
      </c>
      <c r="L124" s="346">
        <f>Datasumsi!M39</f>
        <v>5</v>
      </c>
      <c r="M124" s="346">
        <f>Datasumsi!N39</f>
        <v>5</v>
      </c>
      <c r="N124" s="351"/>
      <c r="O124" s="348"/>
      <c r="P124" s="494"/>
      <c r="Q124" s="494"/>
    </row>
    <row r="125" spans="1:17" ht="15">
      <c r="B125" s="493"/>
      <c r="C125" s="345">
        <v>3</v>
      </c>
      <c r="D125" s="346">
        <f>Datasumsi!E40</f>
        <v>3</v>
      </c>
      <c r="E125" s="346">
        <f>Datasumsi!F40</f>
        <v>3</v>
      </c>
      <c r="F125" s="346">
        <f>Datasumsi!G40</f>
        <v>5</v>
      </c>
      <c r="G125" s="346">
        <f>Datasumsi!H40</f>
        <v>4</v>
      </c>
      <c r="H125" s="346">
        <f>Datasumsi!I40</f>
        <v>2</v>
      </c>
      <c r="I125" s="346">
        <f>Datasumsi!J40</f>
        <v>5</v>
      </c>
      <c r="J125" s="346">
        <f>Datasumsi!K40</f>
        <v>3</v>
      </c>
      <c r="K125" s="346">
        <f>Datasumsi!L40</f>
        <v>4</v>
      </c>
      <c r="L125" s="346">
        <f>Datasumsi!M40</f>
        <v>1</v>
      </c>
      <c r="M125" s="346">
        <f>Datasumsi!N40</f>
        <v>5</v>
      </c>
      <c r="N125" s="348">
        <f>MEDIAN(D123:M127)</f>
        <v>4</v>
      </c>
      <c r="O125" s="348" t="str">
        <f t="shared" ref="O125:O135" si="65">IF(N125=5,"Very High",IF(N125=4,"High",IF(N125=3,"Neutral",IF(N125=2,"Low",IF(N125=1,"Very Low","-")))))</f>
        <v>High</v>
      </c>
      <c r="P125" s="494"/>
      <c r="Q125" s="494"/>
    </row>
    <row r="126" spans="1:17" ht="15">
      <c r="B126" s="493"/>
      <c r="C126" s="345">
        <v>4</v>
      </c>
      <c r="D126" s="346">
        <f>Datasumsi!E41</f>
        <v>3</v>
      </c>
      <c r="E126" s="346">
        <f>Datasumsi!F41</f>
        <v>3</v>
      </c>
      <c r="F126" s="346">
        <f>Datasumsi!G41</f>
        <v>3</v>
      </c>
      <c r="G126" s="346">
        <f>Datasumsi!H41</f>
        <v>3</v>
      </c>
      <c r="H126" s="346">
        <f>Datasumsi!I41</f>
        <v>5</v>
      </c>
      <c r="I126" s="346">
        <f>Datasumsi!J41</f>
        <v>3</v>
      </c>
      <c r="J126" s="346">
        <f>Datasumsi!K41</f>
        <v>3</v>
      </c>
      <c r="K126" s="346">
        <f>Datasumsi!L41</f>
        <v>3</v>
      </c>
      <c r="L126" s="346">
        <f>Datasumsi!M41</f>
        <v>5</v>
      </c>
      <c r="M126" s="346">
        <f>Datasumsi!N41</f>
        <v>3</v>
      </c>
      <c r="N126" s="351"/>
      <c r="O126" s="348"/>
      <c r="P126" s="494"/>
      <c r="Q126" s="494"/>
    </row>
    <row r="127" spans="1:17" ht="15">
      <c r="B127" s="493"/>
      <c r="C127" s="345">
        <v>5</v>
      </c>
      <c r="D127" s="346">
        <f>Datasumsi!E42</f>
        <v>3</v>
      </c>
      <c r="E127" s="346">
        <f>Datasumsi!F42</f>
        <v>3</v>
      </c>
      <c r="F127" s="346">
        <f>Datasumsi!G42</f>
        <v>3</v>
      </c>
      <c r="G127" s="346">
        <f>Datasumsi!H42</f>
        <v>2</v>
      </c>
      <c r="H127" s="346">
        <f>Datasumsi!I42</f>
        <v>4</v>
      </c>
      <c r="I127" s="346">
        <f>Datasumsi!J42</f>
        <v>4</v>
      </c>
      <c r="J127" s="346">
        <f>Datasumsi!K42</f>
        <v>2</v>
      </c>
      <c r="K127" s="346">
        <f>Datasumsi!L42</f>
        <v>5</v>
      </c>
      <c r="L127" s="346">
        <f>Datasumsi!M42</f>
        <v>5</v>
      </c>
      <c r="M127" s="346">
        <f>Datasumsi!N42</f>
        <v>5</v>
      </c>
      <c r="N127" s="352"/>
      <c r="O127" s="349"/>
      <c r="P127" s="494"/>
      <c r="Q127" s="494"/>
    </row>
    <row r="128" spans="1:17" ht="15">
      <c r="B128" s="493" t="s">
        <v>208</v>
      </c>
      <c r="C128" s="345">
        <v>1</v>
      </c>
      <c r="D128" s="346">
        <f>Datasumsi!E43</f>
        <v>5</v>
      </c>
      <c r="E128" s="346">
        <f>Datasumsi!F43</f>
        <v>5</v>
      </c>
      <c r="F128" s="346">
        <f>Datasumsi!G43</f>
        <v>5</v>
      </c>
      <c r="G128" s="346">
        <f>Datasumsi!H43</f>
        <v>3</v>
      </c>
      <c r="H128" s="346">
        <f>Datasumsi!I43</f>
        <v>3</v>
      </c>
      <c r="I128" s="346">
        <f>Datasumsi!J43</f>
        <v>3</v>
      </c>
      <c r="J128" s="346">
        <f>Datasumsi!K43</f>
        <v>5</v>
      </c>
      <c r="K128" s="346">
        <f>Datasumsi!L43</f>
        <v>5</v>
      </c>
      <c r="L128" s="346">
        <f>Datasumsi!M43</f>
        <v>3</v>
      </c>
      <c r="M128" s="346">
        <f>Datasumsi!N43</f>
        <v>5</v>
      </c>
      <c r="N128" s="350"/>
      <c r="O128" s="347"/>
      <c r="P128" s="494" t="str">
        <f>IF(N130=1,"Tidak ada kebijakan keselamatan yang jelas",IF(N130=2,"Kebijakan keselamatan ada tetapi tidak terdokumentasi dengan baik",IF(N130=3,"Kebijakan keselamatan terdokumentasi tetapi tidak sepenuhnya diterapkan",IF(N130=4,"Kebijakan keselamatan terdokumentasi dan diterapkan dengan baik",IF(N130=5,"Kebijakan keselamatan terdokumentasi, diterapkan, dan secara rutin ditinjau serta diperbarui","None")))))</f>
        <v>Kebijakan keselamatan terdokumentasi, diterapkan, dan secara rutin ditinjau serta diperbarui</v>
      </c>
      <c r="Q128" s="494"/>
    </row>
    <row r="129" spans="2:17" ht="15">
      <c r="B129" s="493"/>
      <c r="C129" s="345">
        <v>2</v>
      </c>
      <c r="D129" s="346">
        <f>Datasumsi!E44</f>
        <v>5</v>
      </c>
      <c r="E129" s="346">
        <f>Datasumsi!F44</f>
        <v>5</v>
      </c>
      <c r="F129" s="346">
        <f>Datasumsi!G44</f>
        <v>4</v>
      </c>
      <c r="G129" s="346">
        <f>Datasumsi!H44</f>
        <v>5</v>
      </c>
      <c r="H129" s="346">
        <f>Datasumsi!I44</f>
        <v>5</v>
      </c>
      <c r="I129" s="346">
        <f>Datasumsi!J44</f>
        <v>5</v>
      </c>
      <c r="J129" s="346">
        <f>Datasumsi!K44</f>
        <v>5</v>
      </c>
      <c r="K129" s="346">
        <f>Datasumsi!L44</f>
        <v>5</v>
      </c>
      <c r="L129" s="346">
        <f>Datasumsi!M44</f>
        <v>4</v>
      </c>
      <c r="M129" s="346">
        <f>Datasumsi!N44</f>
        <v>5</v>
      </c>
      <c r="N129" s="351"/>
      <c r="O129" s="348"/>
      <c r="P129" s="494"/>
      <c r="Q129" s="494"/>
    </row>
    <row r="130" spans="2:17" ht="15">
      <c r="B130" s="493"/>
      <c r="C130" s="345">
        <v>3</v>
      </c>
      <c r="D130" s="346">
        <f>Datasumsi!E45</f>
        <v>5</v>
      </c>
      <c r="E130" s="346">
        <f>Datasumsi!F45</f>
        <v>5</v>
      </c>
      <c r="F130" s="346">
        <f>Datasumsi!G45</f>
        <v>5</v>
      </c>
      <c r="G130" s="346">
        <f>Datasumsi!H45</f>
        <v>5</v>
      </c>
      <c r="H130" s="346">
        <f>Datasumsi!I45</f>
        <v>5</v>
      </c>
      <c r="I130" s="346">
        <f>Datasumsi!J45</f>
        <v>5</v>
      </c>
      <c r="J130" s="346">
        <f>Datasumsi!K45</f>
        <v>5</v>
      </c>
      <c r="K130" s="346">
        <f>Datasumsi!L45</f>
        <v>5</v>
      </c>
      <c r="L130" s="346">
        <f>Datasumsi!M45</f>
        <v>3</v>
      </c>
      <c r="M130" s="346">
        <f>Datasumsi!N45</f>
        <v>5</v>
      </c>
      <c r="N130" s="348">
        <f>MEDIAN(D128:M132)</f>
        <v>5</v>
      </c>
      <c r="O130" s="348" t="str">
        <f t="shared" si="65"/>
        <v>Very High</v>
      </c>
      <c r="P130" s="494"/>
      <c r="Q130" s="494"/>
    </row>
    <row r="131" spans="2:17" ht="15">
      <c r="B131" s="493"/>
      <c r="C131" s="345">
        <v>4</v>
      </c>
      <c r="D131" s="346">
        <f>Datasumsi!E46</f>
        <v>5</v>
      </c>
      <c r="E131" s="346">
        <f>Datasumsi!F46</f>
        <v>5</v>
      </c>
      <c r="F131" s="346">
        <f>Datasumsi!G46</f>
        <v>3</v>
      </c>
      <c r="G131" s="346">
        <f>Datasumsi!H46</f>
        <v>3</v>
      </c>
      <c r="H131" s="346">
        <f>Datasumsi!I46</f>
        <v>5</v>
      </c>
      <c r="I131" s="346">
        <f>Datasumsi!J46</f>
        <v>5</v>
      </c>
      <c r="J131" s="346">
        <f>Datasumsi!K46</f>
        <v>4</v>
      </c>
      <c r="K131" s="346">
        <f>Datasumsi!L46</f>
        <v>5</v>
      </c>
      <c r="L131" s="346">
        <f>Datasumsi!M46</f>
        <v>5</v>
      </c>
      <c r="M131" s="346">
        <f>Datasumsi!N46</f>
        <v>5</v>
      </c>
      <c r="N131" s="351"/>
      <c r="O131" s="348"/>
      <c r="P131" s="494"/>
      <c r="Q131" s="494"/>
    </row>
    <row r="132" spans="2:17" ht="15">
      <c r="B132" s="493"/>
      <c r="C132" s="345">
        <v>5</v>
      </c>
      <c r="D132" s="346">
        <f>Datasumsi!E47</f>
        <v>5</v>
      </c>
      <c r="E132" s="346">
        <f>Datasumsi!F47</f>
        <v>5</v>
      </c>
      <c r="F132" s="346">
        <f>Datasumsi!G47</f>
        <v>5</v>
      </c>
      <c r="G132" s="346">
        <f>Datasumsi!H47</f>
        <v>5</v>
      </c>
      <c r="H132" s="346">
        <f>Datasumsi!I47</f>
        <v>1</v>
      </c>
      <c r="I132" s="346">
        <f>Datasumsi!J47</f>
        <v>5</v>
      </c>
      <c r="J132" s="346">
        <f>Datasumsi!K47</f>
        <v>5</v>
      </c>
      <c r="K132" s="346">
        <f>Datasumsi!L47</f>
        <v>5</v>
      </c>
      <c r="L132" s="346">
        <f>Datasumsi!M47</f>
        <v>5</v>
      </c>
      <c r="M132" s="346">
        <f>Datasumsi!N47</f>
        <v>5</v>
      </c>
      <c r="N132" s="352"/>
      <c r="O132" s="349"/>
      <c r="P132" s="494"/>
      <c r="Q132" s="494"/>
    </row>
    <row r="133" spans="2:17" ht="15">
      <c r="B133" s="493" t="s">
        <v>209</v>
      </c>
      <c r="C133" s="345">
        <v>1</v>
      </c>
      <c r="D133" s="346">
        <f>Datasumsi!E48</f>
        <v>1</v>
      </c>
      <c r="E133" s="346">
        <f>Datasumsi!F48</f>
        <v>5</v>
      </c>
      <c r="F133" s="346">
        <f>Datasumsi!G48</f>
        <v>5</v>
      </c>
      <c r="G133" s="346">
        <f>Datasumsi!H48</f>
        <v>4</v>
      </c>
      <c r="H133" s="346">
        <f>Datasumsi!I48</f>
        <v>3</v>
      </c>
      <c r="I133" s="346">
        <f>Datasumsi!J48</f>
        <v>2</v>
      </c>
      <c r="J133" s="346">
        <f>Datasumsi!K48</f>
        <v>5</v>
      </c>
      <c r="K133" s="346">
        <f>Datasumsi!L48</f>
        <v>5</v>
      </c>
      <c r="L133" s="346">
        <f>Datasumsi!M48</f>
        <v>3</v>
      </c>
      <c r="M133" s="346">
        <f>Datasumsi!N48</f>
        <v>5</v>
      </c>
      <c r="N133" s="350"/>
      <c r="O133" s="347"/>
      <c r="P133" s="494" t="str">
        <f>IF(N135=1,"Tidak ada kebijakan keselamatan yang jelas",IF(N135=2,"Kebijakan keselamatan ada tetapi tidak terdokumentasi dengan baik",IF(N135=3,"Kebijakan keselamatan terdokumentasi tetapi tidak sepenuhnya diterapkan",IF(N135=4,"Kebijakan keselamatan terdokumentasi dan diterapkan dengan baik",IF(N135=5,"Kebijakan keselamatan terdokumentasi, diterapkan, dan secara rutin ditinjau serta diperbarui","None")))))</f>
        <v>Kebijakan keselamatan terdokumentasi, diterapkan, dan secara rutin ditinjau serta diperbarui</v>
      </c>
      <c r="Q133" s="494"/>
    </row>
    <row r="134" spans="2:17" ht="15">
      <c r="B134" s="493"/>
      <c r="C134" s="345">
        <v>2</v>
      </c>
      <c r="D134" s="346">
        <f>Datasumsi!E49</f>
        <v>5</v>
      </c>
      <c r="E134" s="346">
        <f>Datasumsi!F49</f>
        <v>5</v>
      </c>
      <c r="F134" s="346">
        <f>Datasumsi!G49</f>
        <v>3</v>
      </c>
      <c r="G134" s="346">
        <f>Datasumsi!H49</f>
        <v>3</v>
      </c>
      <c r="H134" s="346">
        <f>Datasumsi!I49</f>
        <v>3</v>
      </c>
      <c r="I134" s="346">
        <f>Datasumsi!J49</f>
        <v>2</v>
      </c>
      <c r="J134" s="346">
        <f>Datasumsi!K49</f>
        <v>5</v>
      </c>
      <c r="K134" s="346">
        <f>Datasumsi!L49</f>
        <v>5</v>
      </c>
      <c r="L134" s="346">
        <f>Datasumsi!M49</f>
        <v>4</v>
      </c>
      <c r="M134" s="346">
        <f>Datasumsi!N49</f>
        <v>5</v>
      </c>
      <c r="N134" s="351"/>
      <c r="O134" s="348"/>
      <c r="P134" s="494"/>
      <c r="Q134" s="494"/>
    </row>
    <row r="135" spans="2:17" ht="15">
      <c r="B135" s="493"/>
      <c r="C135" s="345">
        <v>3</v>
      </c>
      <c r="D135" s="346">
        <f>Datasumsi!E50</f>
        <v>5</v>
      </c>
      <c r="E135" s="346">
        <f>Datasumsi!F50</f>
        <v>5</v>
      </c>
      <c r="F135" s="346">
        <f>Datasumsi!G50</f>
        <v>5</v>
      </c>
      <c r="G135" s="346">
        <f>Datasumsi!H50</f>
        <v>5</v>
      </c>
      <c r="H135" s="346">
        <f>Datasumsi!I50</f>
        <v>5</v>
      </c>
      <c r="I135" s="346">
        <f>Datasumsi!J50</f>
        <v>5</v>
      </c>
      <c r="J135" s="346">
        <f>Datasumsi!K50</f>
        <v>5</v>
      </c>
      <c r="K135" s="346">
        <f>Datasumsi!L50</f>
        <v>5</v>
      </c>
      <c r="L135" s="346">
        <f>Datasumsi!M50</f>
        <v>3</v>
      </c>
      <c r="M135" s="346">
        <f>Datasumsi!N50</f>
        <v>5</v>
      </c>
      <c r="N135" s="348">
        <f>MEDIAN(D133:M137)</f>
        <v>5</v>
      </c>
      <c r="O135" s="348" t="str">
        <f t="shared" si="65"/>
        <v>Very High</v>
      </c>
      <c r="P135" s="494"/>
      <c r="Q135" s="494"/>
    </row>
    <row r="136" spans="2:17" ht="15">
      <c r="B136" s="493"/>
      <c r="C136" s="345">
        <v>4</v>
      </c>
      <c r="D136" s="346">
        <f>Datasumsi!E51</f>
        <v>5</v>
      </c>
      <c r="E136" s="346">
        <f>Datasumsi!F51</f>
        <v>5</v>
      </c>
      <c r="F136" s="346">
        <f>Datasumsi!G51</f>
        <v>3</v>
      </c>
      <c r="G136" s="346">
        <f>Datasumsi!H51</f>
        <v>5</v>
      </c>
      <c r="H136" s="346">
        <f>Datasumsi!I51</f>
        <v>5</v>
      </c>
      <c r="I136" s="346">
        <f>Datasumsi!J51</f>
        <v>5</v>
      </c>
      <c r="J136" s="346">
        <f>Datasumsi!K51</f>
        <v>4</v>
      </c>
      <c r="K136" s="346">
        <f>Datasumsi!L51</f>
        <v>5</v>
      </c>
      <c r="L136" s="346">
        <f>Datasumsi!M51</f>
        <v>5</v>
      </c>
      <c r="M136" s="346">
        <f>Datasumsi!N51</f>
        <v>5</v>
      </c>
      <c r="N136" s="351"/>
      <c r="O136" s="348"/>
      <c r="P136" s="494"/>
      <c r="Q136" s="494"/>
    </row>
    <row r="137" spans="2:17" ht="15">
      <c r="B137" s="493"/>
      <c r="C137" s="345">
        <v>5</v>
      </c>
      <c r="D137" s="346">
        <f>Datasumsi!E52</f>
        <v>5</v>
      </c>
      <c r="E137" s="346">
        <f>Datasumsi!F52</f>
        <v>5</v>
      </c>
      <c r="F137" s="346">
        <f>Datasumsi!G52</f>
        <v>5</v>
      </c>
      <c r="G137" s="346">
        <f>Datasumsi!H52</f>
        <v>5</v>
      </c>
      <c r="H137" s="346">
        <f>Datasumsi!I52</f>
        <v>5</v>
      </c>
      <c r="I137" s="346">
        <f>Datasumsi!J52</f>
        <v>5</v>
      </c>
      <c r="J137" s="346">
        <f>Datasumsi!K52</f>
        <v>5</v>
      </c>
      <c r="K137" s="346">
        <f>Datasumsi!L52</f>
        <v>5</v>
      </c>
      <c r="L137" s="346">
        <f>Datasumsi!M52</f>
        <v>5</v>
      </c>
      <c r="M137" s="346">
        <f>Datasumsi!N52</f>
        <v>5</v>
      </c>
      <c r="N137" s="352"/>
      <c r="O137" s="349"/>
      <c r="P137" s="494"/>
      <c r="Q137" s="494"/>
    </row>
    <row r="138" spans="2:17" ht="15">
      <c r="B138" s="493" t="s">
        <v>210</v>
      </c>
      <c r="C138" s="345">
        <v>1</v>
      </c>
      <c r="D138" s="346">
        <f>Datasumsi!E53</f>
        <v>5</v>
      </c>
      <c r="E138" s="346">
        <f>Datasumsi!F53</f>
        <v>5</v>
      </c>
      <c r="F138" s="346">
        <f>Datasumsi!G53</f>
        <v>5</v>
      </c>
      <c r="G138" s="346">
        <f>Datasumsi!H53</f>
        <v>4</v>
      </c>
      <c r="H138" s="346">
        <f>Datasumsi!I53</f>
        <v>3</v>
      </c>
      <c r="I138" s="346">
        <f>Datasumsi!J53</f>
        <v>2</v>
      </c>
      <c r="J138" s="346">
        <f>Datasumsi!K53</f>
        <v>5</v>
      </c>
      <c r="K138" s="346">
        <f>Datasumsi!L53</f>
        <v>2</v>
      </c>
      <c r="L138" s="346">
        <f>Datasumsi!M53</f>
        <v>4</v>
      </c>
      <c r="M138" s="346">
        <f>Datasumsi!N53</f>
        <v>4</v>
      </c>
      <c r="N138" s="350"/>
      <c r="O138" s="348"/>
      <c r="P138" s="495" t="str">
        <f>IF(N140=1,"Tidak ada kebijakan keselamatan yang jelas",IF(N140=2,"Kebijakan keselamatan ada tetapi tidak terdokumentasi dengan baik",IF(N140=3,"Kebijakan keselamatan terdokumentasi tetapi tidak sepenuhnya diterapkan",IF(N140=4,"Kebijakan keselamatan terdokumentasi dan diterapkan dengan baik",IF(N140=5,"Kebijakan keselamatan terdokumentasi, diterapkan, dan secara rutin ditinjau serta diperbarui","None")))))</f>
        <v>Kebijakan keselamatan terdokumentasi tetapi tidak sepenuhnya diterapkan</v>
      </c>
      <c r="Q138" s="495"/>
    </row>
    <row r="139" spans="2:17" ht="15">
      <c r="B139" s="493"/>
      <c r="C139" s="345">
        <v>2</v>
      </c>
      <c r="D139" s="346">
        <f>Datasumsi!E54</f>
        <v>3</v>
      </c>
      <c r="E139" s="346">
        <f>Datasumsi!F54</f>
        <v>4</v>
      </c>
      <c r="F139" s="346">
        <f>Datasumsi!G54</f>
        <v>3</v>
      </c>
      <c r="G139" s="346">
        <f>Datasumsi!H54</f>
        <v>3</v>
      </c>
      <c r="H139" s="346">
        <f>Datasumsi!I54</f>
        <v>3</v>
      </c>
      <c r="I139" s="346">
        <f>Datasumsi!J54</f>
        <v>2</v>
      </c>
      <c r="J139" s="346">
        <f>Datasumsi!K54</f>
        <v>3</v>
      </c>
      <c r="K139" s="346">
        <f>Datasumsi!L54</f>
        <v>4</v>
      </c>
      <c r="L139" s="346">
        <f>Datasumsi!M54</f>
        <v>5</v>
      </c>
      <c r="M139" s="346">
        <f>Datasumsi!N54</f>
        <v>4</v>
      </c>
      <c r="N139" s="348"/>
      <c r="O139" s="348"/>
      <c r="P139" s="496"/>
      <c r="Q139" s="496"/>
    </row>
    <row r="140" spans="2:17" ht="15">
      <c r="B140" s="493"/>
      <c r="C140" s="345">
        <v>3</v>
      </c>
      <c r="D140" s="346">
        <f>Datasumsi!E55</f>
        <v>2</v>
      </c>
      <c r="E140" s="346">
        <f>Datasumsi!F55</f>
        <v>3</v>
      </c>
      <c r="F140" s="346">
        <f>Datasumsi!G55</f>
        <v>1</v>
      </c>
      <c r="G140" s="346">
        <f>Datasumsi!H55</f>
        <v>1</v>
      </c>
      <c r="H140" s="346">
        <f>Datasumsi!I55</f>
        <v>2</v>
      </c>
      <c r="I140" s="346">
        <f>Datasumsi!J55</f>
        <v>2</v>
      </c>
      <c r="J140" s="346">
        <f>Datasumsi!K55</f>
        <v>3</v>
      </c>
      <c r="K140" s="346">
        <f>Datasumsi!L55</f>
        <v>4</v>
      </c>
      <c r="L140" s="346">
        <f>Datasumsi!M55</f>
        <v>5</v>
      </c>
      <c r="M140" s="346">
        <f>Datasumsi!N55</f>
        <v>3</v>
      </c>
      <c r="N140" s="348">
        <f>MEDIAN(D138:M142)</f>
        <v>3</v>
      </c>
      <c r="O140" s="348" t="str">
        <f>IF(N140=5,"Very High",IF(N140=4,"High",IF(N140=3,"Moderate",IF(N140=2,"Low",IF(N140=1,"Very Low","-")))))</f>
        <v>Moderate</v>
      </c>
      <c r="P140" s="496"/>
      <c r="Q140" s="496"/>
    </row>
    <row r="141" spans="2:17" ht="15">
      <c r="B141" s="493"/>
      <c r="C141" s="345">
        <v>4</v>
      </c>
      <c r="D141" s="346">
        <f>Datasumsi!E56</f>
        <v>1</v>
      </c>
      <c r="E141" s="346">
        <f>Datasumsi!F56</f>
        <v>2</v>
      </c>
      <c r="F141" s="346">
        <f>Datasumsi!G56</f>
        <v>3</v>
      </c>
      <c r="G141" s="346">
        <f>Datasumsi!H56</f>
        <v>3</v>
      </c>
      <c r="H141" s="346">
        <f>Datasumsi!I56</f>
        <v>3</v>
      </c>
      <c r="I141" s="346">
        <f>Datasumsi!J56</f>
        <v>3</v>
      </c>
      <c r="J141" s="346">
        <f>Datasumsi!K56</f>
        <v>4</v>
      </c>
      <c r="K141" s="346">
        <f>Datasumsi!L56</f>
        <v>4</v>
      </c>
      <c r="L141" s="346">
        <f>Datasumsi!M56</f>
        <v>4</v>
      </c>
      <c r="M141" s="346">
        <f>Datasumsi!N56</f>
        <v>2</v>
      </c>
      <c r="N141" s="348"/>
      <c r="O141" s="348"/>
      <c r="P141" s="496"/>
      <c r="Q141" s="496"/>
    </row>
    <row r="142" spans="2:17" ht="15">
      <c r="B142" s="493"/>
      <c r="C142" s="345">
        <v>5</v>
      </c>
      <c r="D142" s="346">
        <f>Datasumsi!E57</f>
        <v>1</v>
      </c>
      <c r="E142" s="346">
        <f>Datasumsi!F57</f>
        <v>1</v>
      </c>
      <c r="F142" s="346">
        <f>Datasumsi!G57</f>
        <v>4</v>
      </c>
      <c r="G142" s="346">
        <f>Datasumsi!H57</f>
        <v>4</v>
      </c>
      <c r="H142" s="346">
        <f>Datasumsi!I57</f>
        <v>4</v>
      </c>
      <c r="I142" s="346">
        <f>Datasumsi!J57</f>
        <v>4</v>
      </c>
      <c r="J142" s="346">
        <f>Datasumsi!K57</f>
        <v>5</v>
      </c>
      <c r="K142" s="346">
        <f>Datasumsi!L57</f>
        <v>5</v>
      </c>
      <c r="L142" s="346">
        <f>Datasumsi!M57</f>
        <v>4</v>
      </c>
      <c r="M142" s="346">
        <f>Datasumsi!N57</f>
        <v>4</v>
      </c>
      <c r="N142" s="352"/>
      <c r="O142" s="349"/>
      <c r="P142" s="496"/>
      <c r="Q142" s="496"/>
    </row>
    <row r="145" spans="1:13" ht="18" thickBot="1">
      <c r="A145" s="353"/>
      <c r="B145" s="353" t="s">
        <v>211</v>
      </c>
      <c r="C145" s="353"/>
      <c r="D145" s="353"/>
      <c r="E145" s="353"/>
      <c r="F145" s="353"/>
      <c r="G145" s="353"/>
      <c r="H145" s="353"/>
      <c r="I145" s="353"/>
      <c r="J145" s="353"/>
      <c r="K145" s="353"/>
      <c r="L145" s="353"/>
      <c r="M145" s="353"/>
    </row>
    <row r="147" spans="1:13">
      <c r="B147" s="354" t="s">
        <v>212</v>
      </c>
      <c r="C147" s="355" t="s">
        <v>198</v>
      </c>
      <c r="D147" s="355" t="s">
        <v>213</v>
      </c>
      <c r="E147" s="355" t="s">
        <v>214</v>
      </c>
      <c r="F147" s="356" t="s">
        <v>215</v>
      </c>
      <c r="G147" s="357" t="s">
        <v>216</v>
      </c>
    </row>
    <row r="148" spans="1:13">
      <c r="B148" s="154" t="s">
        <v>217</v>
      </c>
      <c r="C148" s="155" t="s">
        <v>218</v>
      </c>
      <c r="D148" s="156">
        <v>0.12</v>
      </c>
      <c r="E148" s="155">
        <f>IF(E79&gt;0,5,1)</f>
        <v>5</v>
      </c>
      <c r="F148" s="155">
        <f t="shared" ref="F148:F155" si="66">$D148*E148</f>
        <v>0.6</v>
      </c>
      <c r="G148" s="482">
        <f>SUM(F148:F152)</f>
        <v>2.0999999999999996</v>
      </c>
    </row>
    <row r="149" spans="1:13">
      <c r="B149" s="154" t="s">
        <v>217</v>
      </c>
      <c r="C149" s="155" t="s">
        <v>90</v>
      </c>
      <c r="D149" s="156">
        <v>0.12</v>
      </c>
      <c r="E149" s="157">
        <f>IF(E80&gt;M13,5,0)</f>
        <v>5</v>
      </c>
      <c r="F149" s="155">
        <f t="shared" si="66"/>
        <v>0.6</v>
      </c>
      <c r="G149" s="482"/>
    </row>
    <row r="150" spans="1:13">
      <c r="B150" s="154" t="s">
        <v>217</v>
      </c>
      <c r="C150" s="155" t="s">
        <v>219</v>
      </c>
      <c r="D150" s="156">
        <v>0.08</v>
      </c>
      <c r="E150" s="155">
        <f>IF(E81&lt;3,5,IF(E81&lt;=4,4,IF(E81&lt;=7,3,IF(E81&lt;=10,2,1))))</f>
        <v>3</v>
      </c>
      <c r="F150" s="155">
        <f t="shared" si="66"/>
        <v>0.24</v>
      </c>
      <c r="G150" s="482"/>
    </row>
    <row r="151" spans="1:13">
      <c r="B151" s="154" t="s">
        <v>217</v>
      </c>
      <c r="C151" s="155" t="s">
        <v>220</v>
      </c>
      <c r="D151" s="156">
        <v>0.08</v>
      </c>
      <c r="E151" s="155">
        <f>IF(E83&lt;1,1,IF(E83&lt;=1.5,2,IF(E83&lt;2,3,IF(E83&lt;2.5,4,5))))</f>
        <v>2</v>
      </c>
      <c r="F151" s="155">
        <f t="shared" si="66"/>
        <v>0.16</v>
      </c>
      <c r="G151" s="482"/>
    </row>
    <row r="152" spans="1:13">
      <c r="B152" s="154" t="s">
        <v>217</v>
      </c>
      <c r="C152" s="155" t="s">
        <v>221</v>
      </c>
      <c r="D152" s="156">
        <v>0.1</v>
      </c>
      <c r="E152" s="157">
        <f>IF(E84&lt;0.05,1,IF(E84&lt;=0.1,2,IF(E84&lt;0.15,3,IF(E84&lt;0.2,4,5))))</f>
        <v>5</v>
      </c>
      <c r="F152" s="155">
        <f t="shared" si="66"/>
        <v>0.5</v>
      </c>
      <c r="G152" s="482"/>
    </row>
    <row r="153" spans="1:13">
      <c r="B153" s="154" t="s">
        <v>222</v>
      </c>
      <c r="C153" s="155" t="s">
        <v>206</v>
      </c>
      <c r="D153" s="156">
        <v>0.12</v>
      </c>
      <c r="E153" s="155">
        <f>N120</f>
        <v>4</v>
      </c>
      <c r="F153" s="155">
        <f t="shared" si="66"/>
        <v>0.48</v>
      </c>
      <c r="G153" s="482">
        <f>SUM(F153:F157)</f>
        <v>2.0999999999999996</v>
      </c>
    </row>
    <row r="154" spans="1:13">
      <c r="B154" s="154" t="s">
        <v>222</v>
      </c>
      <c r="C154" s="155" t="s">
        <v>207</v>
      </c>
      <c r="D154" s="156">
        <v>0.12</v>
      </c>
      <c r="E154" s="155">
        <f>N125</f>
        <v>4</v>
      </c>
      <c r="F154" s="155">
        <f t="shared" si="66"/>
        <v>0.48</v>
      </c>
      <c r="G154" s="482"/>
    </row>
    <row r="155" spans="1:13">
      <c r="B155" s="154" t="s">
        <v>222</v>
      </c>
      <c r="C155" s="155" t="s">
        <v>208</v>
      </c>
      <c r="D155" s="156">
        <v>0.1</v>
      </c>
      <c r="E155" s="155">
        <f>N130</f>
        <v>5</v>
      </c>
      <c r="F155" s="155">
        <f t="shared" si="66"/>
        <v>0.5</v>
      </c>
      <c r="G155" s="482"/>
    </row>
    <row r="156" spans="1:13">
      <c r="B156" s="154" t="s">
        <v>222</v>
      </c>
      <c r="C156" s="155" t="s">
        <v>209</v>
      </c>
      <c r="D156" s="156">
        <v>0.08</v>
      </c>
      <c r="E156" s="155">
        <f>N135</f>
        <v>5</v>
      </c>
      <c r="F156" s="155">
        <f>$D156*E156</f>
        <v>0.4</v>
      </c>
      <c r="G156" s="482"/>
    </row>
    <row r="157" spans="1:13">
      <c r="B157" s="154" t="s">
        <v>222</v>
      </c>
      <c r="C157" s="155" t="s">
        <v>210</v>
      </c>
      <c r="D157" s="156">
        <v>0.08</v>
      </c>
      <c r="E157" s="155">
        <f>N140</f>
        <v>3</v>
      </c>
      <c r="F157" s="155">
        <f>$D157*E157</f>
        <v>0.24</v>
      </c>
      <c r="G157" s="482"/>
    </row>
    <row r="158" spans="1:13">
      <c r="B158" s="483" t="s">
        <v>223</v>
      </c>
      <c r="C158" s="484"/>
      <c r="D158" s="358">
        <v>0.99999999999999989</v>
      </c>
      <c r="E158" s="359"/>
      <c r="F158" s="454"/>
      <c r="G158" s="453">
        <f>G148+G153</f>
        <v>4.1999999999999993</v>
      </c>
    </row>
    <row r="159" spans="1:13">
      <c r="B159" s="485" t="s">
        <v>224</v>
      </c>
      <c r="C159" s="486"/>
      <c r="D159" s="362"/>
      <c r="E159" s="455"/>
      <c r="F159" s="491" t="str">
        <f>IF(G158&gt;=4.1, "Very High", IF(G158&gt;=3.1, "High", IF(G158&gt;=2.1, "Moderate", IF(G158&gt;=1.1, "Low", IF(G158&gt;=0, "Very Low")))))</f>
        <v>Very High</v>
      </c>
      <c r="G159" s="489" t="str">
        <f>IF(G158&gt;=4.1, "VERY FEASIBLE", IF(G158&gt;=3.1, "FEASIBLE", IF(G158&gt;=2.1, "CONSIDERED", IF(G158&gt;=1.1, "NOT FEASIBLE", IF(G158&gt;=0, "VERY INAPPROPRIATE")))))</f>
        <v>VERY FEASIBLE</v>
      </c>
    </row>
    <row r="160" spans="1:13">
      <c r="B160" s="487"/>
      <c r="C160" s="488"/>
      <c r="D160" s="360"/>
      <c r="E160" s="456"/>
      <c r="F160" s="492"/>
      <c r="G160" s="490"/>
    </row>
    <row r="161" s="159" customFormat="1"/>
    <row r="162" s="159" customFormat="1"/>
    <row r="163" s="159" customFormat="1"/>
    <row r="164" s="159" customFormat="1"/>
    <row r="165" s="159" customFormat="1"/>
  </sheetData>
  <sheetProtection algorithmName="SHA-512" hashValue="+TZKZsCj7uWH7pcJvAAntw0iFX2S+x0J3bzqAbHY5xXeljbD34OvfFVrNtVhLgdd+th1qPEC/EygNIG93MQVKg==" saltValue="8R7as7zKk5YgKNGb1Mk8Iw==" spinCount="100000" sheet="1" objects="1" scenarios="1"/>
  <mergeCells count="28">
    <mergeCell ref="B1:M1"/>
    <mergeCell ref="B3:E3"/>
    <mergeCell ref="G3:I3"/>
    <mergeCell ref="K3:M3"/>
    <mergeCell ref="B12:E12"/>
    <mergeCell ref="K12:M12"/>
    <mergeCell ref="B22:R22"/>
    <mergeCell ref="B25:D25"/>
    <mergeCell ref="D78:E78"/>
    <mergeCell ref="B87:R87"/>
    <mergeCell ref="B17:R17"/>
    <mergeCell ref="P117:Q117"/>
    <mergeCell ref="B118:B122"/>
    <mergeCell ref="P118:Q122"/>
    <mergeCell ref="B123:B127"/>
    <mergeCell ref="P123:Q127"/>
    <mergeCell ref="B128:B132"/>
    <mergeCell ref="P128:Q132"/>
    <mergeCell ref="B133:B137"/>
    <mergeCell ref="P133:Q137"/>
    <mergeCell ref="B138:B142"/>
    <mergeCell ref="P138:Q142"/>
    <mergeCell ref="G148:G152"/>
    <mergeCell ref="G153:G157"/>
    <mergeCell ref="B158:C158"/>
    <mergeCell ref="B159:C160"/>
    <mergeCell ref="G159:G160"/>
    <mergeCell ref="F159:F160"/>
  </mergeCells>
  <phoneticPr fontId="51" type="noConversion"/>
  <printOptions horizontalCentered="1"/>
  <pageMargins left="0.39370078740157483" right="0.35" top="0.59055118110236227" bottom="0.28999999999999998" header="0.15748031496062992" footer="0.15748031496062992"/>
  <pageSetup paperSize="9" scale="52" firstPageNumber="5" fitToHeight="3" orientation="landscape" useFirstPageNumber="1" horizontalDpi="4294967292" r:id="rId1"/>
  <headerFooter alignWithMargins="0"/>
  <rowBreaks count="1" manualBreakCount="1">
    <brk id="58" min="1" max="1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27"/>
  <sheetViews>
    <sheetView zoomScale="80" zoomScaleNormal="80" workbookViewId="0">
      <selection activeCell="D25" sqref="D25"/>
    </sheetView>
  </sheetViews>
  <sheetFormatPr defaultColWidth="9" defaultRowHeight="14"/>
  <cols>
    <col min="1" max="1" width="2.83203125" style="30" customWidth="1"/>
    <col min="2" max="2" width="6.75" style="30" customWidth="1"/>
    <col min="3" max="3" width="14.75" style="30" bestFit="1" customWidth="1"/>
    <col min="4" max="5" width="15.75" style="30" customWidth="1"/>
    <col min="6" max="6" width="14.83203125" style="30" customWidth="1"/>
    <col min="7" max="7" width="38" style="30" customWidth="1"/>
    <col min="8" max="8" width="2" style="30" customWidth="1"/>
    <col min="9" max="9" width="4.08203125" style="30" customWidth="1"/>
    <col min="10" max="16384" width="9" style="30"/>
  </cols>
  <sheetData>
    <row r="1" spans="2:9" ht="17.5">
      <c r="B1" s="518" t="s">
        <v>130</v>
      </c>
      <c r="C1" s="518"/>
      <c r="D1" s="518"/>
      <c r="E1" s="518"/>
      <c r="F1" s="518"/>
      <c r="G1" s="518"/>
    </row>
    <row r="2" spans="2:9" ht="16.149999999999999" customHeight="1">
      <c r="B2" s="521" t="s">
        <v>0</v>
      </c>
      <c r="C2" s="521" t="s">
        <v>1</v>
      </c>
      <c r="D2" s="527" t="s">
        <v>159</v>
      </c>
      <c r="E2" s="524" t="s">
        <v>128</v>
      </c>
      <c r="F2" s="524" t="s">
        <v>156</v>
      </c>
      <c r="G2" s="527" t="s">
        <v>129</v>
      </c>
    </row>
    <row r="3" spans="2:9" ht="16.149999999999999" customHeight="1">
      <c r="B3" s="522"/>
      <c r="C3" s="522"/>
      <c r="D3" s="525"/>
      <c r="E3" s="525"/>
      <c r="F3" s="525"/>
      <c r="G3" s="525"/>
    </row>
    <row r="4" spans="2:9" ht="16.149999999999999" customHeight="1">
      <c r="B4" s="523"/>
      <c r="C4" s="523"/>
      <c r="D4" s="526"/>
      <c r="E4" s="526"/>
      <c r="F4" s="526"/>
      <c r="G4" s="526"/>
    </row>
    <row r="5" spans="2:9">
      <c r="B5" s="110" t="s">
        <v>120</v>
      </c>
      <c r="C5" s="111" t="s">
        <v>121</v>
      </c>
      <c r="D5" s="112"/>
      <c r="E5" s="112"/>
      <c r="F5" s="112"/>
      <c r="G5" s="528" t="s">
        <v>157</v>
      </c>
      <c r="I5" s="30">
        <v>3</v>
      </c>
    </row>
    <row r="6" spans="2:9" ht="15.65" customHeight="1">
      <c r="B6" s="31">
        <v>1</v>
      </c>
      <c r="C6" s="32" t="s">
        <v>30</v>
      </c>
      <c r="D6" s="126">
        <v>3</v>
      </c>
      <c r="E6" s="33">
        <v>1</v>
      </c>
      <c r="F6" s="33">
        <v>1</v>
      </c>
      <c r="G6" s="529"/>
      <c r="I6" s="30">
        <v>4</v>
      </c>
    </row>
    <row r="7" spans="2:9" ht="15.65" customHeight="1">
      <c r="B7" s="31">
        <v>2</v>
      </c>
      <c r="C7" s="32" t="s">
        <v>2</v>
      </c>
      <c r="D7" s="126">
        <v>4</v>
      </c>
      <c r="E7" s="33">
        <v>1</v>
      </c>
      <c r="F7" s="33">
        <v>1</v>
      </c>
      <c r="G7" s="529"/>
      <c r="I7" s="30">
        <v>3</v>
      </c>
    </row>
    <row r="8" spans="2:9" ht="15.65" customHeight="1">
      <c r="B8" s="31">
        <v>3</v>
      </c>
      <c r="C8" s="32" t="s">
        <v>3</v>
      </c>
      <c r="D8" s="126">
        <v>3</v>
      </c>
      <c r="E8" s="33">
        <v>1</v>
      </c>
      <c r="F8" s="33"/>
      <c r="G8" s="529"/>
      <c r="I8" s="30">
        <v>3</v>
      </c>
    </row>
    <row r="9" spans="2:9" ht="15.65" customHeight="1">
      <c r="B9" s="31">
        <v>4</v>
      </c>
      <c r="C9" s="32" t="s">
        <v>4</v>
      </c>
      <c r="D9" s="126">
        <v>3</v>
      </c>
      <c r="E9" s="33">
        <v>1</v>
      </c>
      <c r="F9" s="33"/>
      <c r="G9" s="529"/>
      <c r="I9" s="30">
        <v>1</v>
      </c>
    </row>
    <row r="10" spans="2:9" ht="15.65" customHeight="1">
      <c r="B10" s="31">
        <v>5</v>
      </c>
      <c r="C10" s="32" t="s">
        <v>5</v>
      </c>
      <c r="D10" s="126">
        <v>1</v>
      </c>
      <c r="E10" s="33"/>
      <c r="F10" s="33"/>
      <c r="G10" s="529"/>
      <c r="I10" s="30">
        <v>1</v>
      </c>
    </row>
    <row r="11" spans="2:9" ht="15.65" customHeight="1">
      <c r="B11" s="31">
        <v>6</v>
      </c>
      <c r="C11" s="32" t="s">
        <v>6</v>
      </c>
      <c r="D11" s="126">
        <v>1</v>
      </c>
      <c r="E11" s="33"/>
      <c r="F11" s="33"/>
      <c r="G11" s="529"/>
      <c r="I11" s="30">
        <v>1</v>
      </c>
    </row>
    <row r="12" spans="2:9" ht="15.65" customHeight="1">
      <c r="B12" s="31">
        <v>7</v>
      </c>
      <c r="C12" s="32" t="s">
        <v>7</v>
      </c>
      <c r="D12" s="126">
        <v>1</v>
      </c>
      <c r="E12" s="33"/>
      <c r="F12" s="33"/>
      <c r="G12" s="529"/>
      <c r="I12" s="30">
        <v>2</v>
      </c>
    </row>
    <row r="13" spans="2:9" ht="15.65" customHeight="1">
      <c r="B13" s="31">
        <v>8</v>
      </c>
      <c r="C13" s="32" t="s">
        <v>8</v>
      </c>
      <c r="D13" s="126">
        <v>2</v>
      </c>
      <c r="E13" s="33">
        <v>1</v>
      </c>
      <c r="F13" s="33"/>
      <c r="G13" s="529"/>
      <c r="I13" s="30">
        <v>2</v>
      </c>
    </row>
    <row r="14" spans="2:9" ht="15.65" customHeight="1">
      <c r="B14" s="34">
        <v>9</v>
      </c>
      <c r="C14" s="35" t="s">
        <v>9</v>
      </c>
      <c r="D14" s="127">
        <v>2</v>
      </c>
      <c r="E14" s="36">
        <v>1</v>
      </c>
      <c r="F14" s="36"/>
      <c r="G14" s="529"/>
    </row>
    <row r="15" spans="2:9" ht="20.5" customHeight="1">
      <c r="B15" s="113"/>
      <c r="C15" s="114" t="s">
        <v>31</v>
      </c>
      <c r="D15" s="115">
        <f>SUM(D6:D14)</f>
        <v>20</v>
      </c>
      <c r="E15" s="115">
        <f>SUM(E6:E14)</f>
        <v>6</v>
      </c>
      <c r="F15" s="115">
        <f>SUM(F6:F14)</f>
        <v>2</v>
      </c>
      <c r="G15" s="529"/>
    </row>
    <row r="16" spans="2:9" ht="15.65" customHeight="1">
      <c r="B16" s="37"/>
      <c r="C16" s="38"/>
      <c r="D16" s="39"/>
      <c r="E16" s="39"/>
      <c r="F16" s="39"/>
      <c r="G16" s="529"/>
    </row>
    <row r="17" spans="2:9" ht="15.65" customHeight="1">
      <c r="B17" s="57" t="s">
        <v>122</v>
      </c>
      <c r="C17" s="58" t="s">
        <v>123</v>
      </c>
      <c r="D17" s="39"/>
      <c r="E17" s="39"/>
      <c r="F17" s="39"/>
      <c r="G17" s="529"/>
    </row>
    <row r="18" spans="2:9" ht="15.65" customHeight="1">
      <c r="B18" s="31">
        <v>1</v>
      </c>
      <c r="C18" s="32" t="s">
        <v>93</v>
      </c>
      <c r="D18" s="33">
        <v>1</v>
      </c>
      <c r="E18" s="33"/>
      <c r="F18" s="33"/>
      <c r="G18" s="529"/>
      <c r="I18" s="30">
        <v>1</v>
      </c>
    </row>
    <row r="19" spans="2:9" ht="15.65" customHeight="1">
      <c r="B19" s="31">
        <v>2</v>
      </c>
      <c r="C19" s="32" t="s">
        <v>94</v>
      </c>
      <c r="D19" s="40">
        <v>3</v>
      </c>
      <c r="E19" s="40"/>
      <c r="F19" s="40"/>
      <c r="G19" s="529"/>
      <c r="I19" s="30">
        <v>3</v>
      </c>
    </row>
    <row r="20" spans="2:9" ht="15.65" customHeight="1">
      <c r="B20" s="31">
        <v>3</v>
      </c>
      <c r="C20" s="32" t="s">
        <v>96</v>
      </c>
      <c r="D20" s="33">
        <v>2</v>
      </c>
      <c r="E20" s="33">
        <v>1</v>
      </c>
      <c r="F20" s="33">
        <v>1</v>
      </c>
      <c r="G20" s="529"/>
      <c r="I20" s="30">
        <v>2</v>
      </c>
    </row>
    <row r="21" spans="2:9" ht="15.65" customHeight="1">
      <c r="B21" s="34">
        <v>4</v>
      </c>
      <c r="C21" s="35" t="s">
        <v>95</v>
      </c>
      <c r="D21" s="36">
        <v>1</v>
      </c>
      <c r="E21" s="36">
        <v>1</v>
      </c>
      <c r="F21" s="36">
        <v>1</v>
      </c>
      <c r="G21" s="530"/>
      <c r="I21" s="30">
        <v>1</v>
      </c>
    </row>
    <row r="22" spans="2:9" ht="18.649999999999999" customHeight="1">
      <c r="B22" s="46"/>
      <c r="C22" s="59" t="s">
        <v>31</v>
      </c>
      <c r="D22" s="56">
        <f>SUM(D18:D21)</f>
        <v>7</v>
      </c>
      <c r="E22" s="56">
        <f>SUM(E18:E21)</f>
        <v>2</v>
      </c>
      <c r="F22" s="56">
        <f>SUM(F18:F21)</f>
        <v>2</v>
      </c>
      <c r="G22" s="519" t="s">
        <v>158</v>
      </c>
    </row>
    <row r="23" spans="2:9" ht="18.649999999999999" customHeight="1">
      <c r="B23" s="46"/>
      <c r="C23" s="60" t="s">
        <v>119</v>
      </c>
      <c r="D23" s="66">
        <f>D15+D22</f>
        <v>27</v>
      </c>
      <c r="E23" s="66">
        <f>E15+E22</f>
        <v>8</v>
      </c>
      <c r="F23" s="66">
        <f>F15+F22</f>
        <v>4</v>
      </c>
      <c r="G23" s="520"/>
    </row>
    <row r="27" spans="2:9" ht="15.65" customHeight="1"/>
  </sheetData>
  <mergeCells count="9">
    <mergeCell ref="B1:G1"/>
    <mergeCell ref="G22:G23"/>
    <mergeCell ref="C2:C4"/>
    <mergeCell ref="B2:B4"/>
    <mergeCell ref="E2:E4"/>
    <mergeCell ref="F2:F4"/>
    <mergeCell ref="D2:D4"/>
    <mergeCell ref="G2:G4"/>
    <mergeCell ref="G5:G21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127"/>
  <sheetViews>
    <sheetView zoomScale="80" zoomScaleNormal="80" workbookViewId="0">
      <selection activeCell="U86" sqref="U86:AA123"/>
    </sheetView>
  </sheetViews>
  <sheetFormatPr defaultRowHeight="15.5"/>
  <cols>
    <col min="1" max="1" width="3.5" customWidth="1"/>
    <col min="2" max="2" width="5.33203125" customWidth="1"/>
    <col min="3" max="3" width="20.08203125" style="6" customWidth="1"/>
    <col min="4" max="4" width="10.5" style="1" customWidth="1"/>
    <col min="5" max="5" width="14.33203125" style="1" customWidth="1"/>
    <col min="6" max="6" width="10.08203125" style="1" customWidth="1"/>
    <col min="7" max="7" width="14.75" style="108" customWidth="1"/>
    <col min="8" max="8" width="7.25" style="6" customWidth="1"/>
    <col min="9" max="9" width="1.58203125" style="6" customWidth="1"/>
    <col min="10" max="10" width="1" style="130" customWidth="1"/>
    <col min="11" max="11" width="2.25" style="6" customWidth="1"/>
    <col min="12" max="12" width="5.33203125" style="6" customWidth="1"/>
    <col min="13" max="13" width="19.33203125" style="6" bestFit="1" customWidth="1"/>
    <col min="14" max="14" width="10.5" style="6" customWidth="1"/>
    <col min="15" max="15" width="14.58203125" style="6" customWidth="1"/>
    <col min="16" max="16" width="11.25" style="6" customWidth="1"/>
    <col min="17" max="17" width="7.25" style="6" customWidth="1"/>
    <col min="18" max="18" width="3.33203125" style="6" customWidth="1"/>
    <col min="19" max="19" width="1.33203125" style="130" customWidth="1"/>
    <col min="20" max="20" width="3.33203125" style="6" customWidth="1"/>
    <col min="21" max="21" width="11.58203125" style="1" customWidth="1"/>
    <col min="22" max="22" width="3.75" bestFit="1" customWidth="1"/>
    <col min="23" max="23" width="18.5" bestFit="1" customWidth="1"/>
    <col min="24" max="24" width="9.5" customWidth="1"/>
    <col min="25" max="25" width="13.33203125" customWidth="1"/>
    <col min="26" max="26" width="7.83203125" customWidth="1"/>
    <col min="27" max="27" width="4.83203125" bestFit="1" customWidth="1"/>
    <col min="28" max="28" width="1.75" customWidth="1"/>
    <col min="29" max="29" width="1" style="118" customWidth="1"/>
    <col min="30" max="30" width="1.75" customWidth="1"/>
  </cols>
  <sheetData>
    <row r="1" spans="2:29" ht="16" thickBot="1">
      <c r="B1" s="534" t="s">
        <v>140</v>
      </c>
      <c r="C1" s="534"/>
      <c r="D1" s="534"/>
      <c r="E1" s="534"/>
      <c r="F1" s="534"/>
      <c r="G1" s="534"/>
      <c r="H1" s="534"/>
      <c r="I1" s="2"/>
      <c r="J1" s="128"/>
      <c r="K1" s="2"/>
      <c r="L1" s="2"/>
      <c r="M1" s="2"/>
      <c r="N1" s="2"/>
      <c r="O1" s="2"/>
      <c r="P1" s="2"/>
      <c r="Q1" s="2"/>
      <c r="R1" s="2"/>
      <c r="S1" s="128"/>
      <c r="T1" s="2"/>
      <c r="U1" s="2"/>
      <c r="V1" s="2"/>
    </row>
    <row r="2" spans="2:29" s="2" customFormat="1" ht="60.5" thickBot="1">
      <c r="B2" s="101" t="s">
        <v>0</v>
      </c>
      <c r="C2" s="102" t="s">
        <v>10</v>
      </c>
      <c r="D2" s="103" t="s">
        <v>11</v>
      </c>
      <c r="E2" s="103" t="s">
        <v>12</v>
      </c>
      <c r="F2" s="103" t="s">
        <v>97</v>
      </c>
      <c r="G2" s="104" t="s">
        <v>139</v>
      </c>
      <c r="H2" s="89" t="s">
        <v>112</v>
      </c>
      <c r="I2" s="19"/>
      <c r="J2" s="129"/>
      <c r="K2" s="19"/>
      <c r="L2" s="19"/>
      <c r="M2" s="19"/>
      <c r="N2" s="19"/>
      <c r="O2" s="19"/>
      <c r="P2" s="19"/>
      <c r="Q2" s="19"/>
      <c r="R2" s="19"/>
      <c r="S2" s="129"/>
      <c r="T2" s="19"/>
      <c r="U2" s="19"/>
      <c r="V2" s="20"/>
      <c r="AC2" s="128"/>
    </row>
    <row r="3" spans="2:29" s="2" customFormat="1">
      <c r="B3" s="97">
        <v>1</v>
      </c>
      <c r="C3" s="98" t="s">
        <v>13</v>
      </c>
      <c r="D3" s="99">
        <v>2151</v>
      </c>
      <c r="E3" s="99">
        <v>1984</v>
      </c>
      <c r="F3" s="99">
        <f>2018-E3</f>
        <v>34</v>
      </c>
      <c r="G3" s="105">
        <v>300</v>
      </c>
      <c r="H3" s="100" t="s">
        <v>126</v>
      </c>
      <c r="I3" s="19"/>
      <c r="J3" s="129"/>
      <c r="K3" s="19"/>
      <c r="L3" s="19"/>
      <c r="M3" s="19"/>
      <c r="N3" s="19"/>
      <c r="O3" s="19"/>
      <c r="P3" s="19"/>
      <c r="Q3" s="19"/>
      <c r="R3" s="19"/>
      <c r="S3" s="129"/>
      <c r="T3" s="19"/>
      <c r="U3" s="19"/>
      <c r="V3" s="20"/>
      <c r="AC3" s="128"/>
    </row>
    <row r="4" spans="2:29" s="2" customFormat="1">
      <c r="B4" s="93">
        <v>2</v>
      </c>
      <c r="C4" s="22" t="s">
        <v>13</v>
      </c>
      <c r="D4" s="21">
        <v>2152</v>
      </c>
      <c r="E4" s="21">
        <v>1984</v>
      </c>
      <c r="F4" s="21">
        <f t="shared" ref="F4:F35" si="0">2018-E4</f>
        <v>34</v>
      </c>
      <c r="G4" s="106">
        <v>300</v>
      </c>
      <c r="H4" s="91" t="s">
        <v>126</v>
      </c>
      <c r="I4" s="19"/>
      <c r="J4" s="129"/>
      <c r="K4" s="19"/>
      <c r="L4" s="19"/>
      <c r="M4" s="19"/>
      <c r="N4" s="19"/>
      <c r="O4" s="19"/>
      <c r="P4" s="19"/>
      <c r="Q4" s="19"/>
      <c r="R4" s="19"/>
      <c r="S4" s="129"/>
      <c r="T4" s="19"/>
      <c r="U4" s="19"/>
      <c r="V4" s="20"/>
      <c r="AC4" s="128"/>
    </row>
    <row r="5" spans="2:29" s="2" customFormat="1">
      <c r="B5" s="93">
        <v>3</v>
      </c>
      <c r="C5" s="22" t="s">
        <v>13</v>
      </c>
      <c r="D5" s="21">
        <v>2153</v>
      </c>
      <c r="E5" s="21">
        <v>1984</v>
      </c>
      <c r="F5" s="21">
        <f t="shared" si="0"/>
        <v>34</v>
      </c>
      <c r="G5" s="106">
        <v>300</v>
      </c>
      <c r="H5" s="91" t="s">
        <v>126</v>
      </c>
      <c r="I5" s="19"/>
      <c r="J5" s="129"/>
      <c r="K5" s="19"/>
      <c r="L5" s="19"/>
      <c r="M5" s="19"/>
      <c r="N5" s="19"/>
      <c r="O5" s="19"/>
      <c r="P5" s="19"/>
      <c r="Q5" s="19"/>
      <c r="R5" s="19"/>
      <c r="S5" s="129"/>
      <c r="T5" s="19"/>
      <c r="U5" s="19"/>
      <c r="V5" s="20"/>
      <c r="AC5" s="128"/>
    </row>
    <row r="6" spans="2:29" s="2" customFormat="1">
      <c r="B6" s="93">
        <v>4</v>
      </c>
      <c r="C6" s="22" t="s">
        <v>13</v>
      </c>
      <c r="D6" s="21">
        <v>2154</v>
      </c>
      <c r="E6" s="21">
        <v>1984</v>
      </c>
      <c r="F6" s="21">
        <f t="shared" si="0"/>
        <v>34</v>
      </c>
      <c r="G6" s="106">
        <v>300</v>
      </c>
      <c r="H6" s="91" t="s">
        <v>126</v>
      </c>
      <c r="I6" s="19"/>
      <c r="J6" s="129"/>
      <c r="K6" s="19"/>
      <c r="L6" s="19"/>
      <c r="M6" s="19"/>
      <c r="N6" s="19"/>
      <c r="O6" s="19"/>
      <c r="P6" s="19"/>
      <c r="Q6" s="19"/>
      <c r="R6" s="19"/>
      <c r="S6" s="129"/>
      <c r="T6" s="19"/>
      <c r="U6" s="19"/>
      <c r="V6" s="20"/>
      <c r="AC6" s="128"/>
    </row>
    <row r="7" spans="2:29" s="2" customFormat="1">
      <c r="B7" s="93">
        <v>5</v>
      </c>
      <c r="C7" s="22" t="s">
        <v>13</v>
      </c>
      <c r="D7" s="21">
        <v>2217</v>
      </c>
      <c r="E7" s="21">
        <v>1984</v>
      </c>
      <c r="F7" s="21">
        <f t="shared" si="0"/>
        <v>34</v>
      </c>
      <c r="G7" s="106">
        <v>300</v>
      </c>
      <c r="H7" s="91" t="s">
        <v>126</v>
      </c>
      <c r="I7" s="19"/>
      <c r="J7" s="129"/>
      <c r="K7" s="19"/>
      <c r="L7" s="19"/>
      <c r="M7" s="19"/>
      <c r="N7" s="19"/>
      <c r="O7" s="19"/>
      <c r="P7" s="19"/>
      <c r="Q7" s="19"/>
      <c r="R7" s="19"/>
      <c r="S7" s="129"/>
      <c r="T7" s="19"/>
      <c r="U7" s="19"/>
      <c r="V7" s="20"/>
      <c r="AC7" s="128"/>
    </row>
    <row r="8" spans="2:29" s="2" customFormat="1">
      <c r="B8" s="93">
        <v>6</v>
      </c>
      <c r="C8" s="22" t="s">
        <v>13</v>
      </c>
      <c r="D8" s="21">
        <v>2218</v>
      </c>
      <c r="E8" s="21">
        <v>1984</v>
      </c>
      <c r="F8" s="21">
        <f t="shared" si="0"/>
        <v>34</v>
      </c>
      <c r="G8" s="106">
        <v>300</v>
      </c>
      <c r="H8" s="91" t="s">
        <v>126</v>
      </c>
      <c r="I8" s="19"/>
      <c r="J8" s="129"/>
      <c r="K8" s="19"/>
      <c r="L8" s="19"/>
      <c r="M8" s="19"/>
      <c r="N8" s="19"/>
      <c r="O8" s="19"/>
      <c r="P8" s="19"/>
      <c r="Q8" s="19"/>
      <c r="R8" s="19"/>
      <c r="S8" s="129"/>
      <c r="T8" s="19"/>
      <c r="U8" s="19"/>
      <c r="V8" s="20"/>
      <c r="AC8" s="128"/>
    </row>
    <row r="9" spans="2:29" s="2" customFormat="1">
      <c r="B9" s="93">
        <v>7</v>
      </c>
      <c r="C9" s="22" t="s">
        <v>14</v>
      </c>
      <c r="D9" s="21">
        <v>2400</v>
      </c>
      <c r="E9" s="21">
        <v>1988</v>
      </c>
      <c r="F9" s="21">
        <f t="shared" si="0"/>
        <v>30</v>
      </c>
      <c r="G9" s="106">
        <v>300</v>
      </c>
      <c r="H9" s="91" t="s">
        <v>126</v>
      </c>
      <c r="I9" s="19"/>
      <c r="J9" s="129"/>
      <c r="K9" s="19"/>
      <c r="L9" s="19"/>
      <c r="M9" s="19"/>
      <c r="N9" s="19"/>
      <c r="O9" s="19"/>
      <c r="P9" s="19"/>
      <c r="Q9" s="19"/>
      <c r="R9" s="19"/>
      <c r="S9" s="129"/>
      <c r="T9" s="19"/>
      <c r="U9" s="19"/>
      <c r="V9" s="20"/>
      <c r="AC9" s="128"/>
    </row>
    <row r="10" spans="2:29" s="2" customFormat="1">
      <c r="B10" s="93">
        <v>8</v>
      </c>
      <c r="C10" s="22" t="s">
        <v>14</v>
      </c>
      <c r="D10" s="21">
        <v>2401</v>
      </c>
      <c r="E10" s="21">
        <v>1988</v>
      </c>
      <c r="F10" s="21">
        <f t="shared" si="0"/>
        <v>30</v>
      </c>
      <c r="G10" s="106">
        <v>300</v>
      </c>
      <c r="H10" s="91" t="s">
        <v>126</v>
      </c>
      <c r="I10" s="19"/>
      <c r="J10" s="129"/>
      <c r="K10" s="19"/>
      <c r="L10" s="19"/>
      <c r="M10" s="19"/>
      <c r="N10" s="19"/>
      <c r="O10" s="19"/>
      <c r="P10" s="19"/>
      <c r="Q10" s="19"/>
      <c r="R10" s="19"/>
      <c r="S10" s="129"/>
      <c r="T10" s="19"/>
      <c r="U10" s="19"/>
      <c r="V10" s="20"/>
      <c r="AC10" s="128"/>
    </row>
    <row r="11" spans="2:29" s="2" customFormat="1">
      <c r="B11" s="93">
        <v>9</v>
      </c>
      <c r="C11" s="22" t="s">
        <v>14</v>
      </c>
      <c r="D11" s="21">
        <v>2402</v>
      </c>
      <c r="E11" s="21">
        <v>1988</v>
      </c>
      <c r="F11" s="21">
        <f t="shared" si="0"/>
        <v>30</v>
      </c>
      <c r="G11" s="106">
        <v>300</v>
      </c>
      <c r="H11" s="91" t="s">
        <v>126</v>
      </c>
      <c r="I11" s="19"/>
      <c r="J11" s="129"/>
      <c r="K11" s="19"/>
      <c r="L11" s="19"/>
      <c r="M11" s="19"/>
      <c r="N11" s="19"/>
      <c r="O11" s="19"/>
      <c r="P11" s="19"/>
      <c r="Q11" s="19"/>
      <c r="R11" s="19"/>
      <c r="S11" s="129"/>
      <c r="T11" s="19"/>
      <c r="U11" s="19"/>
      <c r="V11" s="20"/>
      <c r="AC11" s="128"/>
    </row>
    <row r="12" spans="2:29" s="2" customFormat="1">
      <c r="B12" s="93">
        <v>10</v>
      </c>
      <c r="C12" s="22" t="s">
        <v>14</v>
      </c>
      <c r="D12" s="21">
        <v>2403</v>
      </c>
      <c r="E12" s="21">
        <v>1988</v>
      </c>
      <c r="F12" s="21">
        <f t="shared" si="0"/>
        <v>30</v>
      </c>
      <c r="G12" s="106">
        <v>300</v>
      </c>
      <c r="H12" s="91" t="s">
        <v>126</v>
      </c>
      <c r="I12" s="19"/>
      <c r="J12" s="129"/>
      <c r="K12" s="19"/>
      <c r="L12" s="19"/>
      <c r="M12" s="19"/>
      <c r="N12" s="19"/>
      <c r="O12" s="19"/>
      <c r="P12" s="19"/>
      <c r="Q12" s="19"/>
      <c r="R12" s="19"/>
      <c r="S12" s="129"/>
      <c r="T12" s="19"/>
      <c r="U12" s="19"/>
      <c r="V12" s="20"/>
      <c r="AC12" s="128"/>
    </row>
    <row r="13" spans="2:29" s="2" customFormat="1">
      <c r="B13" s="93">
        <v>11</v>
      </c>
      <c r="C13" s="22" t="s">
        <v>14</v>
      </c>
      <c r="D13" s="21">
        <v>2404</v>
      </c>
      <c r="E13" s="21">
        <v>1988</v>
      </c>
      <c r="F13" s="21">
        <f t="shared" si="0"/>
        <v>30</v>
      </c>
      <c r="G13" s="106">
        <v>300</v>
      </c>
      <c r="H13" s="91" t="s">
        <v>126</v>
      </c>
      <c r="I13" s="19"/>
      <c r="J13" s="129"/>
      <c r="K13" s="19"/>
      <c r="L13" s="19"/>
      <c r="M13" s="19"/>
      <c r="N13" s="19"/>
      <c r="O13" s="19"/>
      <c r="P13" s="19"/>
      <c r="Q13" s="19"/>
      <c r="R13" s="19"/>
      <c r="S13" s="129"/>
      <c r="T13" s="19"/>
      <c r="U13" s="19"/>
      <c r="V13" s="20"/>
      <c r="AC13" s="128"/>
    </row>
    <row r="14" spans="2:29" s="2" customFormat="1">
      <c r="B14" s="93">
        <v>12</v>
      </c>
      <c r="C14" s="22" t="s">
        <v>14</v>
      </c>
      <c r="D14" s="21">
        <v>2405</v>
      </c>
      <c r="E14" s="21">
        <v>1988</v>
      </c>
      <c r="F14" s="21">
        <f t="shared" si="0"/>
        <v>30</v>
      </c>
      <c r="G14" s="106">
        <v>300</v>
      </c>
      <c r="H14" s="91" t="s">
        <v>126</v>
      </c>
      <c r="I14" s="19"/>
      <c r="J14" s="129"/>
      <c r="K14" s="19"/>
      <c r="L14" s="19"/>
      <c r="M14" s="19"/>
      <c r="N14" s="19"/>
      <c r="O14" s="19"/>
      <c r="P14" s="19"/>
      <c r="Q14" s="19"/>
      <c r="R14" s="19"/>
      <c r="S14" s="129"/>
      <c r="T14" s="19"/>
      <c r="U14" s="19"/>
      <c r="V14" s="20"/>
      <c r="AC14" s="128"/>
    </row>
    <row r="15" spans="2:29" s="2" customFormat="1">
      <c r="B15" s="93">
        <v>13</v>
      </c>
      <c r="C15" s="22" t="s">
        <v>14</v>
      </c>
      <c r="D15" s="21">
        <v>2406</v>
      </c>
      <c r="E15" s="21">
        <v>1988</v>
      </c>
      <c r="F15" s="21">
        <f t="shared" si="0"/>
        <v>30</v>
      </c>
      <c r="G15" s="106">
        <v>300</v>
      </c>
      <c r="H15" s="91" t="s">
        <v>126</v>
      </c>
      <c r="I15" s="19"/>
      <c r="J15" s="129"/>
      <c r="K15" s="19"/>
      <c r="L15" s="19"/>
      <c r="M15" s="19"/>
      <c r="N15" s="19"/>
      <c r="O15" s="19"/>
      <c r="P15" s="19"/>
      <c r="Q15" s="19"/>
      <c r="R15" s="19"/>
      <c r="S15" s="129"/>
      <c r="T15" s="19"/>
      <c r="U15" s="19"/>
      <c r="V15" s="20"/>
      <c r="AC15" s="128"/>
    </row>
    <row r="16" spans="2:29" s="2" customFormat="1">
      <c r="B16" s="93">
        <v>14</v>
      </c>
      <c r="C16" s="22" t="s">
        <v>14</v>
      </c>
      <c r="D16" s="21">
        <v>2491</v>
      </c>
      <c r="E16" s="21">
        <v>1990</v>
      </c>
      <c r="F16" s="21">
        <f>2018-E16</f>
        <v>28</v>
      </c>
      <c r="G16" s="106">
        <v>300</v>
      </c>
      <c r="H16" s="91" t="s">
        <v>126</v>
      </c>
      <c r="I16" s="19"/>
      <c r="J16" s="129"/>
      <c r="K16" s="19"/>
      <c r="L16" s="19"/>
      <c r="M16" s="19"/>
      <c r="N16" s="19"/>
      <c r="O16" s="19"/>
      <c r="P16" s="19"/>
      <c r="Q16" s="19"/>
      <c r="R16" s="19"/>
      <c r="S16" s="129"/>
      <c r="T16" s="19"/>
      <c r="U16" s="19"/>
      <c r="V16" s="20"/>
      <c r="AC16" s="128"/>
    </row>
    <row r="17" spans="2:29" s="2" customFormat="1">
      <c r="B17" s="93">
        <v>15</v>
      </c>
      <c r="C17" s="22" t="s">
        <v>14</v>
      </c>
      <c r="D17" s="21">
        <v>2492</v>
      </c>
      <c r="E17" s="21">
        <v>1990</v>
      </c>
      <c r="F17" s="21">
        <f t="shared" si="0"/>
        <v>28</v>
      </c>
      <c r="G17" s="106">
        <v>300</v>
      </c>
      <c r="H17" s="91" t="s">
        <v>126</v>
      </c>
      <c r="I17" s="19"/>
      <c r="J17" s="129"/>
      <c r="K17" s="19"/>
      <c r="L17" s="19"/>
      <c r="M17" s="19"/>
      <c r="N17" s="19"/>
      <c r="O17" s="19"/>
      <c r="P17" s="19"/>
      <c r="Q17" s="19"/>
      <c r="R17" s="19"/>
      <c r="S17" s="129"/>
      <c r="T17" s="19"/>
      <c r="U17" s="19"/>
      <c r="V17" s="20"/>
      <c r="AC17" s="128"/>
    </row>
    <row r="18" spans="2:29" s="2" customFormat="1">
      <c r="B18" s="93">
        <v>16</v>
      </c>
      <c r="C18" s="22" t="s">
        <v>14</v>
      </c>
      <c r="D18" s="21">
        <v>2493</v>
      </c>
      <c r="E18" s="21">
        <v>1990</v>
      </c>
      <c r="F18" s="21">
        <f t="shared" si="0"/>
        <v>28</v>
      </c>
      <c r="G18" s="106">
        <v>300</v>
      </c>
      <c r="H18" s="91" t="s">
        <v>126</v>
      </c>
      <c r="I18" s="19"/>
      <c r="J18" s="129"/>
      <c r="K18" s="19"/>
      <c r="L18" s="19"/>
      <c r="M18" s="19"/>
      <c r="N18" s="19"/>
      <c r="O18" s="19"/>
      <c r="P18" s="19"/>
      <c r="Q18" s="19"/>
      <c r="R18" s="19"/>
      <c r="S18" s="129"/>
      <c r="T18" s="19"/>
      <c r="U18" s="19"/>
      <c r="V18" s="20"/>
      <c r="AC18" s="128"/>
    </row>
    <row r="19" spans="2:29" s="2" customFormat="1">
      <c r="B19" s="93">
        <v>17</v>
      </c>
      <c r="C19" s="22" t="s">
        <v>15</v>
      </c>
      <c r="D19" s="21">
        <v>2052</v>
      </c>
      <c r="E19" s="21">
        <v>1993</v>
      </c>
      <c r="F19" s="21">
        <f t="shared" si="0"/>
        <v>25</v>
      </c>
      <c r="G19" s="106">
        <v>300</v>
      </c>
      <c r="H19" s="91" t="s">
        <v>126</v>
      </c>
      <c r="I19" s="19"/>
      <c r="J19" s="129"/>
      <c r="K19" s="19"/>
      <c r="L19" s="19"/>
      <c r="M19" s="19"/>
      <c r="N19" s="19"/>
      <c r="O19" s="19"/>
      <c r="P19" s="19"/>
      <c r="Q19" s="19"/>
      <c r="R19" s="19"/>
      <c r="S19" s="129"/>
      <c r="T19" s="19"/>
      <c r="U19" s="19"/>
      <c r="V19" s="20"/>
      <c r="AC19" s="128"/>
    </row>
    <row r="20" spans="2:29" s="2" customFormat="1">
      <c r="B20" s="93">
        <v>18</v>
      </c>
      <c r="C20" s="22" t="s">
        <v>16</v>
      </c>
      <c r="D20" s="21">
        <v>2718</v>
      </c>
      <c r="E20" s="21">
        <v>1994</v>
      </c>
      <c r="F20" s="21">
        <f t="shared" si="0"/>
        <v>24</v>
      </c>
      <c r="G20" s="106">
        <v>300</v>
      </c>
      <c r="H20" s="91" t="s">
        <v>126</v>
      </c>
      <c r="I20" s="19"/>
      <c r="J20" s="129"/>
      <c r="K20" s="19"/>
      <c r="L20" s="19"/>
      <c r="M20" s="19"/>
      <c r="N20" s="19"/>
      <c r="O20" s="19"/>
      <c r="P20" s="19"/>
      <c r="Q20" s="19"/>
      <c r="R20" s="19"/>
      <c r="S20" s="129"/>
      <c r="T20" s="19"/>
      <c r="U20" s="19"/>
      <c r="V20" s="20"/>
      <c r="AC20" s="128"/>
    </row>
    <row r="21" spans="2:29" s="2" customFormat="1">
      <c r="B21" s="93">
        <v>19</v>
      </c>
      <c r="C21" s="22" t="s">
        <v>17</v>
      </c>
      <c r="D21" s="21">
        <v>2719</v>
      </c>
      <c r="E21" s="21">
        <v>1994</v>
      </c>
      <c r="F21" s="21">
        <f t="shared" si="0"/>
        <v>24</v>
      </c>
      <c r="G21" s="106">
        <v>300</v>
      </c>
      <c r="H21" s="91" t="s">
        <v>126</v>
      </c>
      <c r="I21" s="19"/>
      <c r="J21" s="129"/>
      <c r="K21" s="19"/>
      <c r="L21" s="19"/>
      <c r="M21" s="19"/>
      <c r="N21" s="19"/>
      <c r="O21" s="19"/>
      <c r="P21" s="19"/>
      <c r="Q21" s="19"/>
      <c r="R21" s="19"/>
      <c r="S21" s="129"/>
      <c r="T21" s="19"/>
      <c r="U21" s="19"/>
      <c r="V21" s="20"/>
      <c r="AC21" s="128"/>
    </row>
    <row r="22" spans="2:29" s="2" customFormat="1">
      <c r="B22" s="93">
        <v>20</v>
      </c>
      <c r="C22" s="22" t="s">
        <v>18</v>
      </c>
      <c r="D22" s="21">
        <v>2061</v>
      </c>
      <c r="E22" s="21">
        <v>1994</v>
      </c>
      <c r="F22" s="21">
        <f t="shared" si="0"/>
        <v>24</v>
      </c>
      <c r="G22" s="106">
        <v>500</v>
      </c>
      <c r="H22" s="91" t="s">
        <v>126</v>
      </c>
      <c r="I22" s="19"/>
      <c r="J22" s="129"/>
      <c r="K22" s="19"/>
      <c r="L22" s="19"/>
      <c r="M22" s="19"/>
      <c r="N22" s="19"/>
      <c r="O22" s="19"/>
      <c r="P22" s="19"/>
      <c r="Q22" s="19"/>
      <c r="R22" s="19"/>
      <c r="S22" s="129"/>
      <c r="T22" s="19"/>
      <c r="U22" s="19"/>
      <c r="V22" s="20"/>
      <c r="AC22" s="128"/>
    </row>
    <row r="23" spans="2:29" s="2" customFormat="1">
      <c r="B23" s="93">
        <v>21</v>
      </c>
      <c r="C23" s="22" t="s">
        <v>19</v>
      </c>
      <c r="D23" s="21">
        <v>2696</v>
      </c>
      <c r="E23" s="21">
        <v>1994</v>
      </c>
      <c r="F23" s="21">
        <f t="shared" si="0"/>
        <v>24</v>
      </c>
      <c r="G23" s="106">
        <v>500</v>
      </c>
      <c r="H23" s="91" t="s">
        <v>126</v>
      </c>
      <c r="I23" s="19"/>
      <c r="J23" s="129"/>
      <c r="K23" s="19"/>
      <c r="L23" s="19"/>
      <c r="M23" s="19"/>
      <c r="N23" s="19"/>
      <c r="O23" s="19"/>
      <c r="P23" s="19"/>
      <c r="Q23" s="19"/>
      <c r="R23" s="19"/>
      <c r="S23" s="129"/>
      <c r="T23" s="19"/>
      <c r="U23" s="19"/>
      <c r="V23" s="20"/>
      <c r="AC23" s="128"/>
    </row>
    <row r="24" spans="2:29" s="2" customFormat="1">
      <c r="B24" s="93">
        <v>22</v>
      </c>
      <c r="C24" s="22" t="s">
        <v>19</v>
      </c>
      <c r="D24" s="21">
        <v>2701</v>
      </c>
      <c r="E24" s="21">
        <v>1994</v>
      </c>
      <c r="F24" s="21">
        <f t="shared" si="0"/>
        <v>24</v>
      </c>
      <c r="G24" s="106">
        <v>500</v>
      </c>
      <c r="H24" s="91" t="s">
        <v>126</v>
      </c>
      <c r="I24" s="19"/>
      <c r="J24" s="129"/>
      <c r="K24" s="19"/>
      <c r="L24" s="19"/>
      <c r="M24" s="19"/>
      <c r="N24" s="19"/>
      <c r="O24" s="19"/>
      <c r="P24" s="19"/>
      <c r="Q24" s="19"/>
      <c r="R24" s="19"/>
      <c r="S24" s="129"/>
      <c r="T24" s="19"/>
      <c r="U24" s="19"/>
      <c r="V24" s="20"/>
      <c r="AC24" s="128"/>
    </row>
    <row r="25" spans="2:29" s="2" customFormat="1">
      <c r="B25" s="93">
        <v>23</v>
      </c>
      <c r="C25" s="22" t="s">
        <v>20</v>
      </c>
      <c r="D25" s="21">
        <v>2725</v>
      </c>
      <c r="E25" s="21">
        <v>1994</v>
      </c>
      <c r="F25" s="21">
        <f t="shared" si="0"/>
        <v>24</v>
      </c>
      <c r="G25" s="106">
        <v>500</v>
      </c>
      <c r="H25" s="91" t="s">
        <v>126</v>
      </c>
      <c r="I25" s="19"/>
      <c r="J25" s="129"/>
      <c r="K25" s="19"/>
      <c r="L25" s="19"/>
      <c r="M25" s="19"/>
      <c r="N25" s="19"/>
      <c r="O25" s="19"/>
      <c r="P25" s="19"/>
      <c r="Q25" s="19"/>
      <c r="R25" s="19"/>
      <c r="S25" s="129"/>
      <c r="T25" s="19"/>
      <c r="U25" s="19"/>
      <c r="V25" s="20"/>
      <c r="AC25" s="128"/>
    </row>
    <row r="26" spans="2:29" s="2" customFormat="1">
      <c r="B26" s="93">
        <v>24</v>
      </c>
      <c r="C26" s="22" t="s">
        <v>20</v>
      </c>
      <c r="D26" s="21">
        <v>2726</v>
      </c>
      <c r="E26" s="21">
        <v>1994</v>
      </c>
      <c r="F26" s="21">
        <f t="shared" si="0"/>
        <v>24</v>
      </c>
      <c r="G26" s="106">
        <v>500</v>
      </c>
      <c r="H26" s="91" t="s">
        <v>126</v>
      </c>
      <c r="I26" s="19"/>
      <c r="J26" s="129"/>
      <c r="K26" s="19"/>
      <c r="L26" s="19"/>
      <c r="M26" s="19"/>
      <c r="N26" s="19"/>
      <c r="O26" s="19"/>
      <c r="P26" s="19"/>
      <c r="Q26" s="19"/>
      <c r="R26" s="19"/>
      <c r="S26" s="129"/>
      <c r="T26" s="19"/>
      <c r="U26" s="19"/>
      <c r="V26" s="20"/>
      <c r="AC26" s="128"/>
    </row>
    <row r="27" spans="2:29" s="2" customFormat="1">
      <c r="B27" s="93">
        <v>25</v>
      </c>
      <c r="C27" s="22" t="s">
        <v>20</v>
      </c>
      <c r="D27" s="21">
        <v>2727</v>
      </c>
      <c r="E27" s="21">
        <v>1994</v>
      </c>
      <c r="F27" s="21">
        <f t="shared" si="0"/>
        <v>24</v>
      </c>
      <c r="G27" s="106">
        <v>500</v>
      </c>
      <c r="H27" s="91" t="s">
        <v>126</v>
      </c>
      <c r="I27" s="19"/>
      <c r="J27" s="129"/>
      <c r="K27" s="19"/>
      <c r="L27" s="19"/>
      <c r="M27" s="19"/>
      <c r="N27" s="19"/>
      <c r="O27" s="19"/>
      <c r="P27" s="19"/>
      <c r="Q27" s="19"/>
      <c r="R27" s="19"/>
      <c r="S27" s="129"/>
      <c r="T27" s="19"/>
      <c r="U27" s="19"/>
      <c r="V27" s="20"/>
      <c r="AC27" s="128"/>
    </row>
    <row r="28" spans="2:29" s="2" customFormat="1">
      <c r="B28" s="93">
        <v>26</v>
      </c>
      <c r="C28" s="22" t="s">
        <v>20</v>
      </c>
      <c r="D28" s="21">
        <v>2728</v>
      </c>
      <c r="E28" s="21">
        <v>1994</v>
      </c>
      <c r="F28" s="21">
        <f t="shared" si="0"/>
        <v>24</v>
      </c>
      <c r="G28" s="106">
        <v>500</v>
      </c>
      <c r="H28" s="91" t="s">
        <v>126</v>
      </c>
      <c r="I28" s="19"/>
      <c r="J28" s="129"/>
      <c r="K28" s="19"/>
      <c r="L28" s="19"/>
      <c r="M28" s="19"/>
      <c r="N28" s="19"/>
      <c r="O28" s="19"/>
      <c r="P28" s="19"/>
      <c r="Q28" s="19"/>
      <c r="R28" s="19"/>
      <c r="S28" s="129"/>
      <c r="T28" s="19"/>
      <c r="U28" s="19"/>
      <c r="V28" s="20"/>
      <c r="AC28" s="128"/>
    </row>
    <row r="29" spans="2:29">
      <c r="B29" s="93">
        <v>27</v>
      </c>
      <c r="C29" s="22" t="s">
        <v>21</v>
      </c>
      <c r="D29" s="21">
        <v>3528</v>
      </c>
      <c r="E29" s="21">
        <v>2012</v>
      </c>
      <c r="F29" s="21">
        <f t="shared" si="0"/>
        <v>6</v>
      </c>
      <c r="G29" s="106">
        <v>800</v>
      </c>
      <c r="H29" s="91" t="s">
        <v>126</v>
      </c>
    </row>
    <row r="30" spans="2:29">
      <c r="B30" s="93">
        <v>28</v>
      </c>
      <c r="C30" s="22" t="s">
        <v>21</v>
      </c>
      <c r="D30" s="21">
        <v>5915</v>
      </c>
      <c r="E30" s="21">
        <v>2013</v>
      </c>
      <c r="F30" s="21">
        <f t="shared" si="0"/>
        <v>5</v>
      </c>
      <c r="G30" s="106">
        <v>800</v>
      </c>
      <c r="H30" s="91" t="s">
        <v>126</v>
      </c>
    </row>
    <row r="31" spans="2:29">
      <c r="B31" s="93">
        <v>29</v>
      </c>
      <c r="C31" s="22" t="s">
        <v>22</v>
      </c>
      <c r="D31" s="21">
        <v>6272</v>
      </c>
      <c r="E31" s="21">
        <v>2014</v>
      </c>
      <c r="F31" s="21">
        <f t="shared" si="0"/>
        <v>4</v>
      </c>
      <c r="G31" s="106">
        <v>1000</v>
      </c>
      <c r="H31" s="91" t="s">
        <v>126</v>
      </c>
    </row>
    <row r="32" spans="2:29">
      <c r="B32" s="93">
        <v>30</v>
      </c>
      <c r="C32" s="22" t="s">
        <v>22</v>
      </c>
      <c r="D32" s="21">
        <v>6273</v>
      </c>
      <c r="E32" s="21">
        <v>2014</v>
      </c>
      <c r="F32" s="21">
        <f t="shared" si="0"/>
        <v>4</v>
      </c>
      <c r="G32" s="106">
        <v>1000</v>
      </c>
      <c r="H32" s="91" t="s">
        <v>126</v>
      </c>
    </row>
    <row r="33" spans="2:21">
      <c r="B33" s="93">
        <v>31</v>
      </c>
      <c r="C33" s="22" t="s">
        <v>22</v>
      </c>
      <c r="D33" s="21">
        <v>6274</v>
      </c>
      <c r="E33" s="21">
        <v>2015</v>
      </c>
      <c r="F33" s="21">
        <f t="shared" si="0"/>
        <v>3</v>
      </c>
      <c r="G33" s="106">
        <v>1000</v>
      </c>
      <c r="H33" s="91" t="s">
        <v>126</v>
      </c>
    </row>
    <row r="34" spans="2:21">
      <c r="B34" s="93">
        <v>32</v>
      </c>
      <c r="C34" s="22" t="s">
        <v>22</v>
      </c>
      <c r="D34" s="21">
        <v>6275</v>
      </c>
      <c r="E34" s="21">
        <v>2015</v>
      </c>
      <c r="F34" s="21">
        <f t="shared" si="0"/>
        <v>3</v>
      </c>
      <c r="G34" s="106">
        <v>1000</v>
      </c>
      <c r="H34" s="91" t="s">
        <v>126</v>
      </c>
    </row>
    <row r="35" spans="2:21">
      <c r="B35" s="93">
        <v>33</v>
      </c>
      <c r="C35" s="22" t="s">
        <v>22</v>
      </c>
      <c r="D35" s="21">
        <v>6276</v>
      </c>
      <c r="E35" s="21">
        <v>2015</v>
      </c>
      <c r="F35" s="21">
        <f t="shared" si="0"/>
        <v>3</v>
      </c>
      <c r="G35" s="106">
        <v>1000</v>
      </c>
      <c r="H35" s="91" t="s">
        <v>126</v>
      </c>
    </row>
    <row r="36" spans="2:21">
      <c r="B36" s="93">
        <v>34</v>
      </c>
      <c r="C36" s="22" t="s">
        <v>132</v>
      </c>
      <c r="D36" s="21">
        <v>912</v>
      </c>
      <c r="E36" s="21">
        <v>1990</v>
      </c>
      <c r="F36" s="21">
        <f t="shared" ref="F36:F39" si="1">2018-E36</f>
        <v>28</v>
      </c>
      <c r="G36" s="106">
        <v>0</v>
      </c>
      <c r="H36" s="91" t="s">
        <v>133</v>
      </c>
    </row>
    <row r="37" spans="2:21">
      <c r="B37" s="93">
        <v>35</v>
      </c>
      <c r="C37" s="22" t="s">
        <v>132</v>
      </c>
      <c r="D37" s="21">
        <v>862</v>
      </c>
      <c r="E37" s="21">
        <v>1988</v>
      </c>
      <c r="F37" s="21">
        <f t="shared" si="1"/>
        <v>30</v>
      </c>
      <c r="G37" s="106">
        <v>0</v>
      </c>
      <c r="H37" s="91" t="s">
        <v>133</v>
      </c>
    </row>
    <row r="38" spans="2:21">
      <c r="B38" s="93">
        <v>36</v>
      </c>
      <c r="C38" s="22" t="s">
        <v>132</v>
      </c>
      <c r="D38" s="21">
        <v>863</v>
      </c>
      <c r="E38" s="21">
        <v>1988</v>
      </c>
      <c r="F38" s="21">
        <f t="shared" si="1"/>
        <v>30</v>
      </c>
      <c r="G38" s="106">
        <v>0</v>
      </c>
      <c r="H38" s="91" t="s">
        <v>133</v>
      </c>
    </row>
    <row r="39" spans="2:21" ht="16" thickBot="1">
      <c r="B39" s="94">
        <v>37</v>
      </c>
      <c r="C39" s="95" t="s">
        <v>132</v>
      </c>
      <c r="D39" s="96">
        <v>864</v>
      </c>
      <c r="E39" s="96">
        <v>1988</v>
      </c>
      <c r="F39" s="96">
        <f t="shared" si="1"/>
        <v>30</v>
      </c>
      <c r="G39" s="107">
        <v>0</v>
      </c>
      <c r="H39" s="92" t="s">
        <v>133</v>
      </c>
    </row>
    <row r="41" spans="2:21" s="118" customFormat="1">
      <c r="C41" s="130"/>
      <c r="D41" s="132"/>
      <c r="E41" s="132"/>
      <c r="F41" s="132"/>
      <c r="G41" s="133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2"/>
    </row>
    <row r="43" spans="2:21" ht="17.5">
      <c r="C43" s="6" t="s">
        <v>134</v>
      </c>
      <c r="D43" s="1">
        <f>COUNTA(C3:C39)</f>
        <v>37</v>
      </c>
      <c r="L43" s="535" t="s">
        <v>127</v>
      </c>
      <c r="M43" s="535"/>
      <c r="N43" s="535"/>
      <c r="O43" s="535"/>
      <c r="P43" s="535"/>
      <c r="Q43" s="535"/>
    </row>
    <row r="44" spans="2:21" ht="45">
      <c r="L44" s="3" t="s">
        <v>0</v>
      </c>
      <c r="M44" s="7" t="s">
        <v>10</v>
      </c>
      <c r="N44" s="4" t="s">
        <v>11</v>
      </c>
      <c r="O44" s="4" t="s">
        <v>12</v>
      </c>
      <c r="P44" s="4" t="s">
        <v>97</v>
      </c>
      <c r="Q44" s="4" t="s">
        <v>112</v>
      </c>
    </row>
    <row r="45" spans="2:21">
      <c r="L45" s="67">
        <v>1</v>
      </c>
      <c r="M45" s="68" t="s">
        <v>22</v>
      </c>
      <c r="N45" s="69">
        <v>6274</v>
      </c>
      <c r="O45" s="69">
        <v>2015</v>
      </c>
      <c r="P45" s="69">
        <f t="shared" ref="P45:P81" si="2">2018-O45</f>
        <v>3</v>
      </c>
      <c r="Q45" s="70" t="s">
        <v>126</v>
      </c>
    </row>
    <row r="46" spans="2:21">
      <c r="L46" s="71">
        <v>2</v>
      </c>
      <c r="M46" s="72" t="s">
        <v>22</v>
      </c>
      <c r="N46" s="73">
        <v>6275</v>
      </c>
      <c r="O46" s="73">
        <v>2015</v>
      </c>
      <c r="P46" s="73">
        <f t="shared" si="2"/>
        <v>3</v>
      </c>
      <c r="Q46" s="74" t="s">
        <v>126</v>
      </c>
    </row>
    <row r="47" spans="2:21">
      <c r="L47" s="71">
        <v>3</v>
      </c>
      <c r="M47" s="72" t="s">
        <v>22</v>
      </c>
      <c r="N47" s="73">
        <v>6276</v>
      </c>
      <c r="O47" s="73">
        <v>2015</v>
      </c>
      <c r="P47" s="73">
        <f t="shared" si="2"/>
        <v>3</v>
      </c>
      <c r="Q47" s="74" t="s">
        <v>126</v>
      </c>
    </row>
    <row r="48" spans="2:21">
      <c r="L48" s="71">
        <v>4</v>
      </c>
      <c r="M48" s="72" t="s">
        <v>22</v>
      </c>
      <c r="N48" s="73">
        <v>6272</v>
      </c>
      <c r="O48" s="73">
        <v>2014</v>
      </c>
      <c r="P48" s="73">
        <f t="shared" si="2"/>
        <v>4</v>
      </c>
      <c r="Q48" s="74" t="s">
        <v>126</v>
      </c>
    </row>
    <row r="49" spans="12:17">
      <c r="L49" s="71">
        <v>5</v>
      </c>
      <c r="M49" s="72" t="s">
        <v>22</v>
      </c>
      <c r="N49" s="73">
        <v>6273</v>
      </c>
      <c r="O49" s="73">
        <v>2014</v>
      </c>
      <c r="P49" s="73">
        <f t="shared" si="2"/>
        <v>4</v>
      </c>
      <c r="Q49" s="74" t="s">
        <v>126</v>
      </c>
    </row>
    <row r="50" spans="12:17">
      <c r="L50" s="71">
        <v>6</v>
      </c>
      <c r="M50" s="72" t="s">
        <v>21</v>
      </c>
      <c r="N50" s="73">
        <v>5915</v>
      </c>
      <c r="O50" s="73">
        <v>2013</v>
      </c>
      <c r="P50" s="73">
        <f t="shared" si="2"/>
        <v>5</v>
      </c>
      <c r="Q50" s="74" t="s">
        <v>126</v>
      </c>
    </row>
    <row r="51" spans="12:17">
      <c r="L51" s="71">
        <v>7</v>
      </c>
      <c r="M51" s="72" t="s">
        <v>21</v>
      </c>
      <c r="N51" s="73">
        <v>3528</v>
      </c>
      <c r="O51" s="73">
        <v>2012</v>
      </c>
      <c r="P51" s="73">
        <f t="shared" si="2"/>
        <v>6</v>
      </c>
      <c r="Q51" s="74" t="s">
        <v>126</v>
      </c>
    </row>
    <row r="52" spans="12:17">
      <c r="L52" s="75">
        <v>1</v>
      </c>
      <c r="M52" s="76" t="s">
        <v>16</v>
      </c>
      <c r="N52" s="77">
        <v>2718</v>
      </c>
      <c r="O52" s="77">
        <v>1994</v>
      </c>
      <c r="P52" s="77">
        <f t="shared" si="2"/>
        <v>24</v>
      </c>
      <c r="Q52" s="78" t="s">
        <v>126</v>
      </c>
    </row>
    <row r="53" spans="12:17">
      <c r="L53" s="75">
        <v>2</v>
      </c>
      <c r="M53" s="76" t="s">
        <v>17</v>
      </c>
      <c r="N53" s="77">
        <v>2719</v>
      </c>
      <c r="O53" s="77">
        <v>1994</v>
      </c>
      <c r="P53" s="77">
        <f t="shared" si="2"/>
        <v>24</v>
      </c>
      <c r="Q53" s="78" t="s">
        <v>126</v>
      </c>
    </row>
    <row r="54" spans="12:17">
      <c r="L54" s="75">
        <v>3</v>
      </c>
      <c r="M54" s="76" t="s">
        <v>18</v>
      </c>
      <c r="N54" s="77">
        <v>2061</v>
      </c>
      <c r="O54" s="77">
        <v>1994</v>
      </c>
      <c r="P54" s="77">
        <f t="shared" si="2"/>
        <v>24</v>
      </c>
      <c r="Q54" s="78" t="s">
        <v>126</v>
      </c>
    </row>
    <row r="55" spans="12:17">
      <c r="L55" s="75">
        <v>4</v>
      </c>
      <c r="M55" s="76" t="s">
        <v>19</v>
      </c>
      <c r="N55" s="77">
        <v>2696</v>
      </c>
      <c r="O55" s="77">
        <v>1994</v>
      </c>
      <c r="P55" s="77">
        <f t="shared" si="2"/>
        <v>24</v>
      </c>
      <c r="Q55" s="78" t="s">
        <v>126</v>
      </c>
    </row>
    <row r="56" spans="12:17">
      <c r="L56" s="75">
        <v>5</v>
      </c>
      <c r="M56" s="76" t="s">
        <v>19</v>
      </c>
      <c r="N56" s="77">
        <v>2701</v>
      </c>
      <c r="O56" s="77">
        <v>1994</v>
      </c>
      <c r="P56" s="77">
        <f t="shared" si="2"/>
        <v>24</v>
      </c>
      <c r="Q56" s="78" t="s">
        <v>126</v>
      </c>
    </row>
    <row r="57" spans="12:17">
      <c r="L57" s="75">
        <v>6</v>
      </c>
      <c r="M57" s="76" t="s">
        <v>20</v>
      </c>
      <c r="N57" s="77">
        <v>2725</v>
      </c>
      <c r="O57" s="77">
        <v>1994</v>
      </c>
      <c r="P57" s="77">
        <f t="shared" si="2"/>
        <v>24</v>
      </c>
      <c r="Q57" s="78" t="s">
        <v>126</v>
      </c>
    </row>
    <row r="58" spans="12:17">
      <c r="L58" s="75">
        <v>7</v>
      </c>
      <c r="M58" s="76" t="s">
        <v>20</v>
      </c>
      <c r="N58" s="77">
        <v>2726</v>
      </c>
      <c r="O58" s="77">
        <v>1994</v>
      </c>
      <c r="P58" s="77">
        <f t="shared" si="2"/>
        <v>24</v>
      </c>
      <c r="Q58" s="78" t="s">
        <v>126</v>
      </c>
    </row>
    <row r="59" spans="12:17">
      <c r="L59" s="75">
        <v>8</v>
      </c>
      <c r="M59" s="76" t="s">
        <v>20</v>
      </c>
      <c r="N59" s="77">
        <v>2727</v>
      </c>
      <c r="O59" s="77">
        <v>1994</v>
      </c>
      <c r="P59" s="77">
        <f t="shared" si="2"/>
        <v>24</v>
      </c>
      <c r="Q59" s="78" t="s">
        <v>126</v>
      </c>
    </row>
    <row r="60" spans="12:17">
      <c r="L60" s="75">
        <v>9</v>
      </c>
      <c r="M60" s="76" t="s">
        <v>20</v>
      </c>
      <c r="N60" s="77">
        <v>2728</v>
      </c>
      <c r="O60" s="77">
        <v>1994</v>
      </c>
      <c r="P60" s="77">
        <f t="shared" si="2"/>
        <v>24</v>
      </c>
      <c r="Q60" s="78" t="s">
        <v>126</v>
      </c>
    </row>
    <row r="61" spans="12:17">
      <c r="L61" s="75">
        <v>10</v>
      </c>
      <c r="M61" s="76" t="s">
        <v>15</v>
      </c>
      <c r="N61" s="77">
        <v>2052</v>
      </c>
      <c r="O61" s="77">
        <v>1993</v>
      </c>
      <c r="P61" s="77">
        <f t="shared" si="2"/>
        <v>25</v>
      </c>
      <c r="Q61" s="78" t="s">
        <v>126</v>
      </c>
    </row>
    <row r="62" spans="12:17">
      <c r="L62" s="75">
        <v>11</v>
      </c>
      <c r="M62" s="76" t="s">
        <v>14</v>
      </c>
      <c r="N62" s="77">
        <v>2492</v>
      </c>
      <c r="O62" s="77">
        <v>1990</v>
      </c>
      <c r="P62" s="77">
        <f t="shared" si="2"/>
        <v>28</v>
      </c>
      <c r="Q62" s="78" t="s">
        <v>126</v>
      </c>
    </row>
    <row r="63" spans="12:17">
      <c r="L63" s="75">
        <v>12</v>
      </c>
      <c r="M63" s="76" t="s">
        <v>14</v>
      </c>
      <c r="N63" s="77">
        <v>2493</v>
      </c>
      <c r="O63" s="77">
        <v>1990</v>
      </c>
      <c r="P63" s="77">
        <f t="shared" si="2"/>
        <v>28</v>
      </c>
      <c r="Q63" s="78" t="s">
        <v>126</v>
      </c>
    </row>
    <row r="64" spans="12:17">
      <c r="L64" s="75">
        <v>13</v>
      </c>
      <c r="M64" s="76" t="s">
        <v>14</v>
      </c>
      <c r="N64" s="77">
        <v>2491</v>
      </c>
      <c r="O64" s="77">
        <v>1990</v>
      </c>
      <c r="P64" s="77">
        <f t="shared" si="2"/>
        <v>28</v>
      </c>
      <c r="Q64" s="78" t="s">
        <v>126</v>
      </c>
    </row>
    <row r="65" spans="12:17">
      <c r="L65" s="75">
        <v>14</v>
      </c>
      <c r="M65" s="76" t="s">
        <v>132</v>
      </c>
      <c r="N65" s="77">
        <v>912</v>
      </c>
      <c r="O65" s="77">
        <v>1990</v>
      </c>
      <c r="P65" s="77">
        <f t="shared" si="2"/>
        <v>28</v>
      </c>
      <c r="Q65" s="78" t="s">
        <v>133</v>
      </c>
    </row>
    <row r="66" spans="12:17">
      <c r="L66" s="75">
        <v>15</v>
      </c>
      <c r="M66" s="76" t="s">
        <v>14</v>
      </c>
      <c r="N66" s="77">
        <v>2400</v>
      </c>
      <c r="O66" s="77">
        <v>1988</v>
      </c>
      <c r="P66" s="77">
        <f t="shared" si="2"/>
        <v>30</v>
      </c>
      <c r="Q66" s="78" t="s">
        <v>126</v>
      </c>
    </row>
    <row r="67" spans="12:17">
      <c r="L67" s="75">
        <v>16</v>
      </c>
      <c r="M67" s="76" t="s">
        <v>14</v>
      </c>
      <c r="N67" s="77">
        <v>2401</v>
      </c>
      <c r="O67" s="77">
        <v>1988</v>
      </c>
      <c r="P67" s="77">
        <f t="shared" si="2"/>
        <v>30</v>
      </c>
      <c r="Q67" s="78" t="s">
        <v>126</v>
      </c>
    </row>
    <row r="68" spans="12:17">
      <c r="L68" s="75">
        <v>17</v>
      </c>
      <c r="M68" s="76" t="s">
        <v>14</v>
      </c>
      <c r="N68" s="77">
        <v>2402</v>
      </c>
      <c r="O68" s="77">
        <v>1988</v>
      </c>
      <c r="P68" s="77">
        <f t="shared" si="2"/>
        <v>30</v>
      </c>
      <c r="Q68" s="78" t="s">
        <v>126</v>
      </c>
    </row>
    <row r="69" spans="12:17">
      <c r="L69" s="75">
        <v>18</v>
      </c>
      <c r="M69" s="76" t="s">
        <v>14</v>
      </c>
      <c r="N69" s="77">
        <v>2403</v>
      </c>
      <c r="O69" s="77">
        <v>1988</v>
      </c>
      <c r="P69" s="77">
        <f t="shared" si="2"/>
        <v>30</v>
      </c>
      <c r="Q69" s="78" t="s">
        <v>126</v>
      </c>
    </row>
    <row r="70" spans="12:17">
      <c r="L70" s="75">
        <v>19</v>
      </c>
      <c r="M70" s="76" t="s">
        <v>14</v>
      </c>
      <c r="N70" s="77">
        <v>2404</v>
      </c>
      <c r="O70" s="77">
        <v>1988</v>
      </c>
      <c r="P70" s="77">
        <f t="shared" si="2"/>
        <v>30</v>
      </c>
      <c r="Q70" s="78" t="s">
        <v>126</v>
      </c>
    </row>
    <row r="71" spans="12:17">
      <c r="L71" s="75">
        <v>20</v>
      </c>
      <c r="M71" s="76" t="s">
        <v>14</v>
      </c>
      <c r="N71" s="77">
        <v>2405</v>
      </c>
      <c r="O71" s="77">
        <v>1988</v>
      </c>
      <c r="P71" s="77">
        <f t="shared" si="2"/>
        <v>30</v>
      </c>
      <c r="Q71" s="78" t="s">
        <v>126</v>
      </c>
    </row>
    <row r="72" spans="12:17">
      <c r="L72" s="75">
        <v>21</v>
      </c>
      <c r="M72" s="76" t="s">
        <v>14</v>
      </c>
      <c r="N72" s="77">
        <v>2406</v>
      </c>
      <c r="O72" s="77">
        <v>1988</v>
      </c>
      <c r="P72" s="77">
        <f t="shared" si="2"/>
        <v>30</v>
      </c>
      <c r="Q72" s="78" t="s">
        <v>126</v>
      </c>
    </row>
    <row r="73" spans="12:17">
      <c r="L73" s="75">
        <v>22</v>
      </c>
      <c r="M73" s="76" t="s">
        <v>132</v>
      </c>
      <c r="N73" s="77">
        <v>862</v>
      </c>
      <c r="O73" s="77">
        <v>1988</v>
      </c>
      <c r="P73" s="77">
        <f t="shared" si="2"/>
        <v>30</v>
      </c>
      <c r="Q73" s="78" t="s">
        <v>133</v>
      </c>
    </row>
    <row r="74" spans="12:17">
      <c r="L74" s="75">
        <v>23</v>
      </c>
      <c r="M74" s="76" t="s">
        <v>132</v>
      </c>
      <c r="N74" s="77">
        <v>863</v>
      </c>
      <c r="O74" s="77">
        <v>1988</v>
      </c>
      <c r="P74" s="77">
        <f t="shared" si="2"/>
        <v>30</v>
      </c>
      <c r="Q74" s="78" t="s">
        <v>133</v>
      </c>
    </row>
    <row r="75" spans="12:17">
      <c r="L75" s="75">
        <v>24</v>
      </c>
      <c r="M75" s="76" t="s">
        <v>132</v>
      </c>
      <c r="N75" s="77">
        <v>864</v>
      </c>
      <c r="O75" s="77">
        <v>1988</v>
      </c>
      <c r="P75" s="77">
        <f t="shared" si="2"/>
        <v>30</v>
      </c>
      <c r="Q75" s="78" t="s">
        <v>133</v>
      </c>
    </row>
    <row r="76" spans="12:17">
      <c r="L76" s="79">
        <v>1</v>
      </c>
      <c r="M76" s="80" t="s">
        <v>13</v>
      </c>
      <c r="N76" s="81">
        <v>2151</v>
      </c>
      <c r="O76" s="81">
        <v>1984</v>
      </c>
      <c r="P76" s="81">
        <f t="shared" si="2"/>
        <v>34</v>
      </c>
      <c r="Q76" s="82" t="s">
        <v>126</v>
      </c>
    </row>
    <row r="77" spans="12:17">
      <c r="L77" s="79">
        <v>2</v>
      </c>
      <c r="M77" s="80" t="s">
        <v>13</v>
      </c>
      <c r="N77" s="81">
        <v>2152</v>
      </c>
      <c r="O77" s="81">
        <v>1984</v>
      </c>
      <c r="P77" s="81">
        <f t="shared" si="2"/>
        <v>34</v>
      </c>
      <c r="Q77" s="82" t="s">
        <v>126</v>
      </c>
    </row>
    <row r="78" spans="12:17">
      <c r="L78" s="79">
        <v>3</v>
      </c>
      <c r="M78" s="80" t="s">
        <v>13</v>
      </c>
      <c r="N78" s="81">
        <v>2153</v>
      </c>
      <c r="O78" s="81">
        <v>1984</v>
      </c>
      <c r="P78" s="81">
        <f t="shared" si="2"/>
        <v>34</v>
      </c>
      <c r="Q78" s="82" t="s">
        <v>126</v>
      </c>
    </row>
    <row r="79" spans="12:17">
      <c r="L79" s="79">
        <v>4</v>
      </c>
      <c r="M79" s="80" t="s">
        <v>13</v>
      </c>
      <c r="N79" s="81">
        <v>2154</v>
      </c>
      <c r="O79" s="81">
        <v>1984</v>
      </c>
      <c r="P79" s="81">
        <f t="shared" si="2"/>
        <v>34</v>
      </c>
      <c r="Q79" s="82" t="s">
        <v>126</v>
      </c>
    </row>
    <row r="80" spans="12:17">
      <c r="L80" s="79">
        <v>5</v>
      </c>
      <c r="M80" s="80" t="s">
        <v>13</v>
      </c>
      <c r="N80" s="81">
        <v>2217</v>
      </c>
      <c r="O80" s="81">
        <v>1984</v>
      </c>
      <c r="P80" s="81">
        <f t="shared" si="2"/>
        <v>34</v>
      </c>
      <c r="Q80" s="82" t="s">
        <v>126</v>
      </c>
    </row>
    <row r="81" spans="3:29">
      <c r="L81" s="79">
        <v>6</v>
      </c>
      <c r="M81" s="83" t="s">
        <v>13</v>
      </c>
      <c r="N81" s="84">
        <v>2218</v>
      </c>
      <c r="O81" s="84">
        <v>1984</v>
      </c>
      <c r="P81" s="84">
        <f t="shared" si="2"/>
        <v>34</v>
      </c>
      <c r="Q81" s="85" t="s">
        <v>126</v>
      </c>
    </row>
    <row r="83" spans="3:29" s="118" customFormat="1">
      <c r="C83" s="130"/>
      <c r="D83" s="132"/>
      <c r="E83" s="132"/>
      <c r="F83" s="132"/>
      <c r="G83" s="133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2"/>
    </row>
    <row r="84" spans="3:29">
      <c r="N84" s="6" t="s">
        <v>137</v>
      </c>
    </row>
    <row r="85" spans="3:29" ht="16" thickBot="1">
      <c r="U85" s="539" t="s">
        <v>135</v>
      </c>
      <c r="V85" s="539"/>
      <c r="W85" s="539"/>
      <c r="X85" s="539"/>
      <c r="Y85" s="539"/>
      <c r="Z85" s="539"/>
      <c r="AA85" s="539"/>
    </row>
    <row r="86" spans="3:29" ht="42.5" thickBot="1">
      <c r="U86" s="49" t="s">
        <v>100</v>
      </c>
      <c r="V86" s="50" t="s">
        <v>0</v>
      </c>
      <c r="W86" s="50" t="s">
        <v>10</v>
      </c>
      <c r="X86" s="51" t="s">
        <v>11</v>
      </c>
      <c r="Y86" s="51" t="s">
        <v>12</v>
      </c>
      <c r="Z86" s="51" t="s">
        <v>97</v>
      </c>
      <c r="AA86" s="89" t="s">
        <v>112</v>
      </c>
    </row>
    <row r="87" spans="3:29" s="8" customFormat="1">
      <c r="C87" s="48"/>
      <c r="D87" s="16"/>
      <c r="E87" s="16"/>
      <c r="F87" s="16"/>
      <c r="G87" s="109"/>
      <c r="H87" s="48"/>
      <c r="I87" s="48"/>
      <c r="J87" s="131"/>
      <c r="K87" s="48"/>
      <c r="L87" s="48"/>
      <c r="M87" s="48"/>
      <c r="N87" s="48"/>
      <c r="O87" s="48"/>
      <c r="P87" s="48"/>
      <c r="Q87" s="48"/>
      <c r="R87" s="48"/>
      <c r="S87" s="131"/>
      <c r="T87" s="48"/>
      <c r="U87" s="531" t="s">
        <v>103</v>
      </c>
      <c r="V87" s="52">
        <v>1</v>
      </c>
      <c r="W87" s="53" t="s">
        <v>22</v>
      </c>
      <c r="X87" s="52">
        <v>6274</v>
      </c>
      <c r="Y87" s="52">
        <v>2015</v>
      </c>
      <c r="Z87" s="52">
        <f>2018-Y87</f>
        <v>3</v>
      </c>
      <c r="AA87" s="90" t="s">
        <v>126</v>
      </c>
      <c r="AC87" s="135"/>
    </row>
    <row r="88" spans="3:29" s="8" customFormat="1">
      <c r="C88" s="48"/>
      <c r="D88" s="16"/>
      <c r="E88" s="16"/>
      <c r="F88" s="16"/>
      <c r="G88" s="109"/>
      <c r="H88" s="48"/>
      <c r="I88" s="48"/>
      <c r="J88" s="131"/>
      <c r="K88" s="48"/>
      <c r="L88" s="48"/>
      <c r="M88" s="48"/>
      <c r="N88" s="48"/>
      <c r="O88" s="48"/>
      <c r="P88" s="48"/>
      <c r="Q88" s="48"/>
      <c r="R88" s="48"/>
      <c r="S88" s="131"/>
      <c r="T88" s="48"/>
      <c r="U88" s="532"/>
      <c r="V88" s="27">
        <v>2</v>
      </c>
      <c r="W88" s="28" t="s">
        <v>22</v>
      </c>
      <c r="X88" s="27">
        <v>6275</v>
      </c>
      <c r="Y88" s="27">
        <v>2015</v>
      </c>
      <c r="Z88" s="27">
        <f t="shared" ref="Z88:Z93" si="3">2018-Y88</f>
        <v>3</v>
      </c>
      <c r="AA88" s="91" t="s">
        <v>126</v>
      </c>
      <c r="AC88" s="135"/>
    </row>
    <row r="89" spans="3:29" s="8" customFormat="1">
      <c r="C89" s="48"/>
      <c r="D89" s="16"/>
      <c r="E89" s="16"/>
      <c r="F89" s="16"/>
      <c r="G89" s="109"/>
      <c r="H89" s="48"/>
      <c r="I89" s="48"/>
      <c r="J89" s="131"/>
      <c r="K89" s="48"/>
      <c r="L89" s="48"/>
      <c r="M89" s="48"/>
      <c r="N89" s="48"/>
      <c r="O89" s="48"/>
      <c r="P89" s="48"/>
      <c r="Q89" s="48"/>
      <c r="R89" s="48"/>
      <c r="S89" s="131"/>
      <c r="T89" s="48"/>
      <c r="U89" s="532"/>
      <c r="V89" s="27">
        <v>3</v>
      </c>
      <c r="W89" s="28" t="s">
        <v>22</v>
      </c>
      <c r="X89" s="27">
        <v>6276</v>
      </c>
      <c r="Y89" s="27">
        <v>2015</v>
      </c>
      <c r="Z89" s="27">
        <f t="shared" si="3"/>
        <v>3</v>
      </c>
      <c r="AA89" s="91" t="s">
        <v>126</v>
      </c>
      <c r="AC89" s="135"/>
    </row>
    <row r="90" spans="3:29" s="8" customFormat="1">
      <c r="C90" s="48"/>
      <c r="D90" s="16"/>
      <c r="E90" s="16"/>
      <c r="F90" s="16"/>
      <c r="G90" s="109"/>
      <c r="H90" s="48"/>
      <c r="I90" s="48"/>
      <c r="J90" s="131"/>
      <c r="K90" s="48"/>
      <c r="L90" s="48"/>
      <c r="M90" s="48"/>
      <c r="N90" s="48"/>
      <c r="O90" s="48"/>
      <c r="P90" s="48"/>
      <c r="Q90" s="48"/>
      <c r="R90" s="48"/>
      <c r="S90" s="131"/>
      <c r="T90" s="48"/>
      <c r="U90" s="532"/>
      <c r="V90" s="27">
        <v>4</v>
      </c>
      <c r="W90" s="28" t="s">
        <v>22</v>
      </c>
      <c r="X90" s="27">
        <v>6272</v>
      </c>
      <c r="Y90" s="27">
        <v>2014</v>
      </c>
      <c r="Z90" s="27">
        <f t="shared" si="3"/>
        <v>4</v>
      </c>
      <c r="AA90" s="91" t="s">
        <v>126</v>
      </c>
      <c r="AC90" s="135"/>
    </row>
    <row r="91" spans="3:29" s="8" customFormat="1">
      <c r="C91" s="48"/>
      <c r="D91" s="16"/>
      <c r="E91" s="16"/>
      <c r="F91" s="16"/>
      <c r="G91" s="109"/>
      <c r="H91" s="48"/>
      <c r="I91" s="48"/>
      <c r="J91" s="131"/>
      <c r="K91" s="48"/>
      <c r="L91" s="48"/>
      <c r="M91" s="48"/>
      <c r="N91" s="48"/>
      <c r="O91" s="48"/>
      <c r="P91" s="48"/>
      <c r="Q91" s="48"/>
      <c r="R91" s="48"/>
      <c r="S91" s="131"/>
      <c r="T91" s="48"/>
      <c r="U91" s="532"/>
      <c r="V91" s="27">
        <v>5</v>
      </c>
      <c r="W91" s="28" t="s">
        <v>22</v>
      </c>
      <c r="X91" s="27">
        <v>6273</v>
      </c>
      <c r="Y91" s="27">
        <v>2014</v>
      </c>
      <c r="Z91" s="27">
        <f t="shared" si="3"/>
        <v>4</v>
      </c>
      <c r="AA91" s="91" t="s">
        <v>126</v>
      </c>
      <c r="AC91" s="135"/>
    </row>
    <row r="92" spans="3:29" s="8" customFormat="1">
      <c r="C92" s="48"/>
      <c r="D92" s="16"/>
      <c r="E92" s="16"/>
      <c r="F92" s="16"/>
      <c r="G92" s="109"/>
      <c r="H92" s="48"/>
      <c r="I92" s="48"/>
      <c r="J92" s="131"/>
      <c r="K92" s="48"/>
      <c r="L92" s="48"/>
      <c r="M92" s="48"/>
      <c r="N92" s="48"/>
      <c r="O92" s="48"/>
      <c r="P92" s="48"/>
      <c r="Q92" s="48"/>
      <c r="R92" s="48"/>
      <c r="S92" s="131"/>
      <c r="T92" s="48"/>
      <c r="U92" s="532"/>
      <c r="V92" s="27">
        <v>6</v>
      </c>
      <c r="W92" s="28" t="s">
        <v>21</v>
      </c>
      <c r="X92" s="27">
        <v>5915</v>
      </c>
      <c r="Y92" s="27">
        <v>2013</v>
      </c>
      <c r="Z92" s="27">
        <f t="shared" si="3"/>
        <v>5</v>
      </c>
      <c r="AA92" s="91" t="s">
        <v>126</v>
      </c>
      <c r="AC92" s="135"/>
    </row>
    <row r="93" spans="3:29" s="8" customFormat="1" ht="16" thickBot="1">
      <c r="C93" s="48"/>
      <c r="D93" s="16"/>
      <c r="E93" s="16"/>
      <c r="F93" s="16"/>
      <c r="G93" s="109"/>
      <c r="H93" s="48"/>
      <c r="I93" s="48"/>
      <c r="J93" s="131"/>
      <c r="K93" s="48"/>
      <c r="L93" s="48"/>
      <c r="M93" s="48"/>
      <c r="N93" s="48"/>
      <c r="O93" s="48"/>
      <c r="P93" s="48"/>
      <c r="Q93" s="48"/>
      <c r="R93" s="48"/>
      <c r="S93" s="131"/>
      <c r="T93" s="48"/>
      <c r="U93" s="533"/>
      <c r="V93" s="54">
        <v>7</v>
      </c>
      <c r="W93" s="55" t="s">
        <v>21</v>
      </c>
      <c r="X93" s="54">
        <v>3528</v>
      </c>
      <c r="Y93" s="54">
        <v>2012</v>
      </c>
      <c r="Z93" s="54">
        <f t="shared" si="3"/>
        <v>6</v>
      </c>
      <c r="AA93" s="92" t="s">
        <v>126</v>
      </c>
      <c r="AC93" s="135"/>
    </row>
    <row r="94" spans="3:29" s="8" customFormat="1">
      <c r="C94" s="48"/>
      <c r="D94" s="16"/>
      <c r="E94" s="16"/>
      <c r="F94" s="16"/>
      <c r="G94" s="109"/>
      <c r="H94" s="48"/>
      <c r="I94" s="48"/>
      <c r="J94" s="131"/>
      <c r="K94" s="48"/>
      <c r="L94" s="48"/>
      <c r="M94" s="48"/>
      <c r="N94" s="48"/>
      <c r="O94" s="48"/>
      <c r="P94" s="48"/>
      <c r="Q94" s="48"/>
      <c r="R94" s="48"/>
      <c r="S94" s="131"/>
      <c r="T94" s="48"/>
      <c r="U94" s="536" t="s">
        <v>102</v>
      </c>
      <c r="V94" s="52">
        <v>1</v>
      </c>
      <c r="W94" s="53" t="s">
        <v>16</v>
      </c>
      <c r="X94" s="61">
        <v>2718</v>
      </c>
      <c r="Y94" s="52">
        <v>1994</v>
      </c>
      <c r="Z94" s="52">
        <f t="shared" ref="Z94:Z117" si="4">2018-Y94</f>
        <v>24</v>
      </c>
      <c r="AA94" s="86" t="s">
        <v>126</v>
      </c>
      <c r="AC94" s="135"/>
    </row>
    <row r="95" spans="3:29" s="8" customFormat="1">
      <c r="C95" s="48"/>
      <c r="D95" s="16"/>
      <c r="E95" s="16"/>
      <c r="F95" s="16"/>
      <c r="G95" s="109"/>
      <c r="H95" s="48"/>
      <c r="I95" s="48"/>
      <c r="J95" s="131"/>
      <c r="K95" s="48"/>
      <c r="L95" s="48"/>
      <c r="M95" s="48"/>
      <c r="N95" s="48"/>
      <c r="O95" s="48"/>
      <c r="P95" s="48"/>
      <c r="Q95" s="48"/>
      <c r="R95" s="48"/>
      <c r="S95" s="131"/>
      <c r="T95" s="48"/>
      <c r="U95" s="537"/>
      <c r="V95" s="27">
        <v>2</v>
      </c>
      <c r="W95" s="28" t="s">
        <v>17</v>
      </c>
      <c r="X95" s="62">
        <v>2719</v>
      </c>
      <c r="Y95" s="27">
        <v>1994</v>
      </c>
      <c r="Z95" s="27">
        <f t="shared" si="4"/>
        <v>24</v>
      </c>
      <c r="AA95" s="87" t="s">
        <v>126</v>
      </c>
      <c r="AC95" s="135"/>
    </row>
    <row r="96" spans="3:29" s="8" customFormat="1">
      <c r="C96" s="48"/>
      <c r="D96" s="16"/>
      <c r="E96" s="16"/>
      <c r="F96" s="16"/>
      <c r="G96" s="109"/>
      <c r="H96" s="48"/>
      <c r="I96" s="48"/>
      <c r="J96" s="131"/>
      <c r="K96" s="48"/>
      <c r="L96" s="48"/>
      <c r="M96" s="48"/>
      <c r="N96" s="48"/>
      <c r="O96" s="48"/>
      <c r="P96" s="48"/>
      <c r="Q96" s="48"/>
      <c r="R96" s="48"/>
      <c r="S96" s="131"/>
      <c r="T96" s="48"/>
      <c r="U96" s="537"/>
      <c r="V96" s="27">
        <v>3</v>
      </c>
      <c r="W96" s="28" t="s">
        <v>18</v>
      </c>
      <c r="X96" s="62">
        <v>2061</v>
      </c>
      <c r="Y96" s="27">
        <v>1994</v>
      </c>
      <c r="Z96" s="27">
        <f t="shared" si="4"/>
        <v>24</v>
      </c>
      <c r="AA96" s="87" t="s">
        <v>126</v>
      </c>
      <c r="AC96" s="135"/>
    </row>
    <row r="97" spans="3:29" s="8" customFormat="1">
      <c r="C97" s="48"/>
      <c r="D97" s="16"/>
      <c r="E97" s="16"/>
      <c r="F97" s="16"/>
      <c r="G97" s="109"/>
      <c r="H97" s="48"/>
      <c r="I97" s="48"/>
      <c r="J97" s="131"/>
      <c r="K97" s="48"/>
      <c r="L97" s="48"/>
      <c r="M97" s="48"/>
      <c r="N97" s="48"/>
      <c r="O97" s="48"/>
      <c r="P97" s="48"/>
      <c r="Q97" s="48"/>
      <c r="R97" s="48"/>
      <c r="S97" s="131"/>
      <c r="T97" s="48"/>
      <c r="U97" s="537"/>
      <c r="V97" s="27">
        <v>4</v>
      </c>
      <c r="W97" s="28" t="s">
        <v>19</v>
      </c>
      <c r="X97" s="62">
        <v>2696</v>
      </c>
      <c r="Y97" s="27">
        <v>1994</v>
      </c>
      <c r="Z97" s="27">
        <f t="shared" si="4"/>
        <v>24</v>
      </c>
      <c r="AA97" s="87" t="s">
        <v>126</v>
      </c>
      <c r="AC97" s="135"/>
    </row>
    <row r="98" spans="3:29" s="8" customFormat="1">
      <c r="C98" s="48"/>
      <c r="D98" s="16"/>
      <c r="E98" s="16"/>
      <c r="F98" s="16"/>
      <c r="G98" s="109"/>
      <c r="H98" s="48"/>
      <c r="I98" s="48"/>
      <c r="J98" s="131"/>
      <c r="K98" s="48"/>
      <c r="L98" s="48"/>
      <c r="M98" s="48"/>
      <c r="N98" s="48"/>
      <c r="O98" s="48"/>
      <c r="P98" s="48"/>
      <c r="Q98" s="48"/>
      <c r="R98" s="48"/>
      <c r="S98" s="131"/>
      <c r="T98" s="48"/>
      <c r="U98" s="537"/>
      <c r="V98" s="27">
        <v>5</v>
      </c>
      <c r="W98" s="28" t="s">
        <v>19</v>
      </c>
      <c r="X98" s="62">
        <v>2701</v>
      </c>
      <c r="Y98" s="27">
        <v>1994</v>
      </c>
      <c r="Z98" s="27">
        <f t="shared" si="4"/>
        <v>24</v>
      </c>
      <c r="AA98" s="87" t="s">
        <v>126</v>
      </c>
      <c r="AC98" s="135"/>
    </row>
    <row r="99" spans="3:29" s="8" customFormat="1">
      <c r="C99" s="48"/>
      <c r="D99" s="16"/>
      <c r="E99" s="16"/>
      <c r="F99" s="16"/>
      <c r="G99" s="109"/>
      <c r="H99" s="48"/>
      <c r="I99" s="48"/>
      <c r="J99" s="131"/>
      <c r="K99" s="48"/>
      <c r="L99" s="48"/>
      <c r="M99" s="48"/>
      <c r="N99" s="48"/>
      <c r="O99" s="48"/>
      <c r="P99" s="48"/>
      <c r="Q99" s="48"/>
      <c r="R99" s="48"/>
      <c r="S99" s="131"/>
      <c r="T99" s="48"/>
      <c r="U99" s="537"/>
      <c r="V99" s="27">
        <v>6</v>
      </c>
      <c r="W99" s="28" t="s">
        <v>20</v>
      </c>
      <c r="X99" s="62">
        <v>2725</v>
      </c>
      <c r="Y99" s="27">
        <v>1994</v>
      </c>
      <c r="Z99" s="27">
        <f t="shared" si="4"/>
        <v>24</v>
      </c>
      <c r="AA99" s="87" t="s">
        <v>126</v>
      </c>
      <c r="AC99" s="135"/>
    </row>
    <row r="100" spans="3:29" s="8" customFormat="1">
      <c r="C100" s="48"/>
      <c r="D100" s="16"/>
      <c r="E100" s="16"/>
      <c r="F100" s="16"/>
      <c r="G100" s="109"/>
      <c r="H100" s="48"/>
      <c r="I100" s="48"/>
      <c r="J100" s="131"/>
      <c r="K100" s="48"/>
      <c r="L100" s="48"/>
      <c r="M100" s="48"/>
      <c r="N100" s="48"/>
      <c r="O100" s="48"/>
      <c r="P100" s="48"/>
      <c r="Q100" s="48"/>
      <c r="R100" s="48"/>
      <c r="S100" s="131"/>
      <c r="T100" s="48"/>
      <c r="U100" s="537"/>
      <c r="V100" s="27">
        <v>7</v>
      </c>
      <c r="W100" s="28" t="s">
        <v>20</v>
      </c>
      <c r="X100" s="62">
        <v>2726</v>
      </c>
      <c r="Y100" s="27">
        <v>1994</v>
      </c>
      <c r="Z100" s="27">
        <f t="shared" si="4"/>
        <v>24</v>
      </c>
      <c r="AA100" s="87" t="s">
        <v>126</v>
      </c>
      <c r="AC100" s="135"/>
    </row>
    <row r="101" spans="3:29" s="8" customFormat="1">
      <c r="C101" s="48"/>
      <c r="D101" s="16"/>
      <c r="E101" s="16"/>
      <c r="F101" s="16"/>
      <c r="G101" s="109"/>
      <c r="H101" s="48"/>
      <c r="I101" s="48"/>
      <c r="J101" s="131"/>
      <c r="K101" s="48"/>
      <c r="L101" s="48"/>
      <c r="M101" s="48"/>
      <c r="N101" s="48"/>
      <c r="O101" s="48"/>
      <c r="P101" s="48"/>
      <c r="Q101" s="48"/>
      <c r="R101" s="48"/>
      <c r="S101" s="131"/>
      <c r="T101" s="48"/>
      <c r="U101" s="537"/>
      <c r="V101" s="27">
        <v>8</v>
      </c>
      <c r="W101" s="28" t="s">
        <v>20</v>
      </c>
      <c r="X101" s="62">
        <v>2727</v>
      </c>
      <c r="Y101" s="27">
        <v>1994</v>
      </c>
      <c r="Z101" s="27">
        <f t="shared" si="4"/>
        <v>24</v>
      </c>
      <c r="AA101" s="87" t="s">
        <v>126</v>
      </c>
      <c r="AC101" s="135"/>
    </row>
    <row r="102" spans="3:29" s="8" customFormat="1">
      <c r="C102" s="48"/>
      <c r="D102" s="16"/>
      <c r="E102" s="16"/>
      <c r="F102" s="16"/>
      <c r="G102" s="109"/>
      <c r="H102" s="48"/>
      <c r="I102" s="48"/>
      <c r="J102" s="131"/>
      <c r="K102" s="48"/>
      <c r="L102" s="48"/>
      <c r="M102" s="48"/>
      <c r="N102" s="48"/>
      <c r="O102" s="48"/>
      <c r="P102" s="48"/>
      <c r="Q102" s="48"/>
      <c r="R102" s="48"/>
      <c r="S102" s="131"/>
      <c r="T102" s="48"/>
      <c r="U102" s="537"/>
      <c r="V102" s="27">
        <v>9</v>
      </c>
      <c r="W102" s="28" t="s">
        <v>20</v>
      </c>
      <c r="X102" s="62">
        <v>2728</v>
      </c>
      <c r="Y102" s="27">
        <v>1994</v>
      </c>
      <c r="Z102" s="27">
        <f t="shared" si="4"/>
        <v>24</v>
      </c>
      <c r="AA102" s="87" t="s">
        <v>126</v>
      </c>
      <c r="AC102" s="135"/>
    </row>
    <row r="103" spans="3:29" s="8" customFormat="1">
      <c r="C103" s="48"/>
      <c r="D103" s="16"/>
      <c r="E103" s="16"/>
      <c r="F103" s="16"/>
      <c r="G103" s="109"/>
      <c r="H103" s="48"/>
      <c r="I103" s="48"/>
      <c r="J103" s="131"/>
      <c r="K103" s="48"/>
      <c r="L103" s="48"/>
      <c r="M103" s="48"/>
      <c r="N103" s="48"/>
      <c r="O103" s="48"/>
      <c r="P103" s="48"/>
      <c r="Q103" s="48"/>
      <c r="R103" s="48"/>
      <c r="S103" s="131"/>
      <c r="T103" s="48"/>
      <c r="U103" s="537"/>
      <c r="V103" s="27">
        <v>10</v>
      </c>
      <c r="W103" s="28" t="s">
        <v>15</v>
      </c>
      <c r="X103" s="62">
        <v>2052</v>
      </c>
      <c r="Y103" s="27">
        <v>1993</v>
      </c>
      <c r="Z103" s="27">
        <f>2018-Y103</f>
        <v>25</v>
      </c>
      <c r="AA103" s="87" t="s">
        <v>126</v>
      </c>
      <c r="AC103" s="135"/>
    </row>
    <row r="104" spans="3:29" s="8" customFormat="1">
      <c r="C104" s="48"/>
      <c r="D104" s="16"/>
      <c r="E104" s="16"/>
      <c r="F104" s="16"/>
      <c r="G104" s="109"/>
      <c r="H104" s="48"/>
      <c r="I104" s="48"/>
      <c r="J104" s="131"/>
      <c r="K104" s="48"/>
      <c r="L104" s="48"/>
      <c r="M104" s="48"/>
      <c r="N104" s="48"/>
      <c r="O104" s="48"/>
      <c r="P104" s="48"/>
      <c r="Q104" s="48"/>
      <c r="R104" s="48"/>
      <c r="S104" s="131"/>
      <c r="T104" s="48"/>
      <c r="U104" s="537"/>
      <c r="V104" s="27">
        <v>11</v>
      </c>
      <c r="W104" s="28" t="s">
        <v>14</v>
      </c>
      <c r="X104" s="62">
        <v>2492</v>
      </c>
      <c r="Y104" s="27">
        <v>1990</v>
      </c>
      <c r="Z104" s="27">
        <f>2018-Y104</f>
        <v>28</v>
      </c>
      <c r="AA104" s="87" t="s">
        <v>126</v>
      </c>
      <c r="AC104" s="135"/>
    </row>
    <row r="105" spans="3:29" s="8" customFormat="1">
      <c r="C105" s="48"/>
      <c r="D105" s="16"/>
      <c r="E105" s="16"/>
      <c r="F105" s="16"/>
      <c r="G105" s="109"/>
      <c r="H105" s="48"/>
      <c r="I105" s="48"/>
      <c r="J105" s="131"/>
      <c r="K105" s="48"/>
      <c r="L105" s="48"/>
      <c r="M105" s="48"/>
      <c r="N105" s="48"/>
      <c r="O105" s="48"/>
      <c r="P105" s="48"/>
      <c r="Q105" s="48"/>
      <c r="R105" s="48"/>
      <c r="S105" s="131"/>
      <c r="T105" s="48"/>
      <c r="U105" s="537"/>
      <c r="V105" s="27">
        <v>12</v>
      </c>
      <c r="W105" s="28" t="s">
        <v>14</v>
      </c>
      <c r="X105" s="62">
        <v>2493</v>
      </c>
      <c r="Y105" s="27">
        <v>1990</v>
      </c>
      <c r="Z105" s="27">
        <f>2018-Y105</f>
        <v>28</v>
      </c>
      <c r="AA105" s="87" t="s">
        <v>126</v>
      </c>
      <c r="AC105" s="135"/>
    </row>
    <row r="106" spans="3:29" s="8" customFormat="1">
      <c r="C106" s="48"/>
      <c r="D106" s="16"/>
      <c r="E106" s="16"/>
      <c r="F106" s="16"/>
      <c r="G106" s="109"/>
      <c r="H106" s="48"/>
      <c r="I106" s="48"/>
      <c r="J106" s="131"/>
      <c r="K106" s="48"/>
      <c r="L106" s="48"/>
      <c r="M106" s="48"/>
      <c r="N106" s="48"/>
      <c r="O106" s="48"/>
      <c r="P106" s="48"/>
      <c r="Q106" s="48"/>
      <c r="R106" s="48"/>
      <c r="S106" s="131"/>
      <c r="T106" s="48"/>
      <c r="U106" s="537"/>
      <c r="V106" s="27">
        <v>13</v>
      </c>
      <c r="W106" s="28" t="s">
        <v>14</v>
      </c>
      <c r="X106" s="62">
        <v>2491</v>
      </c>
      <c r="Y106" s="27">
        <v>1990</v>
      </c>
      <c r="Z106" s="27">
        <f>2018-Y106</f>
        <v>28</v>
      </c>
      <c r="AA106" s="87" t="s">
        <v>126</v>
      </c>
      <c r="AC106" s="135"/>
    </row>
    <row r="107" spans="3:29" s="8" customFormat="1">
      <c r="C107" s="48"/>
      <c r="D107" s="16"/>
      <c r="E107" s="16"/>
      <c r="F107" s="16"/>
      <c r="G107" s="109"/>
      <c r="H107" s="48"/>
      <c r="I107" s="48"/>
      <c r="J107" s="131"/>
      <c r="K107" s="48"/>
      <c r="L107" s="48"/>
      <c r="M107" s="48"/>
      <c r="N107" s="48"/>
      <c r="O107" s="48"/>
      <c r="P107" s="48"/>
      <c r="Q107" s="48"/>
      <c r="R107" s="48"/>
      <c r="S107" s="131"/>
      <c r="T107" s="48"/>
      <c r="U107" s="537"/>
      <c r="V107" s="27">
        <v>14</v>
      </c>
      <c r="W107" s="28" t="s">
        <v>132</v>
      </c>
      <c r="X107" s="62">
        <v>912</v>
      </c>
      <c r="Y107" s="27">
        <v>1990</v>
      </c>
      <c r="Z107" s="27">
        <f t="shared" si="4"/>
        <v>28</v>
      </c>
      <c r="AA107" s="87" t="s">
        <v>133</v>
      </c>
      <c r="AC107" s="135"/>
    </row>
    <row r="108" spans="3:29" s="8" customFormat="1">
      <c r="C108" s="48"/>
      <c r="D108" s="16"/>
      <c r="E108" s="16"/>
      <c r="F108" s="16"/>
      <c r="G108" s="109"/>
      <c r="H108" s="48"/>
      <c r="I108" s="48"/>
      <c r="J108" s="131"/>
      <c r="K108" s="48"/>
      <c r="L108" s="48"/>
      <c r="M108" s="48"/>
      <c r="N108" s="48"/>
      <c r="O108" s="48"/>
      <c r="P108" s="48"/>
      <c r="Q108" s="48"/>
      <c r="R108" s="48"/>
      <c r="S108" s="131"/>
      <c r="T108" s="48"/>
      <c r="U108" s="537"/>
      <c r="V108" s="27">
        <v>15</v>
      </c>
      <c r="W108" s="28" t="s">
        <v>14</v>
      </c>
      <c r="X108" s="62">
        <v>2400</v>
      </c>
      <c r="Y108" s="27">
        <v>1988</v>
      </c>
      <c r="Z108" s="27">
        <f t="shared" si="4"/>
        <v>30</v>
      </c>
      <c r="AA108" s="87" t="s">
        <v>126</v>
      </c>
      <c r="AC108" s="135"/>
    </row>
    <row r="109" spans="3:29" s="8" customFormat="1">
      <c r="C109" s="48"/>
      <c r="D109" s="16"/>
      <c r="E109" s="16"/>
      <c r="F109" s="16"/>
      <c r="G109" s="109"/>
      <c r="H109" s="48"/>
      <c r="I109" s="48"/>
      <c r="J109" s="131"/>
      <c r="K109" s="48"/>
      <c r="L109" s="48"/>
      <c r="M109" s="48"/>
      <c r="N109" s="48"/>
      <c r="O109" s="48"/>
      <c r="P109" s="48"/>
      <c r="Q109" s="48"/>
      <c r="R109" s="48"/>
      <c r="S109" s="131"/>
      <c r="T109" s="48"/>
      <c r="U109" s="537"/>
      <c r="V109" s="27">
        <v>16</v>
      </c>
      <c r="W109" s="28" t="s">
        <v>14</v>
      </c>
      <c r="X109" s="62">
        <v>2401</v>
      </c>
      <c r="Y109" s="27">
        <v>1988</v>
      </c>
      <c r="Z109" s="27">
        <f t="shared" si="4"/>
        <v>30</v>
      </c>
      <c r="AA109" s="87" t="s">
        <v>126</v>
      </c>
      <c r="AC109" s="135"/>
    </row>
    <row r="110" spans="3:29" s="8" customFormat="1">
      <c r="C110" s="48"/>
      <c r="D110" s="16"/>
      <c r="E110" s="16"/>
      <c r="F110" s="16"/>
      <c r="G110" s="109"/>
      <c r="H110" s="48"/>
      <c r="I110" s="48"/>
      <c r="J110" s="131"/>
      <c r="K110" s="48"/>
      <c r="L110" s="48"/>
      <c r="M110" s="48"/>
      <c r="N110" s="48"/>
      <c r="O110" s="48"/>
      <c r="P110" s="48"/>
      <c r="Q110" s="48"/>
      <c r="R110" s="48"/>
      <c r="S110" s="131"/>
      <c r="T110" s="48"/>
      <c r="U110" s="537"/>
      <c r="V110" s="27">
        <v>17</v>
      </c>
      <c r="W110" s="28" t="s">
        <v>14</v>
      </c>
      <c r="X110" s="62">
        <v>2402</v>
      </c>
      <c r="Y110" s="27">
        <v>1988</v>
      </c>
      <c r="Z110" s="27">
        <f t="shared" si="4"/>
        <v>30</v>
      </c>
      <c r="AA110" s="87" t="s">
        <v>126</v>
      </c>
      <c r="AC110" s="135"/>
    </row>
    <row r="111" spans="3:29" s="8" customFormat="1">
      <c r="C111" s="48"/>
      <c r="D111" s="16"/>
      <c r="E111" s="16"/>
      <c r="F111" s="16"/>
      <c r="G111" s="109"/>
      <c r="H111" s="48"/>
      <c r="I111" s="48"/>
      <c r="J111" s="131"/>
      <c r="K111" s="48"/>
      <c r="L111" s="48"/>
      <c r="M111" s="48"/>
      <c r="N111" s="48"/>
      <c r="O111" s="48"/>
      <c r="P111" s="48"/>
      <c r="Q111" s="48"/>
      <c r="R111" s="48"/>
      <c r="S111" s="131"/>
      <c r="T111" s="48"/>
      <c r="U111" s="537"/>
      <c r="V111" s="27">
        <v>18</v>
      </c>
      <c r="W111" s="28" t="s">
        <v>14</v>
      </c>
      <c r="X111" s="62">
        <v>2403</v>
      </c>
      <c r="Y111" s="27">
        <v>1988</v>
      </c>
      <c r="Z111" s="27">
        <f t="shared" si="4"/>
        <v>30</v>
      </c>
      <c r="AA111" s="87" t="s">
        <v>126</v>
      </c>
      <c r="AC111" s="135"/>
    </row>
    <row r="112" spans="3:29" s="8" customFormat="1">
      <c r="C112" s="48"/>
      <c r="D112" s="16"/>
      <c r="E112" s="16"/>
      <c r="F112" s="16"/>
      <c r="G112" s="109"/>
      <c r="H112" s="48"/>
      <c r="I112" s="48"/>
      <c r="J112" s="131"/>
      <c r="K112" s="48"/>
      <c r="L112" s="48"/>
      <c r="M112" s="48"/>
      <c r="N112" s="48"/>
      <c r="O112" s="48"/>
      <c r="P112" s="48"/>
      <c r="Q112" s="48"/>
      <c r="R112" s="48"/>
      <c r="S112" s="131"/>
      <c r="T112" s="48"/>
      <c r="U112" s="537"/>
      <c r="V112" s="27">
        <v>19</v>
      </c>
      <c r="W112" s="28" t="s">
        <v>14</v>
      </c>
      <c r="X112" s="62">
        <v>2404</v>
      </c>
      <c r="Y112" s="27">
        <v>1988</v>
      </c>
      <c r="Z112" s="27">
        <f t="shared" si="4"/>
        <v>30</v>
      </c>
      <c r="AA112" s="87" t="s">
        <v>126</v>
      </c>
      <c r="AC112" s="135"/>
    </row>
    <row r="113" spans="3:29" s="8" customFormat="1">
      <c r="C113" s="48"/>
      <c r="D113" s="16"/>
      <c r="E113" s="16"/>
      <c r="F113" s="16"/>
      <c r="G113" s="109"/>
      <c r="H113" s="48"/>
      <c r="I113" s="48"/>
      <c r="J113" s="131"/>
      <c r="K113" s="48"/>
      <c r="L113" s="48"/>
      <c r="M113" s="48"/>
      <c r="N113" s="48"/>
      <c r="O113" s="48"/>
      <c r="P113" s="48"/>
      <c r="Q113" s="48"/>
      <c r="R113" s="48"/>
      <c r="S113" s="131"/>
      <c r="T113" s="48"/>
      <c r="U113" s="537"/>
      <c r="V113" s="27">
        <v>20</v>
      </c>
      <c r="W113" s="28" t="s">
        <v>14</v>
      </c>
      <c r="X113" s="62">
        <v>2405</v>
      </c>
      <c r="Y113" s="27">
        <v>1988</v>
      </c>
      <c r="Z113" s="27">
        <f t="shared" si="4"/>
        <v>30</v>
      </c>
      <c r="AA113" s="87" t="s">
        <v>126</v>
      </c>
      <c r="AC113" s="135"/>
    </row>
    <row r="114" spans="3:29" s="8" customFormat="1">
      <c r="C114" s="48"/>
      <c r="D114" s="16"/>
      <c r="E114" s="16"/>
      <c r="F114" s="16"/>
      <c r="G114" s="109"/>
      <c r="H114" s="48"/>
      <c r="I114" s="48"/>
      <c r="J114" s="131"/>
      <c r="K114" s="48"/>
      <c r="L114" s="48"/>
      <c r="M114" s="48"/>
      <c r="N114" s="48"/>
      <c r="O114" s="48"/>
      <c r="P114" s="48"/>
      <c r="Q114" s="48"/>
      <c r="R114" s="48"/>
      <c r="S114" s="131"/>
      <c r="T114" s="48"/>
      <c r="U114" s="537"/>
      <c r="V114" s="27">
        <v>21</v>
      </c>
      <c r="W114" s="28" t="s">
        <v>14</v>
      </c>
      <c r="X114" s="62">
        <v>2406</v>
      </c>
      <c r="Y114" s="27">
        <v>1988</v>
      </c>
      <c r="Z114" s="27">
        <f t="shared" si="4"/>
        <v>30</v>
      </c>
      <c r="AA114" s="87" t="s">
        <v>126</v>
      </c>
      <c r="AC114" s="135"/>
    </row>
    <row r="115" spans="3:29" s="8" customFormat="1">
      <c r="C115" s="48"/>
      <c r="D115" s="16"/>
      <c r="E115" s="16"/>
      <c r="F115" s="16"/>
      <c r="G115" s="109"/>
      <c r="H115" s="48"/>
      <c r="I115" s="48"/>
      <c r="J115" s="131"/>
      <c r="K115" s="48"/>
      <c r="L115" s="48"/>
      <c r="M115" s="48"/>
      <c r="N115" s="48"/>
      <c r="O115" s="48"/>
      <c r="P115" s="48"/>
      <c r="Q115" s="48"/>
      <c r="R115" s="48"/>
      <c r="S115" s="131"/>
      <c r="T115" s="48"/>
      <c r="U115" s="537"/>
      <c r="V115" s="27">
        <v>22</v>
      </c>
      <c r="W115" s="28" t="s">
        <v>132</v>
      </c>
      <c r="X115" s="62">
        <v>862</v>
      </c>
      <c r="Y115" s="27">
        <v>1988</v>
      </c>
      <c r="Z115" s="27">
        <f t="shared" si="4"/>
        <v>30</v>
      </c>
      <c r="AA115" s="87" t="s">
        <v>133</v>
      </c>
      <c r="AC115" s="135"/>
    </row>
    <row r="116" spans="3:29" s="8" customFormat="1">
      <c r="C116" s="48"/>
      <c r="D116" s="16"/>
      <c r="E116" s="16"/>
      <c r="F116" s="16"/>
      <c r="G116" s="109"/>
      <c r="H116" s="48"/>
      <c r="I116" s="48"/>
      <c r="J116" s="131"/>
      <c r="K116" s="48"/>
      <c r="L116" s="48"/>
      <c r="M116" s="48"/>
      <c r="N116" s="48"/>
      <c r="O116" s="48"/>
      <c r="P116" s="48"/>
      <c r="Q116" s="48"/>
      <c r="R116" s="48"/>
      <c r="S116" s="131"/>
      <c r="T116" s="48"/>
      <c r="U116" s="537"/>
      <c r="V116" s="27">
        <v>23</v>
      </c>
      <c r="W116" s="28" t="s">
        <v>132</v>
      </c>
      <c r="X116" s="62">
        <v>863</v>
      </c>
      <c r="Y116" s="27">
        <v>1988</v>
      </c>
      <c r="Z116" s="27">
        <f t="shared" si="4"/>
        <v>30</v>
      </c>
      <c r="AA116" s="87" t="s">
        <v>133</v>
      </c>
      <c r="AC116" s="135"/>
    </row>
    <row r="117" spans="3:29" s="8" customFormat="1" ht="16" thickBot="1">
      <c r="C117" s="48"/>
      <c r="D117" s="16"/>
      <c r="E117" s="16"/>
      <c r="F117" s="16"/>
      <c r="G117" s="109"/>
      <c r="H117" s="48"/>
      <c r="I117" s="48"/>
      <c r="J117" s="131"/>
      <c r="K117" s="48"/>
      <c r="L117" s="48"/>
      <c r="M117" s="48"/>
      <c r="N117" s="48"/>
      <c r="O117" s="48"/>
      <c r="P117" s="48"/>
      <c r="Q117" s="48"/>
      <c r="R117" s="48"/>
      <c r="S117" s="131"/>
      <c r="T117" s="48"/>
      <c r="U117" s="538"/>
      <c r="V117" s="27">
        <v>24</v>
      </c>
      <c r="W117" s="55" t="s">
        <v>132</v>
      </c>
      <c r="X117" s="63">
        <v>864</v>
      </c>
      <c r="Y117" s="54">
        <v>1988</v>
      </c>
      <c r="Z117" s="54">
        <f t="shared" si="4"/>
        <v>30</v>
      </c>
      <c r="AA117" s="88" t="s">
        <v>133</v>
      </c>
      <c r="AC117" s="135"/>
    </row>
    <row r="118" spans="3:29" s="8" customFormat="1">
      <c r="C118" s="48"/>
      <c r="D118" s="16"/>
      <c r="E118" s="16"/>
      <c r="F118" s="16"/>
      <c r="G118" s="109"/>
      <c r="H118" s="48"/>
      <c r="I118" s="48"/>
      <c r="J118" s="131"/>
      <c r="K118" s="48"/>
      <c r="L118" s="48"/>
      <c r="M118" s="48"/>
      <c r="N118" s="48"/>
      <c r="O118" s="48"/>
      <c r="P118" s="48"/>
      <c r="Q118" s="48"/>
      <c r="R118" s="48"/>
      <c r="S118" s="131"/>
      <c r="T118" s="48"/>
      <c r="U118" s="531" t="s">
        <v>101</v>
      </c>
      <c r="V118" s="52">
        <v>1</v>
      </c>
      <c r="W118" s="53" t="s">
        <v>13</v>
      </c>
      <c r="X118" s="52">
        <v>2151</v>
      </c>
      <c r="Y118" s="52">
        <v>1984</v>
      </c>
      <c r="Z118" s="52">
        <f>2018-Y118</f>
        <v>34</v>
      </c>
      <c r="AA118" s="86" t="s">
        <v>126</v>
      </c>
      <c r="AC118" s="135"/>
    </row>
    <row r="119" spans="3:29" s="8" customFormat="1">
      <c r="C119" s="48"/>
      <c r="D119" s="16"/>
      <c r="E119" s="16"/>
      <c r="F119" s="16"/>
      <c r="G119" s="109"/>
      <c r="H119" s="48"/>
      <c r="I119" s="48"/>
      <c r="J119" s="131"/>
      <c r="K119" s="48"/>
      <c r="L119" s="48"/>
      <c r="M119" s="48"/>
      <c r="N119" s="48"/>
      <c r="O119" s="48"/>
      <c r="P119" s="48"/>
      <c r="Q119" s="48"/>
      <c r="R119" s="48"/>
      <c r="S119" s="131"/>
      <c r="T119" s="48"/>
      <c r="U119" s="532"/>
      <c r="V119" s="27">
        <v>2</v>
      </c>
      <c r="W119" s="28" t="s">
        <v>13</v>
      </c>
      <c r="X119" s="27">
        <v>2152</v>
      </c>
      <c r="Y119" s="27">
        <v>1984</v>
      </c>
      <c r="Z119" s="27">
        <f t="shared" ref="Z119:Z123" si="5">2018-Y119</f>
        <v>34</v>
      </c>
      <c r="AA119" s="87" t="s">
        <v>126</v>
      </c>
      <c r="AC119" s="135"/>
    </row>
    <row r="120" spans="3:29" s="8" customFormat="1">
      <c r="C120" s="48"/>
      <c r="D120" s="16"/>
      <c r="E120" s="16"/>
      <c r="F120" s="16"/>
      <c r="G120" s="109"/>
      <c r="H120" s="48"/>
      <c r="I120" s="48"/>
      <c r="J120" s="131"/>
      <c r="K120" s="48"/>
      <c r="L120" s="48"/>
      <c r="M120" s="48"/>
      <c r="N120" s="48"/>
      <c r="O120" s="48"/>
      <c r="P120" s="48"/>
      <c r="Q120" s="48"/>
      <c r="R120" s="48"/>
      <c r="S120" s="131"/>
      <c r="T120" s="48"/>
      <c r="U120" s="532"/>
      <c r="V120" s="27">
        <v>3</v>
      </c>
      <c r="W120" s="28" t="s">
        <v>13</v>
      </c>
      <c r="X120" s="27">
        <v>2153</v>
      </c>
      <c r="Y120" s="27">
        <v>1984</v>
      </c>
      <c r="Z120" s="27">
        <f t="shared" si="5"/>
        <v>34</v>
      </c>
      <c r="AA120" s="87" t="s">
        <v>126</v>
      </c>
      <c r="AC120" s="135"/>
    </row>
    <row r="121" spans="3:29" s="8" customFormat="1">
      <c r="C121" s="48"/>
      <c r="D121" s="16"/>
      <c r="E121" s="16"/>
      <c r="F121" s="16"/>
      <c r="G121" s="109"/>
      <c r="H121" s="48"/>
      <c r="I121" s="48"/>
      <c r="J121" s="131"/>
      <c r="K121" s="48"/>
      <c r="L121" s="48"/>
      <c r="M121" s="48"/>
      <c r="N121" s="48"/>
      <c r="O121" s="48"/>
      <c r="P121" s="48"/>
      <c r="Q121" s="48"/>
      <c r="R121" s="48"/>
      <c r="S121" s="131"/>
      <c r="T121" s="48"/>
      <c r="U121" s="532"/>
      <c r="V121" s="27">
        <v>4</v>
      </c>
      <c r="W121" s="28" t="s">
        <v>13</v>
      </c>
      <c r="X121" s="27">
        <v>2154</v>
      </c>
      <c r="Y121" s="27">
        <v>1984</v>
      </c>
      <c r="Z121" s="27">
        <f t="shared" si="5"/>
        <v>34</v>
      </c>
      <c r="AA121" s="87" t="s">
        <v>126</v>
      </c>
      <c r="AC121" s="135"/>
    </row>
    <row r="122" spans="3:29" s="8" customFormat="1">
      <c r="C122" s="48"/>
      <c r="D122" s="16"/>
      <c r="E122" s="16"/>
      <c r="F122" s="16"/>
      <c r="G122" s="109"/>
      <c r="H122" s="48"/>
      <c r="I122" s="48"/>
      <c r="J122" s="131"/>
      <c r="K122" s="48"/>
      <c r="L122" s="48"/>
      <c r="M122" s="48"/>
      <c r="N122" s="48"/>
      <c r="O122" s="48"/>
      <c r="P122" s="48"/>
      <c r="Q122" s="48"/>
      <c r="R122" s="48"/>
      <c r="S122" s="131"/>
      <c r="T122" s="48"/>
      <c r="U122" s="532"/>
      <c r="V122" s="27">
        <v>5</v>
      </c>
      <c r="W122" s="28" t="s">
        <v>13</v>
      </c>
      <c r="X122" s="27">
        <v>2217</v>
      </c>
      <c r="Y122" s="27">
        <v>1984</v>
      </c>
      <c r="Z122" s="27">
        <f t="shared" si="5"/>
        <v>34</v>
      </c>
      <c r="AA122" s="87" t="s">
        <v>126</v>
      </c>
      <c r="AC122" s="135"/>
    </row>
    <row r="123" spans="3:29" s="8" customFormat="1" ht="16" thickBot="1">
      <c r="C123" s="48"/>
      <c r="D123" s="16"/>
      <c r="E123" s="16"/>
      <c r="F123" s="16"/>
      <c r="G123" s="109"/>
      <c r="H123" s="48"/>
      <c r="I123" s="48"/>
      <c r="J123" s="131"/>
      <c r="K123" s="48"/>
      <c r="L123" s="48"/>
      <c r="M123" s="48"/>
      <c r="N123" s="48"/>
      <c r="O123" s="48"/>
      <c r="P123" s="48"/>
      <c r="Q123" s="48"/>
      <c r="R123" s="48"/>
      <c r="S123" s="131"/>
      <c r="T123" s="48"/>
      <c r="U123" s="533"/>
      <c r="V123" s="54">
        <v>6</v>
      </c>
      <c r="W123" s="55" t="s">
        <v>13</v>
      </c>
      <c r="X123" s="54">
        <v>2218</v>
      </c>
      <c r="Y123" s="54">
        <v>1984</v>
      </c>
      <c r="Z123" s="54">
        <f t="shared" si="5"/>
        <v>34</v>
      </c>
      <c r="AA123" s="88" t="s">
        <v>126</v>
      </c>
      <c r="AC123" s="135"/>
    </row>
    <row r="125" spans="3:29" s="118" customFormat="1">
      <c r="C125" s="130"/>
      <c r="D125" s="132"/>
      <c r="E125" s="132"/>
      <c r="F125" s="132"/>
      <c r="G125" s="133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2"/>
      <c r="Z125" s="134"/>
    </row>
    <row r="127" spans="3:29">
      <c r="Z127" s="65"/>
    </row>
  </sheetData>
  <sortState xmlns:xlrd2="http://schemas.microsoft.com/office/spreadsheetml/2017/richdata2" ref="M43:Q79">
    <sortCondition ref="P43:P79"/>
  </sortState>
  <mergeCells count="6">
    <mergeCell ref="U87:U93"/>
    <mergeCell ref="U118:U123"/>
    <mergeCell ref="B1:H1"/>
    <mergeCell ref="L43:Q43"/>
    <mergeCell ref="U94:U117"/>
    <mergeCell ref="U85:AA85"/>
  </mergeCells>
  <pageMargins left="0.7" right="0.7" top="0.75" bottom="0.75" header="0.3" footer="0.3"/>
  <pageSetup paperSize="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39"/>
  <sheetViews>
    <sheetView zoomScale="90" zoomScaleNormal="90" workbookViewId="0">
      <selection activeCell="U86" sqref="U86:AA123"/>
    </sheetView>
  </sheetViews>
  <sheetFormatPr defaultRowHeight="15.5"/>
  <cols>
    <col min="1" max="1" width="1.58203125" customWidth="1"/>
    <col min="2" max="2" width="6.58203125" customWidth="1"/>
    <col min="3" max="3" width="15.25" customWidth="1"/>
    <col min="4" max="9" width="13.08203125" customWidth="1"/>
    <col min="10" max="10" width="1.75" customWidth="1"/>
    <col min="11" max="11" width="1.08203125" style="118" customWidth="1"/>
    <col min="12" max="12" width="1.33203125" customWidth="1"/>
    <col min="14" max="14" width="15.33203125" bestFit="1" customWidth="1"/>
    <col min="15" max="17" width="10.58203125" style="119" customWidth="1"/>
    <col min="18" max="18" width="9.25" bestFit="1" customWidth="1"/>
    <col min="19" max="19" width="14.75" customWidth="1"/>
    <col min="20" max="20" width="1.58203125" customWidth="1"/>
    <col min="21" max="21" width="1.25" style="118" customWidth="1"/>
  </cols>
  <sheetData>
    <row r="1" spans="2:10" ht="17.5">
      <c r="B1" s="23" t="s">
        <v>147</v>
      </c>
    </row>
    <row r="2" spans="2:10">
      <c r="B2" s="540" t="s">
        <v>0</v>
      </c>
      <c r="C2" s="540" t="s">
        <v>23</v>
      </c>
      <c r="D2" s="542" t="s">
        <v>104</v>
      </c>
      <c r="E2" s="543"/>
      <c r="F2" s="543"/>
      <c r="G2" s="543"/>
      <c r="H2" s="543"/>
      <c r="I2" s="544"/>
      <c r="J2" s="117"/>
    </row>
    <row r="3" spans="2:10">
      <c r="B3" s="541"/>
      <c r="C3" s="541"/>
      <c r="D3" s="41" t="s">
        <v>105</v>
      </c>
      <c r="E3" s="41" t="s">
        <v>106</v>
      </c>
      <c r="F3" s="41" t="s">
        <v>109</v>
      </c>
      <c r="G3" s="24" t="s">
        <v>107</v>
      </c>
      <c r="H3" s="41" t="s">
        <v>108</v>
      </c>
      <c r="I3" s="24" t="s">
        <v>110</v>
      </c>
      <c r="J3" s="117"/>
    </row>
    <row r="4" spans="2:10">
      <c r="B4" s="25">
        <v>1</v>
      </c>
      <c r="C4" s="26" t="s">
        <v>30</v>
      </c>
      <c r="D4" s="25">
        <v>9</v>
      </c>
      <c r="E4" s="25">
        <v>5</v>
      </c>
      <c r="F4" s="25">
        <v>22</v>
      </c>
      <c r="G4" s="25">
        <v>1</v>
      </c>
      <c r="H4" s="42">
        <v>2</v>
      </c>
      <c r="I4" s="25">
        <v>10</v>
      </c>
      <c r="J4" s="64"/>
    </row>
    <row r="5" spans="2:10">
      <c r="B5" s="27">
        <v>2</v>
      </c>
      <c r="C5" s="28" t="s">
        <v>2</v>
      </c>
      <c r="D5" s="27">
        <v>12</v>
      </c>
      <c r="E5" s="27">
        <v>8</v>
      </c>
      <c r="F5" s="27">
        <v>46</v>
      </c>
      <c r="G5" s="27">
        <v>2</v>
      </c>
      <c r="H5" s="27">
        <v>0</v>
      </c>
      <c r="I5" s="27">
        <v>5</v>
      </c>
      <c r="J5" s="64"/>
    </row>
    <row r="6" spans="2:10">
      <c r="B6" s="27">
        <v>3</v>
      </c>
      <c r="C6" s="28" t="s">
        <v>3</v>
      </c>
      <c r="D6" s="27">
        <v>26</v>
      </c>
      <c r="E6" s="27">
        <v>0</v>
      </c>
      <c r="F6" s="27">
        <v>1</v>
      </c>
      <c r="G6" s="27">
        <v>0</v>
      </c>
      <c r="H6" s="27">
        <v>1</v>
      </c>
      <c r="I6" s="27">
        <v>1</v>
      </c>
      <c r="J6" s="64"/>
    </row>
    <row r="7" spans="2:10">
      <c r="B7" s="27">
        <v>4</v>
      </c>
      <c r="C7" s="28" t="s">
        <v>4</v>
      </c>
      <c r="D7" s="27">
        <v>3</v>
      </c>
      <c r="E7" s="27">
        <v>1</v>
      </c>
      <c r="F7" s="27">
        <v>0</v>
      </c>
      <c r="G7" s="27">
        <v>0</v>
      </c>
      <c r="H7" s="27">
        <v>0</v>
      </c>
      <c r="I7" s="27">
        <v>0</v>
      </c>
      <c r="J7" s="64"/>
    </row>
    <row r="8" spans="2:10">
      <c r="B8" s="27">
        <v>5</v>
      </c>
      <c r="C8" s="28" t="s">
        <v>5</v>
      </c>
      <c r="D8" s="27">
        <v>30</v>
      </c>
      <c r="E8" s="27">
        <v>27</v>
      </c>
      <c r="F8" s="27">
        <v>7</v>
      </c>
      <c r="G8" s="27">
        <v>0</v>
      </c>
      <c r="H8" s="27">
        <v>2</v>
      </c>
      <c r="I8" s="27">
        <v>23</v>
      </c>
      <c r="J8" s="64"/>
    </row>
    <row r="9" spans="2:10">
      <c r="B9" s="27">
        <v>6</v>
      </c>
      <c r="C9" s="28" t="s">
        <v>6</v>
      </c>
      <c r="D9" s="27">
        <v>50</v>
      </c>
      <c r="E9" s="27">
        <v>1</v>
      </c>
      <c r="F9" s="27">
        <v>3</v>
      </c>
      <c r="G9" s="27">
        <v>4</v>
      </c>
      <c r="H9" s="27">
        <v>0</v>
      </c>
      <c r="I9" s="27">
        <v>0</v>
      </c>
      <c r="J9" s="64"/>
    </row>
    <row r="10" spans="2:10">
      <c r="B10" s="27">
        <v>7</v>
      </c>
      <c r="C10" s="28" t="s">
        <v>7</v>
      </c>
      <c r="D10" s="27">
        <v>15</v>
      </c>
      <c r="E10" s="27">
        <v>20</v>
      </c>
      <c r="F10" s="27">
        <v>69</v>
      </c>
      <c r="G10" s="27">
        <v>0</v>
      </c>
      <c r="H10" s="27">
        <v>2</v>
      </c>
      <c r="I10" s="27">
        <v>13</v>
      </c>
      <c r="J10" s="64"/>
    </row>
    <row r="11" spans="2:10">
      <c r="B11" s="27">
        <v>8</v>
      </c>
      <c r="C11" s="28" t="s">
        <v>8</v>
      </c>
      <c r="D11" s="27">
        <v>0</v>
      </c>
      <c r="E11" s="27">
        <v>0</v>
      </c>
      <c r="F11" s="27">
        <v>4</v>
      </c>
      <c r="G11" s="27">
        <v>0</v>
      </c>
      <c r="H11" s="27">
        <v>0</v>
      </c>
      <c r="I11" s="27">
        <v>17</v>
      </c>
      <c r="J11" s="64"/>
    </row>
    <row r="12" spans="2:10">
      <c r="B12" s="27">
        <v>9</v>
      </c>
      <c r="C12" s="28" t="s">
        <v>9</v>
      </c>
      <c r="D12" s="27">
        <v>48</v>
      </c>
      <c r="E12" s="27">
        <v>21</v>
      </c>
      <c r="F12" s="27">
        <v>13</v>
      </c>
      <c r="G12" s="27">
        <v>1</v>
      </c>
      <c r="H12" s="27">
        <v>4</v>
      </c>
      <c r="I12" s="27">
        <v>10</v>
      </c>
      <c r="J12" s="64"/>
    </row>
    <row r="13" spans="2:10">
      <c r="B13" s="27">
        <v>10</v>
      </c>
      <c r="C13" s="28" t="s">
        <v>151</v>
      </c>
      <c r="D13" s="27">
        <v>65</v>
      </c>
      <c r="E13" s="27">
        <v>29</v>
      </c>
      <c r="F13" s="27">
        <v>32</v>
      </c>
      <c r="G13" s="27">
        <v>0</v>
      </c>
      <c r="H13" s="27">
        <v>6</v>
      </c>
      <c r="I13" s="27">
        <v>2</v>
      </c>
      <c r="J13" s="64"/>
    </row>
    <row r="14" spans="2:10">
      <c r="B14" s="27">
        <v>11</v>
      </c>
      <c r="C14" s="28" t="s">
        <v>150</v>
      </c>
      <c r="D14" s="27">
        <v>7</v>
      </c>
      <c r="E14" s="27">
        <v>40</v>
      </c>
      <c r="F14" s="27">
        <v>8</v>
      </c>
      <c r="G14" s="27">
        <v>0</v>
      </c>
      <c r="H14" s="27">
        <v>2</v>
      </c>
      <c r="I14" s="27">
        <v>0</v>
      </c>
      <c r="J14" s="64"/>
    </row>
    <row r="15" spans="2:10">
      <c r="B15" s="27">
        <v>12</v>
      </c>
      <c r="C15" s="28" t="s">
        <v>148</v>
      </c>
      <c r="D15" s="27">
        <v>12</v>
      </c>
      <c r="E15" s="27">
        <v>78</v>
      </c>
      <c r="F15" s="27">
        <v>16</v>
      </c>
      <c r="G15" s="27">
        <v>0</v>
      </c>
      <c r="H15" s="27">
        <v>6</v>
      </c>
      <c r="I15" s="27">
        <v>43</v>
      </c>
      <c r="J15" s="64"/>
    </row>
    <row r="16" spans="2:10">
      <c r="B16" s="43">
        <v>13</v>
      </c>
      <c r="C16" s="29" t="s">
        <v>149</v>
      </c>
      <c r="D16" s="43">
        <v>39</v>
      </c>
      <c r="E16" s="43">
        <v>3</v>
      </c>
      <c r="F16" s="43">
        <v>0</v>
      </c>
      <c r="G16" s="43">
        <v>0</v>
      </c>
      <c r="H16" s="43">
        <v>32</v>
      </c>
      <c r="I16" s="43">
        <v>27</v>
      </c>
      <c r="J16" s="64"/>
    </row>
    <row r="17" spans="2:19">
      <c r="B17" s="44"/>
      <c r="C17" s="45" t="s">
        <v>111</v>
      </c>
      <c r="D17" s="46">
        <f>SUM(D4:D16)</f>
        <v>316</v>
      </c>
      <c r="E17" s="46">
        <f>SUM(E4:E16)</f>
        <v>233</v>
      </c>
      <c r="F17" s="46">
        <f t="shared" ref="F17:I17" si="0">SUM(F4:F16)</f>
        <v>221</v>
      </c>
      <c r="G17" s="46">
        <f t="shared" si="0"/>
        <v>8</v>
      </c>
      <c r="H17" s="46">
        <f t="shared" si="0"/>
        <v>57</v>
      </c>
      <c r="I17" s="47">
        <f t="shared" si="0"/>
        <v>151</v>
      </c>
      <c r="J17" s="117"/>
    </row>
    <row r="19" spans="2:19" s="118" customFormat="1" ht="9.65" customHeight="1">
      <c r="O19" s="120"/>
      <c r="P19" s="120"/>
      <c r="Q19" s="120"/>
    </row>
    <row r="20" spans="2:19" ht="7.15" customHeight="1">
      <c r="O20" s="121"/>
      <c r="P20" s="121"/>
      <c r="Q20" s="121"/>
    </row>
    <row r="21" spans="2:19" ht="30" customHeight="1">
      <c r="M21" s="545" t="s">
        <v>152</v>
      </c>
      <c r="N21" s="545"/>
      <c r="O21" s="545"/>
      <c r="P21" s="545"/>
      <c r="Q21" s="545"/>
      <c r="R21" s="545"/>
      <c r="S21" s="545"/>
    </row>
    <row r="22" spans="2:19">
      <c r="M22" s="548" t="s">
        <v>0</v>
      </c>
      <c r="N22" s="548" t="s">
        <v>23</v>
      </c>
      <c r="O22" s="546" t="s">
        <v>24</v>
      </c>
      <c r="P22" s="546"/>
      <c r="Q22" s="547"/>
      <c r="R22" s="14" t="s">
        <v>25</v>
      </c>
      <c r="S22" s="14" t="s">
        <v>27</v>
      </c>
    </row>
    <row r="23" spans="2:19">
      <c r="M23" s="549"/>
      <c r="N23" s="549"/>
      <c r="O23" s="122" t="s">
        <v>153</v>
      </c>
      <c r="P23" s="122" t="s">
        <v>154</v>
      </c>
      <c r="Q23" s="122" t="s">
        <v>155</v>
      </c>
      <c r="R23" s="15" t="s">
        <v>26</v>
      </c>
      <c r="S23" s="15" t="s">
        <v>28</v>
      </c>
    </row>
    <row r="24" spans="2:19">
      <c r="M24" s="5">
        <v>1</v>
      </c>
      <c r="N24" s="13" t="s">
        <v>30</v>
      </c>
      <c r="O24" s="18">
        <v>1.8</v>
      </c>
      <c r="P24" s="18">
        <v>1.9</v>
      </c>
      <c r="Q24" s="123">
        <v>4</v>
      </c>
      <c r="R24" s="18">
        <v>2</v>
      </c>
      <c r="S24" s="18">
        <v>128</v>
      </c>
    </row>
    <row r="25" spans="2:19">
      <c r="M25" s="9">
        <v>2</v>
      </c>
      <c r="N25" s="11" t="s">
        <v>2</v>
      </c>
      <c r="O25" s="17">
        <v>1.6</v>
      </c>
      <c r="P25" s="17">
        <v>1.7</v>
      </c>
      <c r="Q25" s="17">
        <v>1.7</v>
      </c>
      <c r="R25" s="17">
        <v>2</v>
      </c>
      <c r="S25" s="17">
        <v>83</v>
      </c>
    </row>
    <row r="26" spans="2:19">
      <c r="M26" s="9">
        <v>3</v>
      </c>
      <c r="N26" s="11" t="s">
        <v>3</v>
      </c>
      <c r="O26" s="17">
        <v>1.4</v>
      </c>
      <c r="P26" s="17">
        <v>2.1</v>
      </c>
      <c r="Q26" s="17">
        <v>2.1</v>
      </c>
      <c r="R26" s="17">
        <v>3</v>
      </c>
      <c r="S26" s="17">
        <v>62</v>
      </c>
    </row>
    <row r="27" spans="2:19">
      <c r="M27" s="9">
        <v>4</v>
      </c>
      <c r="N27" s="11" t="s">
        <v>4</v>
      </c>
      <c r="O27" s="17">
        <v>1.8</v>
      </c>
      <c r="P27" s="17">
        <v>1.7</v>
      </c>
      <c r="Q27" s="17">
        <v>2.1</v>
      </c>
      <c r="R27" s="17">
        <v>3</v>
      </c>
      <c r="S27" s="17">
        <v>62</v>
      </c>
    </row>
    <row r="28" spans="2:19">
      <c r="M28" s="9">
        <v>5</v>
      </c>
      <c r="N28" s="11" t="s">
        <v>5</v>
      </c>
      <c r="O28" s="17">
        <v>1.6</v>
      </c>
      <c r="P28" s="17">
        <v>2.2000000000000002</v>
      </c>
      <c r="Q28" s="17">
        <v>1.9</v>
      </c>
      <c r="R28" s="17">
        <v>2</v>
      </c>
      <c r="S28" s="17">
        <v>95</v>
      </c>
    </row>
    <row r="29" spans="2:19">
      <c r="M29" s="9">
        <v>6</v>
      </c>
      <c r="N29" s="11" t="s">
        <v>6</v>
      </c>
      <c r="O29" s="17">
        <v>1.3</v>
      </c>
      <c r="P29" s="17">
        <v>1.4</v>
      </c>
      <c r="Q29" s="17">
        <v>1.6</v>
      </c>
      <c r="R29" s="17">
        <v>2</v>
      </c>
      <c r="S29" s="17">
        <v>72</v>
      </c>
    </row>
    <row r="30" spans="2:19">
      <c r="M30" s="9">
        <v>7</v>
      </c>
      <c r="N30" s="11" t="s">
        <v>7</v>
      </c>
      <c r="O30" s="17">
        <v>1.4</v>
      </c>
      <c r="P30" s="17">
        <v>1.6</v>
      </c>
      <c r="Q30" s="17">
        <v>1.4</v>
      </c>
      <c r="R30" s="17">
        <v>2</v>
      </c>
      <c r="S30" s="17">
        <v>73</v>
      </c>
    </row>
    <row r="31" spans="2:19">
      <c r="M31" s="9">
        <v>8</v>
      </c>
      <c r="N31" s="11" t="s">
        <v>8</v>
      </c>
      <c r="O31" s="17">
        <v>1.8</v>
      </c>
      <c r="P31" s="17">
        <v>1.7</v>
      </c>
      <c r="Q31" s="17">
        <v>1.9</v>
      </c>
      <c r="R31" s="17">
        <v>2</v>
      </c>
      <c r="S31" s="17">
        <v>90</v>
      </c>
    </row>
    <row r="32" spans="2:19">
      <c r="M32" s="9">
        <v>9</v>
      </c>
      <c r="N32" s="11" t="s">
        <v>9</v>
      </c>
      <c r="O32" s="17">
        <v>2.2999999999999998</v>
      </c>
      <c r="P32" s="17">
        <v>2.2999999999999998</v>
      </c>
      <c r="Q32" s="17">
        <v>1.9</v>
      </c>
      <c r="R32" s="17">
        <v>2</v>
      </c>
      <c r="S32" s="17">
        <v>108</v>
      </c>
    </row>
    <row r="33" spans="13:19">
      <c r="M33" s="9">
        <v>10</v>
      </c>
      <c r="N33" s="11" t="s">
        <v>151</v>
      </c>
      <c r="O33" s="17">
        <v>2.1</v>
      </c>
      <c r="P33" s="17">
        <v>3.3</v>
      </c>
      <c r="Q33" s="17">
        <v>2.6</v>
      </c>
      <c r="R33" s="17">
        <v>2</v>
      </c>
      <c r="S33" s="17">
        <v>133</v>
      </c>
    </row>
    <row r="34" spans="13:19">
      <c r="M34" s="9">
        <v>11</v>
      </c>
      <c r="N34" s="11" t="s">
        <v>150</v>
      </c>
      <c r="O34" s="17">
        <v>0</v>
      </c>
      <c r="P34" s="17">
        <v>1.2</v>
      </c>
      <c r="Q34" s="17">
        <v>2.6</v>
      </c>
      <c r="R34" s="17">
        <v>2</v>
      </c>
      <c r="S34" s="17">
        <v>63</v>
      </c>
    </row>
    <row r="35" spans="13:19">
      <c r="M35" s="9">
        <v>12</v>
      </c>
      <c r="N35" s="11" t="s">
        <v>148</v>
      </c>
      <c r="O35" s="17">
        <v>2</v>
      </c>
      <c r="P35" s="17">
        <v>2.5</v>
      </c>
      <c r="Q35" s="17">
        <v>2.2999999999999998</v>
      </c>
      <c r="R35" s="17">
        <v>2</v>
      </c>
      <c r="S35" s="17">
        <v>113</v>
      </c>
    </row>
    <row r="36" spans="13:19">
      <c r="M36" s="10">
        <v>13</v>
      </c>
      <c r="N36" s="12" t="s">
        <v>149</v>
      </c>
      <c r="O36" s="124">
        <v>1.9</v>
      </c>
      <c r="P36" s="124">
        <v>2.1</v>
      </c>
      <c r="Q36" s="124">
        <v>1.2</v>
      </c>
      <c r="R36" s="124">
        <v>2</v>
      </c>
      <c r="S36" s="124">
        <v>87</v>
      </c>
    </row>
    <row r="37" spans="13:19">
      <c r="M37" s="3"/>
      <c r="N37" s="7" t="s">
        <v>29</v>
      </c>
      <c r="O37" s="125">
        <f>AVERAGE(O24:O36)</f>
        <v>1.6153846153846156</v>
      </c>
      <c r="P37" s="125">
        <f>AVERAGE(P24:P36)</f>
        <v>1.9769230769230768</v>
      </c>
      <c r="Q37" s="125">
        <f>AVERAGE(Q24:Q36)</f>
        <v>2.1</v>
      </c>
      <c r="R37" s="125">
        <f>AVERAGE(R24:R36)</f>
        <v>2.1538461538461537</v>
      </c>
      <c r="S37" s="125">
        <f>AVERAGE(S24:S36)</f>
        <v>89.92307692307692</v>
      </c>
    </row>
    <row r="39" spans="13:19" s="118" customFormat="1" ht="7.15" customHeight="1">
      <c r="O39" s="120"/>
      <c r="P39" s="120"/>
      <c r="Q39" s="120"/>
    </row>
  </sheetData>
  <mergeCells count="7">
    <mergeCell ref="C2:C3"/>
    <mergeCell ref="D2:I2"/>
    <mergeCell ref="B2:B3"/>
    <mergeCell ref="M21:S21"/>
    <mergeCell ref="O22:Q22"/>
    <mergeCell ref="M22:M23"/>
    <mergeCell ref="N22:N2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N41"/>
  <sheetViews>
    <sheetView workbookViewId="0">
      <selection activeCell="U86" sqref="U86:AA123"/>
    </sheetView>
  </sheetViews>
  <sheetFormatPr defaultRowHeight="15.5"/>
  <cols>
    <col min="1" max="1" width="3.5" customWidth="1"/>
    <col min="2" max="2" width="3.83203125" customWidth="1"/>
    <col min="3" max="3" width="11.75" bestFit="1" customWidth="1"/>
    <col min="4" max="4" width="10.5" customWidth="1"/>
    <col min="5" max="5" width="12.25" bestFit="1" customWidth="1"/>
    <col min="6" max="6" width="17.58203125" customWidth="1"/>
    <col min="7" max="7" width="12.75" bestFit="1" customWidth="1"/>
    <col min="8" max="8" width="14.08203125" customWidth="1"/>
    <col min="9" max="9" width="3.5" customWidth="1"/>
    <col min="10" max="10" width="1.08203125" style="149" customWidth="1"/>
    <col min="11" max="11" width="3" customWidth="1"/>
    <col min="12" max="12" width="3.83203125" customWidth="1"/>
    <col min="13" max="13" width="11.75" bestFit="1" customWidth="1"/>
    <col min="14" max="14" width="10.5" customWidth="1"/>
    <col min="15" max="15" width="12.25" bestFit="1" customWidth="1"/>
    <col min="16" max="16" width="17.58203125" customWidth="1"/>
    <col min="17" max="17" width="12.75" bestFit="1" customWidth="1"/>
    <col min="18" max="18" width="14.08203125" bestFit="1" customWidth="1"/>
    <col min="19" max="19" width="2" customWidth="1"/>
    <col min="20" max="20" width="0.83203125" style="149" customWidth="1"/>
    <col min="21" max="21" width="2" customWidth="1"/>
    <col min="22" max="22" width="3.83203125" customWidth="1"/>
    <col min="23" max="23" width="18.25" bestFit="1" customWidth="1"/>
    <col min="24" max="24" width="10.5" customWidth="1"/>
    <col min="25" max="25" width="12.25" bestFit="1" customWidth="1"/>
    <col min="26" max="26" width="17.58203125" customWidth="1"/>
    <col min="27" max="27" width="12.75" bestFit="1" customWidth="1"/>
    <col min="28" max="28" width="14.08203125" bestFit="1" customWidth="1"/>
    <col min="29" max="29" width="1.58203125" customWidth="1"/>
    <col min="30" max="30" width="0.83203125" style="149" customWidth="1"/>
    <col min="31" max="31" width="1.58203125" customWidth="1"/>
    <col min="32" max="32" width="3.83203125" customWidth="1"/>
    <col min="33" max="33" width="18.25" bestFit="1" customWidth="1"/>
    <col min="34" max="34" width="10.5" customWidth="1"/>
    <col min="35" max="35" width="12.25" bestFit="1" customWidth="1"/>
    <col min="36" max="36" width="17.58203125" customWidth="1"/>
    <col min="37" max="37" width="12.75" bestFit="1" customWidth="1"/>
    <col min="38" max="38" width="14.08203125" customWidth="1"/>
    <col min="39" max="39" width="2.33203125" customWidth="1"/>
    <col min="40" max="40" width="0.75" style="149" customWidth="1"/>
  </cols>
  <sheetData>
    <row r="1" spans="2:40" ht="18" thickBot="1">
      <c r="B1" s="550" t="s">
        <v>136</v>
      </c>
      <c r="C1" s="550"/>
      <c r="D1" s="550"/>
      <c r="E1" s="550"/>
      <c r="F1" s="550"/>
      <c r="G1" s="550"/>
      <c r="H1" s="550"/>
      <c r="I1" s="116"/>
      <c r="J1" s="151"/>
    </row>
    <row r="2" spans="2:40" ht="46.5" customHeight="1" thickBot="1">
      <c r="B2" s="142" t="s">
        <v>0</v>
      </c>
      <c r="C2" s="143" t="s">
        <v>10</v>
      </c>
      <c r="D2" s="144" t="s">
        <v>11</v>
      </c>
      <c r="E2" s="144" t="s">
        <v>12</v>
      </c>
      <c r="F2" s="144" t="s">
        <v>163</v>
      </c>
      <c r="G2" s="144" t="s">
        <v>97</v>
      </c>
      <c r="H2" s="144" t="s">
        <v>98</v>
      </c>
      <c r="I2" s="147"/>
      <c r="J2" s="152"/>
    </row>
    <row r="3" spans="2:40" s="8" customFormat="1" ht="25.15" customHeight="1">
      <c r="B3" s="136">
        <v>1</v>
      </c>
      <c r="C3" s="137" t="s">
        <v>13</v>
      </c>
      <c r="D3" s="136">
        <v>2151</v>
      </c>
      <c r="E3" s="136">
        <v>1984</v>
      </c>
      <c r="F3" s="136">
        <v>250</v>
      </c>
      <c r="G3" s="136">
        <f>2018-E3</f>
        <v>34</v>
      </c>
      <c r="H3" s="137" t="s">
        <v>99</v>
      </c>
      <c r="I3" s="148"/>
      <c r="J3" s="153"/>
      <c r="T3" s="150"/>
      <c r="AD3" s="150"/>
      <c r="AN3" s="150"/>
    </row>
    <row r="4" spans="2:40" s="8" customFormat="1" ht="25.15" customHeight="1">
      <c r="B4" s="138">
        <v>2</v>
      </c>
      <c r="C4" s="139" t="s">
        <v>13</v>
      </c>
      <c r="D4" s="138">
        <v>2152</v>
      </c>
      <c r="E4" s="138">
        <v>1984</v>
      </c>
      <c r="F4" s="138">
        <v>250</v>
      </c>
      <c r="G4" s="138">
        <f t="shared" ref="G4:G8" si="0">2018-E4</f>
        <v>34</v>
      </c>
      <c r="H4" s="139" t="s">
        <v>99</v>
      </c>
      <c r="I4" s="148"/>
      <c r="J4" s="153"/>
      <c r="T4" s="150"/>
      <c r="AD4" s="150"/>
      <c r="AN4" s="150"/>
    </row>
    <row r="5" spans="2:40" s="8" customFormat="1" ht="25.15" customHeight="1">
      <c r="B5" s="138">
        <v>3</v>
      </c>
      <c r="C5" s="139" t="s">
        <v>13</v>
      </c>
      <c r="D5" s="138">
        <v>2153</v>
      </c>
      <c r="E5" s="138">
        <v>1984</v>
      </c>
      <c r="F5" s="138">
        <v>250</v>
      </c>
      <c r="G5" s="138">
        <f t="shared" si="0"/>
        <v>34</v>
      </c>
      <c r="H5" s="139" t="s">
        <v>99</v>
      </c>
      <c r="I5" s="148"/>
      <c r="J5" s="153"/>
      <c r="T5" s="150"/>
      <c r="AD5" s="150"/>
      <c r="AN5" s="150"/>
    </row>
    <row r="6" spans="2:40" s="8" customFormat="1" ht="25.15" customHeight="1">
      <c r="B6" s="138">
        <v>4</v>
      </c>
      <c r="C6" s="139" t="s">
        <v>13</v>
      </c>
      <c r="D6" s="138">
        <v>2154</v>
      </c>
      <c r="E6" s="138">
        <v>1984</v>
      </c>
      <c r="F6" s="138">
        <v>250</v>
      </c>
      <c r="G6" s="138">
        <f t="shared" si="0"/>
        <v>34</v>
      </c>
      <c r="H6" s="139" t="s">
        <v>99</v>
      </c>
      <c r="I6" s="148"/>
      <c r="J6" s="153"/>
      <c r="T6" s="150"/>
      <c r="AD6" s="150"/>
      <c r="AN6" s="150"/>
    </row>
    <row r="7" spans="2:40" s="8" customFormat="1" ht="25.15" customHeight="1">
      <c r="B7" s="138">
        <v>5</v>
      </c>
      <c r="C7" s="139" t="s">
        <v>13</v>
      </c>
      <c r="D7" s="138">
        <v>2217</v>
      </c>
      <c r="E7" s="138">
        <v>1984</v>
      </c>
      <c r="F7" s="138">
        <v>250</v>
      </c>
      <c r="G7" s="138">
        <f t="shared" si="0"/>
        <v>34</v>
      </c>
      <c r="H7" s="139" t="s">
        <v>99</v>
      </c>
      <c r="I7" s="148"/>
      <c r="J7" s="153"/>
      <c r="T7" s="150"/>
      <c r="AD7" s="150"/>
      <c r="AN7" s="150"/>
    </row>
    <row r="8" spans="2:40" s="8" customFormat="1" ht="25.15" customHeight="1" thickBot="1">
      <c r="B8" s="140">
        <v>6</v>
      </c>
      <c r="C8" s="141" t="s">
        <v>13</v>
      </c>
      <c r="D8" s="140">
        <v>2218</v>
      </c>
      <c r="E8" s="140">
        <v>1984</v>
      </c>
      <c r="F8" s="140">
        <v>250</v>
      </c>
      <c r="G8" s="140">
        <f t="shared" si="0"/>
        <v>34</v>
      </c>
      <c r="H8" s="141" t="s">
        <v>99</v>
      </c>
      <c r="I8" s="148"/>
      <c r="J8" s="153"/>
      <c r="T8" s="150"/>
      <c r="AD8" s="150"/>
      <c r="AN8" s="150"/>
    </row>
    <row r="9" spans="2:40" ht="7.15" customHeight="1"/>
    <row r="10" spans="2:40" s="149" customFormat="1" ht="7.15" customHeight="1"/>
    <row r="11" spans="2:40" ht="18" thickBot="1">
      <c r="L11" s="550" t="s">
        <v>164</v>
      </c>
      <c r="M11" s="550"/>
      <c r="N11" s="550"/>
      <c r="O11" s="550"/>
      <c r="P11" s="550"/>
      <c r="Q11" s="550"/>
      <c r="R11" s="550"/>
    </row>
    <row r="12" spans="2:40" ht="42.5" thickBot="1">
      <c r="L12" s="142" t="s">
        <v>0</v>
      </c>
      <c r="M12" s="143" t="s">
        <v>10</v>
      </c>
      <c r="N12" s="144" t="s">
        <v>11</v>
      </c>
      <c r="O12" s="144" t="s">
        <v>12</v>
      </c>
      <c r="P12" s="144" t="s">
        <v>163</v>
      </c>
      <c r="Q12" s="144" t="s">
        <v>97</v>
      </c>
      <c r="R12" s="144" t="s">
        <v>98</v>
      </c>
    </row>
    <row r="13" spans="2:40">
      <c r="L13" s="136">
        <v>1</v>
      </c>
      <c r="M13" s="137" t="s">
        <v>165</v>
      </c>
      <c r="N13" s="136">
        <v>2400</v>
      </c>
      <c r="O13" s="136">
        <v>1988</v>
      </c>
      <c r="P13" s="136">
        <v>250</v>
      </c>
      <c r="Q13" s="136">
        <f>2018-O13</f>
        <v>30</v>
      </c>
      <c r="R13" s="137" t="s">
        <v>99</v>
      </c>
    </row>
    <row r="14" spans="2:40">
      <c r="L14" s="138">
        <v>2</v>
      </c>
      <c r="M14" s="139" t="s">
        <v>165</v>
      </c>
      <c r="N14" s="138">
        <v>2401</v>
      </c>
      <c r="O14" s="138">
        <v>1988</v>
      </c>
      <c r="P14" s="138">
        <v>250</v>
      </c>
      <c r="Q14" s="138">
        <f t="shared" ref="Q14:Q19" si="1">2018-O14</f>
        <v>30</v>
      </c>
      <c r="R14" s="139" t="s">
        <v>99</v>
      </c>
    </row>
    <row r="15" spans="2:40">
      <c r="L15" s="138">
        <v>3</v>
      </c>
      <c r="M15" s="139" t="s">
        <v>165</v>
      </c>
      <c r="N15" s="138">
        <v>2402</v>
      </c>
      <c r="O15" s="138">
        <v>1988</v>
      </c>
      <c r="P15" s="138">
        <v>250</v>
      </c>
      <c r="Q15" s="138">
        <f t="shared" si="1"/>
        <v>30</v>
      </c>
      <c r="R15" s="139" t="s">
        <v>99</v>
      </c>
    </row>
    <row r="16" spans="2:40">
      <c r="L16" s="138">
        <v>4</v>
      </c>
      <c r="M16" s="139" t="s">
        <v>165</v>
      </c>
      <c r="N16" s="138">
        <v>2403</v>
      </c>
      <c r="O16" s="138">
        <v>1988</v>
      </c>
      <c r="P16" s="138">
        <v>250</v>
      </c>
      <c r="Q16" s="138">
        <f t="shared" si="1"/>
        <v>30</v>
      </c>
      <c r="R16" s="139" t="s">
        <v>99</v>
      </c>
    </row>
    <row r="17" spans="12:38">
      <c r="L17" s="138">
        <v>5</v>
      </c>
      <c r="M17" s="139" t="s">
        <v>165</v>
      </c>
      <c r="N17" s="138">
        <v>2404</v>
      </c>
      <c r="O17" s="138">
        <v>1988</v>
      </c>
      <c r="P17" s="138">
        <v>250</v>
      </c>
      <c r="Q17" s="138">
        <f t="shared" si="1"/>
        <v>30</v>
      </c>
      <c r="R17" s="139" t="s">
        <v>99</v>
      </c>
    </row>
    <row r="18" spans="12:38">
      <c r="L18" s="145">
        <v>6</v>
      </c>
      <c r="M18" s="146" t="s">
        <v>165</v>
      </c>
      <c r="N18" s="145">
        <v>2405</v>
      </c>
      <c r="O18" s="145">
        <v>1988</v>
      </c>
      <c r="P18" s="145">
        <v>250</v>
      </c>
      <c r="Q18" s="138">
        <f t="shared" ref="Q18" si="2">2018-O18</f>
        <v>30</v>
      </c>
      <c r="R18" s="139" t="s">
        <v>99</v>
      </c>
    </row>
    <row r="19" spans="12:38" ht="16" thickBot="1">
      <c r="L19" s="140">
        <v>7</v>
      </c>
      <c r="M19" s="141" t="s">
        <v>165</v>
      </c>
      <c r="N19" s="140">
        <v>2406</v>
      </c>
      <c r="O19" s="140">
        <v>1988</v>
      </c>
      <c r="P19" s="140">
        <v>250</v>
      </c>
      <c r="Q19" s="140">
        <f t="shared" si="1"/>
        <v>30</v>
      </c>
      <c r="R19" s="141" t="s">
        <v>99</v>
      </c>
    </row>
    <row r="20" spans="12:38" ht="9" customHeight="1"/>
    <row r="21" spans="12:38" s="149" customFormat="1" ht="7.15" customHeight="1"/>
    <row r="22" spans="12:38" ht="18" thickBot="1">
      <c r="V22" s="550" t="s">
        <v>166</v>
      </c>
      <c r="W22" s="550"/>
      <c r="X22" s="550"/>
      <c r="Y22" s="550"/>
      <c r="Z22" s="550"/>
      <c r="AA22" s="550"/>
      <c r="AB22" s="550"/>
    </row>
    <row r="23" spans="12:38" ht="42.5" thickBot="1">
      <c r="V23" s="142" t="s">
        <v>0</v>
      </c>
      <c r="W23" s="143" t="s">
        <v>10</v>
      </c>
      <c r="X23" s="144" t="s">
        <v>11</v>
      </c>
      <c r="Y23" s="144" t="s">
        <v>12</v>
      </c>
      <c r="Z23" s="144" t="s">
        <v>163</v>
      </c>
      <c r="AA23" s="144" t="s">
        <v>97</v>
      </c>
      <c r="AB23" s="144" t="s">
        <v>98</v>
      </c>
    </row>
    <row r="24" spans="12:38">
      <c r="V24" s="136">
        <v>1</v>
      </c>
      <c r="W24" s="137" t="s">
        <v>165</v>
      </c>
      <c r="X24" s="136">
        <v>2492</v>
      </c>
      <c r="Y24" s="136">
        <v>1990</v>
      </c>
      <c r="Z24" s="136">
        <v>250</v>
      </c>
      <c r="AA24" s="136">
        <f>2018-Y24</f>
        <v>28</v>
      </c>
      <c r="AB24" s="137" t="s">
        <v>99</v>
      </c>
    </row>
    <row r="25" spans="12:38">
      <c r="V25" s="138">
        <v>2</v>
      </c>
      <c r="W25" s="139" t="s">
        <v>165</v>
      </c>
      <c r="X25" s="138">
        <v>2493</v>
      </c>
      <c r="Y25" s="138">
        <v>1990</v>
      </c>
      <c r="Z25" s="138">
        <v>250</v>
      </c>
      <c r="AA25" s="138">
        <f t="shared" ref="AA25:AA29" si="3">2018-Y25</f>
        <v>28</v>
      </c>
      <c r="AB25" s="139" t="s">
        <v>99</v>
      </c>
    </row>
    <row r="26" spans="12:38">
      <c r="V26" s="138">
        <v>3</v>
      </c>
      <c r="W26" s="139" t="s">
        <v>15</v>
      </c>
      <c r="X26" s="138">
        <v>2552</v>
      </c>
      <c r="Y26" s="138">
        <v>1993</v>
      </c>
      <c r="Z26" s="138">
        <v>150</v>
      </c>
      <c r="AA26" s="138">
        <f t="shared" si="3"/>
        <v>25</v>
      </c>
      <c r="AB26" s="139" t="s">
        <v>99</v>
      </c>
    </row>
    <row r="27" spans="12:38">
      <c r="V27" s="138">
        <v>4</v>
      </c>
      <c r="W27" s="139" t="s">
        <v>17</v>
      </c>
      <c r="X27" s="138">
        <v>2718</v>
      </c>
      <c r="Y27" s="138">
        <v>1994</v>
      </c>
      <c r="Z27" s="138">
        <v>200</v>
      </c>
      <c r="AA27" s="138">
        <f t="shared" si="3"/>
        <v>24</v>
      </c>
      <c r="AB27" s="139" t="s">
        <v>99</v>
      </c>
    </row>
    <row r="28" spans="12:38">
      <c r="V28" s="138">
        <v>5</v>
      </c>
      <c r="W28" s="139" t="s">
        <v>17</v>
      </c>
      <c r="X28" s="138">
        <v>2719</v>
      </c>
      <c r="Y28" s="138">
        <v>1994</v>
      </c>
      <c r="Z28" s="138">
        <v>200</v>
      </c>
      <c r="AA28" s="138">
        <f t="shared" si="3"/>
        <v>24</v>
      </c>
      <c r="AB28" s="139" t="s">
        <v>99</v>
      </c>
    </row>
    <row r="29" spans="12:38" ht="16" thickBot="1">
      <c r="V29" s="140">
        <v>7</v>
      </c>
      <c r="W29" s="141" t="s">
        <v>18</v>
      </c>
      <c r="X29" s="140">
        <v>2061</v>
      </c>
      <c r="Y29" s="140">
        <v>1994</v>
      </c>
      <c r="Z29" s="140">
        <v>500</v>
      </c>
      <c r="AA29" s="140">
        <f t="shared" si="3"/>
        <v>24</v>
      </c>
      <c r="AB29" s="141" t="s">
        <v>99</v>
      </c>
    </row>
    <row r="31" spans="12:38" s="149" customFormat="1" ht="5.5" customHeight="1"/>
    <row r="32" spans="12:38" ht="18" thickBot="1">
      <c r="AF32" s="550" t="s">
        <v>167</v>
      </c>
      <c r="AG32" s="550"/>
      <c r="AH32" s="550"/>
      <c r="AI32" s="550"/>
      <c r="AJ32" s="550"/>
      <c r="AK32" s="550"/>
      <c r="AL32" s="550"/>
    </row>
    <row r="33" spans="32:38" ht="42.5" thickBot="1">
      <c r="AF33" s="142" t="s">
        <v>0</v>
      </c>
      <c r="AG33" s="143" t="s">
        <v>10</v>
      </c>
      <c r="AH33" s="144" t="s">
        <v>11</v>
      </c>
      <c r="AI33" s="144" t="s">
        <v>12</v>
      </c>
      <c r="AJ33" s="144" t="s">
        <v>163</v>
      </c>
      <c r="AK33" s="144" t="s">
        <v>97</v>
      </c>
      <c r="AL33" s="144" t="s">
        <v>98</v>
      </c>
    </row>
    <row r="34" spans="32:38">
      <c r="AF34" s="136">
        <v>1</v>
      </c>
      <c r="AG34" s="137" t="s">
        <v>19</v>
      </c>
      <c r="AH34" s="136">
        <v>2696</v>
      </c>
      <c r="AI34" s="136">
        <v>1994</v>
      </c>
      <c r="AJ34" s="136">
        <v>500</v>
      </c>
      <c r="AK34" s="136">
        <f>2018-AI34</f>
        <v>24</v>
      </c>
      <c r="AL34" s="137" t="s">
        <v>99</v>
      </c>
    </row>
    <row r="35" spans="32:38">
      <c r="AF35" s="138">
        <v>2</v>
      </c>
      <c r="AG35" s="139" t="s">
        <v>19</v>
      </c>
      <c r="AH35" s="138">
        <v>2701</v>
      </c>
      <c r="AI35" s="138">
        <v>1994</v>
      </c>
      <c r="AJ35" s="138">
        <v>500</v>
      </c>
      <c r="AK35" s="138">
        <f t="shared" ref="AK35:AK39" si="4">2018-AI35</f>
        <v>24</v>
      </c>
      <c r="AL35" s="139" t="s">
        <v>99</v>
      </c>
    </row>
    <row r="36" spans="32:38">
      <c r="AF36" s="138">
        <v>3</v>
      </c>
      <c r="AG36" s="139" t="s">
        <v>20</v>
      </c>
      <c r="AH36" s="138">
        <v>2725</v>
      </c>
      <c r="AI36" s="138">
        <v>1994</v>
      </c>
      <c r="AJ36" s="138">
        <v>500</v>
      </c>
      <c r="AK36" s="138">
        <f t="shared" si="4"/>
        <v>24</v>
      </c>
      <c r="AL36" s="139" t="s">
        <v>99</v>
      </c>
    </row>
    <row r="37" spans="32:38">
      <c r="AF37" s="138">
        <v>4</v>
      </c>
      <c r="AG37" s="139" t="s">
        <v>20</v>
      </c>
      <c r="AH37" s="138">
        <v>2726</v>
      </c>
      <c r="AI37" s="138">
        <v>1994</v>
      </c>
      <c r="AJ37" s="138">
        <v>500</v>
      </c>
      <c r="AK37" s="138">
        <f t="shared" si="4"/>
        <v>24</v>
      </c>
      <c r="AL37" s="139" t="s">
        <v>99</v>
      </c>
    </row>
    <row r="38" spans="32:38">
      <c r="AF38" s="138">
        <v>5</v>
      </c>
      <c r="AG38" s="139" t="s">
        <v>20</v>
      </c>
      <c r="AH38" s="138">
        <v>2727</v>
      </c>
      <c r="AI38" s="138">
        <v>1994</v>
      </c>
      <c r="AJ38" s="138">
        <v>500</v>
      </c>
      <c r="AK38" s="138">
        <f t="shared" si="4"/>
        <v>24</v>
      </c>
      <c r="AL38" s="139" t="s">
        <v>99</v>
      </c>
    </row>
    <row r="39" spans="32:38" ht="16" thickBot="1">
      <c r="AF39" s="140">
        <v>7</v>
      </c>
      <c r="AG39" s="141" t="s">
        <v>20</v>
      </c>
      <c r="AH39" s="140">
        <v>2728</v>
      </c>
      <c r="AI39" s="140">
        <v>1994</v>
      </c>
      <c r="AJ39" s="140">
        <v>500</v>
      </c>
      <c r="AK39" s="140">
        <f t="shared" si="4"/>
        <v>24</v>
      </c>
      <c r="AL39" s="141" t="s">
        <v>99</v>
      </c>
    </row>
    <row r="41" spans="32:38" s="149" customFormat="1" ht="5.5" customHeight="1"/>
  </sheetData>
  <mergeCells count="4">
    <mergeCell ref="B1:H1"/>
    <mergeCell ref="L11:R11"/>
    <mergeCell ref="V22:AB22"/>
    <mergeCell ref="AF32:AL32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Dashboard</vt:lpstr>
      <vt:lpstr>Datasumsi</vt:lpstr>
      <vt:lpstr>PivotTable</vt:lpstr>
      <vt:lpstr>Data</vt:lpstr>
      <vt:lpstr>Calc</vt:lpstr>
      <vt:lpstr>rekap keb mtt</vt:lpstr>
      <vt:lpstr>armada mtt</vt:lpstr>
      <vt:lpstr>gang mtt</vt:lpstr>
      <vt:lpstr>mttganti</vt:lpstr>
      <vt:lpstr>Calc!Print_Area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I I</dc:creator>
  <cp:lastModifiedBy>ghassany Fathiyah</cp:lastModifiedBy>
  <cp:lastPrinted>2018-07-17T08:55:42Z</cp:lastPrinted>
  <dcterms:created xsi:type="dcterms:W3CDTF">2016-06-09T07:12:03Z</dcterms:created>
  <dcterms:modified xsi:type="dcterms:W3CDTF">2024-12-17T06:53:28Z</dcterms:modified>
</cp:coreProperties>
</file>