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GitHub\Halloween\"/>
    </mc:Choice>
  </mc:AlternateContent>
  <bookViews>
    <workbookView xWindow="0" yWindow="0" windowWidth="28056" windowHeight="10992" activeTab="1"/>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 l="1"/>
  <c r="E8" i="2"/>
  <c r="E6" i="3" l="1"/>
  <c r="F6" i="3" s="1"/>
  <c r="E5" i="3" l="1"/>
  <c r="F5" i="3" s="1"/>
  <c r="K9" i="2"/>
  <c r="K8" i="2"/>
  <c r="I8" i="2" l="1"/>
  <c r="I9" i="2"/>
  <c r="E4" i="3"/>
  <c r="F4" i="3" s="1"/>
  <c r="E3" i="3"/>
  <c r="F3" i="3" s="1"/>
  <c r="F2" i="3" l="1"/>
  <c r="E2" i="3"/>
  <c r="J25" i="1" l="1"/>
  <c r="J23" i="1"/>
  <c r="J24" i="1"/>
  <c r="J27" i="1"/>
  <c r="J18" i="1" l="1"/>
  <c r="J20" i="1"/>
  <c r="J21" i="1"/>
  <c r="J22" i="1"/>
  <c r="J17" i="1"/>
  <c r="B19" i="1"/>
  <c r="J19" i="1" s="1"/>
  <c r="G3" i="1"/>
  <c r="J28" i="1" l="1"/>
  <c r="H8" i="2"/>
  <c r="H9" i="2"/>
  <c r="G8" i="2"/>
  <c r="G9" i="2"/>
  <c r="F8" i="2"/>
  <c r="F9" i="2"/>
  <c r="D9" i="2" l="1"/>
  <c r="C9" i="2"/>
  <c r="B9" i="2"/>
  <c r="D8" i="2"/>
  <c r="C8" i="2"/>
  <c r="B8" i="2"/>
  <c r="I3" i="1" l="1"/>
  <c r="I6" i="1" s="1"/>
  <c r="I7" i="1" s="1"/>
  <c r="I8" i="1" s="1"/>
  <c r="J6" i="1" l="1"/>
  <c r="I4" i="1"/>
  <c r="I9" i="1" s="1"/>
  <c r="I12" i="1" s="1"/>
  <c r="I13" i="1" s="1"/>
  <c r="E3" i="1"/>
  <c r="C3" i="1"/>
  <c r="G6" i="1"/>
  <c r="G7" i="1" s="1"/>
  <c r="G8" i="1" s="1"/>
  <c r="G9" i="1" s="1"/>
  <c r="G12" i="1" s="1"/>
  <c r="G13" i="1" s="1"/>
  <c r="G4" i="1"/>
  <c r="H6" i="1" l="1"/>
  <c r="E4" i="1"/>
  <c r="E6" i="1" l="1"/>
  <c r="E7" i="1" s="1"/>
  <c r="E8" i="1" s="1"/>
  <c r="E9" i="1" s="1"/>
  <c r="E12" i="1" s="1"/>
  <c r="E13" i="1" s="1"/>
  <c r="C4" i="1"/>
  <c r="C6" i="1" l="1"/>
  <c r="C7" i="1" s="1"/>
  <c r="C8" i="1" s="1"/>
  <c r="C9" i="1" s="1"/>
  <c r="C12" i="1" s="1"/>
  <c r="C13" i="1" s="1"/>
</calcChain>
</file>

<file path=xl/comments1.xml><?xml version="1.0" encoding="utf-8"?>
<comments xmlns="http://schemas.openxmlformats.org/spreadsheetml/2006/main">
  <authors>
    <author>Greg G</author>
  </authors>
  <commentList>
    <comment ref="C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E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G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I3" authorId="0" shapeId="0">
      <text>
        <r>
          <rPr>
            <b/>
            <sz val="9"/>
            <color indexed="81"/>
            <rFont val="Tahoma"/>
            <family val="2"/>
          </rPr>
          <t>Greg G:</t>
        </r>
        <r>
          <rPr>
            <sz val="9"/>
            <color indexed="81"/>
            <rFont val="Tahoma"/>
            <family val="2"/>
          </rPr>
          <t xml:space="preserve">
arm weight 6.4oz
Servo 2.4 oz  (HS -7950th)
Servo block 1.3 oz
pattern plate = 13g
servo beam 6" ending at balance point (two) = 24g * 2 
pattern plate = 13g
excluding screws and nuts</t>
        </r>
      </text>
    </comment>
  </commentList>
</comments>
</file>

<file path=xl/comments2.xml><?xml version="1.0" encoding="utf-8"?>
<comments xmlns="http://schemas.openxmlformats.org/spreadsheetml/2006/main">
  <authors>
    <author>Greg</author>
  </authors>
  <commentList>
    <comment ref="I4" authorId="0" shapeId="0">
      <text>
        <r>
          <rPr>
            <b/>
            <sz val="9"/>
            <color indexed="81"/>
            <rFont val="Tahoma"/>
            <charset val="1"/>
          </rPr>
          <t>Greg:</t>
        </r>
        <r>
          <rPr>
            <sz val="9"/>
            <color indexed="81"/>
            <rFont val="Tahoma"/>
            <charset val="1"/>
          </rPr>
          <t xml:space="preserve">
198 is chosen by setting resolution to normal instead of fine (fine makes it 120 degrees)</t>
        </r>
      </text>
    </comment>
  </commentList>
</comments>
</file>

<file path=xl/comments3.xml><?xml version="1.0" encoding="utf-8"?>
<comments xmlns="http://schemas.openxmlformats.org/spreadsheetml/2006/main">
  <authors>
    <author>Greg</author>
  </authors>
  <commentList>
    <comment ref="C1" authorId="0" shapeId="0">
      <text>
        <r>
          <rPr>
            <b/>
            <sz val="9"/>
            <color indexed="81"/>
            <rFont val="Tahoma"/>
            <family val="2"/>
          </rPr>
          <t>Greg:</t>
        </r>
        <r>
          <rPr>
            <sz val="9"/>
            <color indexed="81"/>
            <rFont val="Tahoma"/>
            <family val="2"/>
          </rPr>
          <t xml:space="preserve">
Unless otherwise specified conditions are existing arm which weighst 6.4 oz and balance point at 12"" from start of arm shoulder which is at the center of the servo spline, with 6 oz weight also added at the 12" point, and using 9 hole channel, weighing 3.03 oz and 7.5" long., to hold arm starting at the center of the servo spline</t>
        </r>
      </text>
    </comment>
  </commentList>
</comments>
</file>

<file path=xl/sharedStrings.xml><?xml version="1.0" encoding="utf-8"?>
<sst xmlns="http://schemas.openxmlformats.org/spreadsheetml/2006/main" count="70" uniqueCount="63">
  <si>
    <t>weight of object oz</t>
  </si>
  <si>
    <t>length at balance point in "</t>
  </si>
  <si>
    <t>Angle between gravity direction and  arm</t>
  </si>
  <si>
    <t>mass of object in Kg</t>
  </si>
  <si>
    <t>Counter clockwise Servo torque oz-in</t>
  </si>
  <si>
    <t>downward (clockwise) torque from gravity in oz-in</t>
  </si>
  <si>
    <t>Resultant counter clockwise torque on object in oz-in</t>
  </si>
  <si>
    <t>resultant counter clockwise torque in N-m</t>
  </si>
  <si>
    <t>Angular acceleration counter clockwise (in rad/sec sec)
torque = m (r^2)a,  a = torque/(m(r^2))  where m is mass in Kg, r is radius in meters, torque is in N-m</t>
  </si>
  <si>
    <t>t  (sec)</t>
  </si>
  <si>
    <t>V0  (m/sec)</t>
  </si>
  <si>
    <t>radians went through after t secs.  =  V0*t + (AngAccel*t^2)/2  for constant angular acceleration
https://courses.lumenlearning.com/physics/chapter/10-3-dynamics-of-rotational-motion-rotational-inertia/</t>
  </si>
  <si>
    <t>avg deg/sec the arm is moving at (this would be the minimum as at any other angle of the arm gravity is providing less torque because the angle of gravity is not perpendicular to the arm_</t>
  </si>
  <si>
    <t>min pulse width</t>
  </si>
  <si>
    <t>max pulse width</t>
  </si>
  <si>
    <t>min degree</t>
  </si>
  <si>
    <t>max degree</t>
  </si>
  <si>
    <t>min degree limited</t>
  </si>
  <si>
    <t>max degree limited</t>
  </si>
  <si>
    <t>calc min pulse width</t>
  </si>
  <si>
    <t>calc max pulse width</t>
  </si>
  <si>
    <t>Arduino pin</t>
  </si>
  <si>
    <t>TestServo Servo ID in cmd SetServo ID degrees</t>
  </si>
  <si>
    <t>Servo Degree setting for Arm at rest position</t>
  </si>
  <si>
    <t xml:space="preserve">Which  Servo </t>
  </si>
  <si>
    <t>Arm Yaw</t>
  </si>
  <si>
    <t>Arm Pitch</t>
  </si>
  <si>
    <t>Arm Roll</t>
  </si>
  <si>
    <t>Head Rotate</t>
  </si>
  <si>
    <t>Head Nod</t>
  </si>
  <si>
    <t>Mouth</t>
  </si>
  <si>
    <t>3 hole pattern plate</t>
  </si>
  <si>
    <t>90 degree bracket</t>
  </si>
  <si>
    <t>5 hole pattern plate</t>
  </si>
  <si>
    <t>weight in oz</t>
  </si>
  <si>
    <t>Servo block (standard)</t>
  </si>
  <si>
    <t>number items</t>
  </si>
  <si>
    <t xml:space="preserve">Arm </t>
  </si>
  <si>
    <t>Total Weight</t>
  </si>
  <si>
    <t>3 hole channel</t>
  </si>
  <si>
    <t>5 hole channel</t>
  </si>
  <si>
    <t>7 hole channel</t>
  </si>
  <si>
    <t>GoBilda 2000 s25-2 ervo</t>
  </si>
  <si>
    <t>Angle Transition</t>
  </si>
  <si>
    <t>180 to 45</t>
  </si>
  <si>
    <t>Secs to transition</t>
  </si>
  <si>
    <t>Data ----&gt;</t>
  </si>
  <si>
    <t>Data End</t>
  </si>
  <si>
    <t>Servo Supply Voltage</t>
  </si>
  <si>
    <t>Servo and conditions</t>
  </si>
  <si>
    <t>Angle Difference</t>
  </si>
  <si>
    <t>Sec/60 degrees</t>
  </si>
  <si>
    <t>goBilda 2000 25-2 Arm Pitch Servo with full unmodified skeleton ARM, with 9 hole cut U channel on first hold centered on spline, start of arm at start of U channel,  and 6 oz added at 12" point on arm from spline</t>
  </si>
  <si>
    <t>goBilda 2000 25-2 Arm Pitch Servo with 31 hole channel (middle first hole is where spline is)  and  then 2.5 oz at approx the 13.26" point from spline.  To produce 141oz in of load torque</t>
  </si>
  <si>
    <t>Hitec HS 7950th  Arm Pitch Servo with 31 hole channel (middle first hole is where spline is)  and  then 2.5 oz at approx the 13.26" point from spline.  To produce 141oz in of load torque</t>
  </si>
  <si>
    <t>165 to 30</t>
  </si>
  <si>
    <t>Comment</t>
  </si>
  <si>
    <t>Good transition time.  Noise not bad but can still hear it.  Making dead band 2,3, or 4 usec didn't really help noise.  More jerky once reach end point but just may be because torque is so high.</t>
  </si>
  <si>
    <t>quiet when not moving.  Maybe try 7.4 volt supply to increase speed and torque.  Smooth transition.</t>
  </si>
  <si>
    <t xml:space="preserve">Arm Pitch using Hitec HS-7950TH </t>
  </si>
  <si>
    <t>175 to 40  (175  points more straight down than 180)</t>
  </si>
  <si>
    <t>quiet when not moving.  Smooth transition.</t>
  </si>
  <si>
    <t>Elbow Pitch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</si>
</sst>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wrapText="1"/>
    </xf>
    <xf numFmtId="1" fontId="0" fillId="0" borderId="0" xfId="0" applyNumberFormat="1"/>
    <xf numFmtId="0" fontId="0" fillId="0" borderId="0" xfId="0" applyAlignment="1">
      <alignment horizontal="right" vertical="top" wrapText="1"/>
    </xf>
    <xf numFmtId="2" fontId="0" fillId="0" borderId="0" xfId="0" applyNumberFormat="1"/>
    <xf numFmtId="2" fontId="0" fillId="0" borderId="0" xfId="0" applyNumberFormat="1" applyAlignment="1">
      <alignment horizontal="right" vertical="top" wrapText="1"/>
    </xf>
    <xf numFmtId="0" fontId="3" fillId="0" borderId="0" xfId="0" applyFont="1" applyAlignment="1">
      <alignment horizontal="left" vertical="top" wrapText="1"/>
    </xf>
    <xf numFmtId="0" fontId="3" fillId="0" borderId="0" xfId="0" applyFont="1"/>
    <xf numFmtId="2"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opLeftCell="A4" workbookViewId="0">
      <selection activeCell="C24" sqref="C24"/>
    </sheetView>
  </sheetViews>
  <sheetFormatPr defaultRowHeight="14.4" x14ac:dyDescent="0.3"/>
  <cols>
    <col min="1" max="1" width="59" style="1" customWidth="1"/>
    <col min="2" max="2" width="17.33203125" style="1" customWidth="1"/>
    <col min="3" max="3" width="19.6640625" customWidth="1"/>
    <col min="4" max="4" width="12.5546875" customWidth="1"/>
  </cols>
  <sheetData>
    <row r="1" spans="1:10" x14ac:dyDescent="0.3">
      <c r="A1" s="1" t="s">
        <v>2</v>
      </c>
      <c r="C1">
        <v>90</v>
      </c>
      <c r="E1">
        <v>90</v>
      </c>
      <c r="G1">
        <v>90</v>
      </c>
      <c r="I1">
        <v>90</v>
      </c>
    </row>
    <row r="2" spans="1:10" x14ac:dyDescent="0.3">
      <c r="A2" s="1" t="s">
        <v>4</v>
      </c>
      <c r="C2">
        <v>499</v>
      </c>
      <c r="E2">
        <v>200</v>
      </c>
      <c r="G2">
        <v>300</v>
      </c>
      <c r="I2">
        <v>400</v>
      </c>
    </row>
    <row r="3" spans="1:10" x14ac:dyDescent="0.3">
      <c r="A3" s="1" t="s">
        <v>0</v>
      </c>
      <c r="C3">
        <f t="shared" ref="C3:E3" si="0">6.4+2.12+(13/28.35)+1.3+((24*0.75)/28.35)+(13/28.35)</f>
        <v>11.372028218694885</v>
      </c>
      <c r="E3">
        <f t="shared" si="0"/>
        <v>11.372028218694885</v>
      </c>
      <c r="G3">
        <f>6.4+2.12+(13/28.35)+1.3+((24*0.75)/28.35)+(13/28.35)</f>
        <v>11.372028218694885</v>
      </c>
      <c r="I3">
        <f>6.4+2.4+1.3+(13/28.35)+((2*24*0.75)/28.35)+(13/28.35)</f>
        <v>12.286948853615522</v>
      </c>
    </row>
    <row r="4" spans="1:10" x14ac:dyDescent="0.3">
      <c r="A4" s="1" t="s">
        <v>3</v>
      </c>
      <c r="C4">
        <f>(454*C3/16)/1000</f>
        <v>0.32268130070546736</v>
      </c>
      <c r="E4">
        <f>(454*E3/16)/1000</f>
        <v>0.32268130070546736</v>
      </c>
      <c r="G4">
        <f>(454*G3/16)/1000</f>
        <v>0.32268130070546736</v>
      </c>
      <c r="I4">
        <f>(454*I3/16)/1000</f>
        <v>0.34864217372134043</v>
      </c>
    </row>
    <row r="5" spans="1:10" x14ac:dyDescent="0.3">
      <c r="A5" s="1" t="s">
        <v>1</v>
      </c>
      <c r="C5">
        <v>12</v>
      </c>
      <c r="E5">
        <v>12</v>
      </c>
      <c r="G5">
        <v>12</v>
      </c>
      <c r="I5">
        <v>12</v>
      </c>
    </row>
    <row r="6" spans="1:10" x14ac:dyDescent="0.3">
      <c r="A6" s="1" t="s">
        <v>5</v>
      </c>
      <c r="C6">
        <f>C3*C5*SIN(C1*PI()/180)</f>
        <v>136.46433862433861</v>
      </c>
      <c r="E6">
        <f>E3*E5*SIN(E1*PI()/180)</f>
        <v>136.46433862433861</v>
      </c>
      <c r="G6">
        <f>G3*G5*SIN(G1*PI()/180)</f>
        <v>136.46433862433861</v>
      </c>
      <c r="H6">
        <f>G2/G6</f>
        <v>2.1983765357618092</v>
      </c>
      <c r="I6">
        <f>I3*I5*SIN(I1*PI()/180)</f>
        <v>147.44338624338627</v>
      </c>
      <c r="J6">
        <f>I2/I6</f>
        <v>2.7129056798771294</v>
      </c>
    </row>
    <row r="7" spans="1:10" x14ac:dyDescent="0.3">
      <c r="A7" s="1" t="s">
        <v>6</v>
      </c>
      <c r="C7">
        <f>C2-C6</f>
        <v>362.53566137566139</v>
      </c>
      <c r="E7">
        <f>E2-E6</f>
        <v>63.535661375661391</v>
      </c>
      <c r="G7">
        <f>G2-G6</f>
        <v>163.53566137566139</v>
      </c>
      <c r="I7">
        <f>I2-I6</f>
        <v>252.55661375661373</v>
      </c>
    </row>
    <row r="8" spans="1:10" x14ac:dyDescent="0.3">
      <c r="A8" s="1" t="s">
        <v>7</v>
      </c>
      <c r="C8">
        <f>C7/141.61193227806</f>
        <v>2.5600643642359873</v>
      </c>
      <c r="E8">
        <f>E7/141.61193227806</f>
        <v>0.44866036606934284</v>
      </c>
      <c r="G8">
        <f>G7/141.61193227806</f>
        <v>1.1548155494026688</v>
      </c>
      <c r="I8">
        <f>I7/141.61193227806</f>
        <v>1.7834416188934554</v>
      </c>
    </row>
    <row r="9" spans="1:10" ht="48.75" customHeight="1" x14ac:dyDescent="0.3">
      <c r="A9" s="1" t="s">
        <v>8</v>
      </c>
      <c r="C9">
        <f>C8/(((C5*2.54/100)^2)*C4)</f>
        <v>85.397893889114954</v>
      </c>
      <c r="E9">
        <f>E8/(((E5*2.54/100)^2)*E4)</f>
        <v>14.966284000158582</v>
      </c>
      <c r="G9">
        <f>G8/(((G5*2.54/100)^2)*G4)</f>
        <v>38.522006371047006</v>
      </c>
      <c r="I9">
        <f>I8/(((I5*2.54/100)^2)*I4)</f>
        <v>55.061628414881227</v>
      </c>
    </row>
    <row r="10" spans="1:10" x14ac:dyDescent="0.3">
      <c r="A10" s="1" t="s">
        <v>9</v>
      </c>
      <c r="C10">
        <v>1</v>
      </c>
      <c r="E10">
        <v>1</v>
      </c>
      <c r="G10">
        <v>1</v>
      </c>
      <c r="I10">
        <v>1</v>
      </c>
    </row>
    <row r="11" spans="1:10" x14ac:dyDescent="0.3">
      <c r="A11" s="1" t="s">
        <v>10</v>
      </c>
      <c r="C11">
        <v>0</v>
      </c>
      <c r="E11">
        <v>0</v>
      </c>
      <c r="G11">
        <v>0</v>
      </c>
      <c r="I11">
        <v>0</v>
      </c>
    </row>
    <row r="12" spans="1:10" ht="35.25" customHeight="1" x14ac:dyDescent="0.3">
      <c r="A12" s="1" t="s">
        <v>11</v>
      </c>
      <c r="C12">
        <f>(C11*C10)+((C9*(C10^2)/2))</f>
        <v>42.698946944557477</v>
      </c>
      <c r="E12">
        <f>(E11*E10)+((E9*(E10^2)/2))</f>
        <v>7.4831420000792912</v>
      </c>
      <c r="G12">
        <f>(G11*G10)+((G9*(G10^2)/2))</f>
        <v>19.261003185523503</v>
      </c>
      <c r="I12">
        <f>(I11*I10)+((I9*(I10^2)/2))</f>
        <v>27.530814207440613</v>
      </c>
    </row>
    <row r="13" spans="1:10" ht="43.2" x14ac:dyDescent="0.3">
      <c r="A13" s="1" t="s">
        <v>12</v>
      </c>
      <c r="C13">
        <f>(C12*180/PI())/C10</f>
        <v>2446.4694495761655</v>
      </c>
      <c r="E13">
        <f>(E12*180/PI())/E10</f>
        <v>428.75245410162893</v>
      </c>
      <c r="G13">
        <f>(G12*180/PI())/G10</f>
        <v>1103.5741917185308</v>
      </c>
      <c r="I13">
        <f>(I12*180/PI())/I10</f>
        <v>1577.3994606451515</v>
      </c>
    </row>
    <row r="15" spans="1:10" x14ac:dyDescent="0.3">
      <c r="I15" t="s">
        <v>36</v>
      </c>
    </row>
    <row r="16" spans="1:10" x14ac:dyDescent="0.3">
      <c r="B16" t="s">
        <v>34</v>
      </c>
    </row>
    <row r="17" spans="1:10" x14ac:dyDescent="0.3">
      <c r="A17" s="1" t="s">
        <v>31</v>
      </c>
      <c r="B17" s="4">
        <v>0.46</v>
      </c>
      <c r="I17">
        <v>2</v>
      </c>
      <c r="J17">
        <f>B17*I17</f>
        <v>0.92</v>
      </c>
    </row>
    <row r="18" spans="1:10" x14ac:dyDescent="0.3">
      <c r="A18" s="1" t="s">
        <v>32</v>
      </c>
      <c r="B18" s="4">
        <v>0.46</v>
      </c>
      <c r="I18">
        <v>2</v>
      </c>
      <c r="J18">
        <f t="shared" ref="J18:J27" si="1">B18*I18</f>
        <v>0.92</v>
      </c>
    </row>
    <row r="19" spans="1:10" x14ac:dyDescent="0.3">
      <c r="A19" s="1" t="s">
        <v>33</v>
      </c>
      <c r="B19" s="4">
        <f>19/28.35</f>
        <v>0.67019400352733682</v>
      </c>
      <c r="J19">
        <f t="shared" si="1"/>
        <v>0</v>
      </c>
    </row>
    <row r="20" spans="1:10" x14ac:dyDescent="0.3">
      <c r="A20" s="1" t="s">
        <v>35</v>
      </c>
      <c r="B20" s="4">
        <v>1.3</v>
      </c>
      <c r="I20">
        <v>1</v>
      </c>
      <c r="J20">
        <f t="shared" si="1"/>
        <v>1.3</v>
      </c>
    </row>
    <row r="21" spans="1:10" x14ac:dyDescent="0.3">
      <c r="A21" s="1" t="s">
        <v>42</v>
      </c>
      <c r="B21" s="4">
        <v>2.12</v>
      </c>
      <c r="I21">
        <v>1</v>
      </c>
      <c r="J21">
        <f t="shared" si="1"/>
        <v>2.12</v>
      </c>
    </row>
    <row r="22" spans="1:10" x14ac:dyDescent="0.3">
      <c r="A22" s="1" t="s">
        <v>37</v>
      </c>
      <c r="B22" s="4">
        <v>6.4</v>
      </c>
      <c r="I22">
        <v>1</v>
      </c>
      <c r="J22">
        <f t="shared" si="1"/>
        <v>6.4</v>
      </c>
    </row>
    <row r="23" spans="1:10" x14ac:dyDescent="0.3">
      <c r="A23" s="1" t="s">
        <v>39</v>
      </c>
      <c r="B23" s="4">
        <v>1.27</v>
      </c>
      <c r="J23">
        <f t="shared" si="1"/>
        <v>0</v>
      </c>
    </row>
    <row r="24" spans="1:10" x14ac:dyDescent="0.3">
      <c r="A24" s="1" t="s">
        <v>40</v>
      </c>
      <c r="B24" s="5">
        <v>1.86</v>
      </c>
      <c r="J24">
        <f t="shared" si="1"/>
        <v>0</v>
      </c>
    </row>
    <row r="25" spans="1:10" x14ac:dyDescent="0.3">
      <c r="A25" s="1" t="s">
        <v>41</v>
      </c>
      <c r="B25" s="5">
        <v>2.44</v>
      </c>
      <c r="J25">
        <f t="shared" si="1"/>
        <v>0</v>
      </c>
    </row>
    <row r="26" spans="1:10" x14ac:dyDescent="0.3">
      <c r="B26" s="3"/>
    </row>
    <row r="27" spans="1:10" x14ac:dyDescent="0.3">
      <c r="J27">
        <f t="shared" si="1"/>
        <v>0</v>
      </c>
    </row>
    <row r="28" spans="1:10" x14ac:dyDescent="0.3">
      <c r="A28" s="1" t="s">
        <v>38</v>
      </c>
      <c r="J28">
        <f>SUM(J17:J27)</f>
        <v>11.66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tabSelected="1" workbookViewId="0">
      <selection activeCell="D20" sqref="D20"/>
    </sheetView>
  </sheetViews>
  <sheetFormatPr defaultRowHeight="14.4" x14ac:dyDescent="0.3"/>
  <cols>
    <col min="1" max="1" width="43.109375" customWidth="1"/>
    <col min="5" max="5" width="13.5546875" customWidth="1"/>
    <col min="6" max="6" width="15.33203125" customWidth="1"/>
    <col min="7" max="7" width="13.33203125" customWidth="1"/>
    <col min="8" max="8" width="14.44140625" customWidth="1"/>
    <col min="9" max="9" width="21.44140625" customWidth="1"/>
    <col min="10" max="10" width="19.6640625" customWidth="1"/>
  </cols>
  <sheetData>
    <row r="1" spans="1:11" x14ac:dyDescent="0.3">
      <c r="A1" t="s">
        <v>13</v>
      </c>
      <c r="B1">
        <v>500</v>
      </c>
      <c r="C1">
        <v>500</v>
      </c>
      <c r="D1">
        <v>500</v>
      </c>
      <c r="E1">
        <v>500</v>
      </c>
      <c r="F1">
        <v>800</v>
      </c>
      <c r="G1">
        <v>800</v>
      </c>
      <c r="H1">
        <v>800</v>
      </c>
      <c r="I1">
        <v>900</v>
      </c>
      <c r="K1">
        <v>500</v>
      </c>
    </row>
    <row r="2" spans="1:11" x14ac:dyDescent="0.3">
      <c r="A2" t="s">
        <v>14</v>
      </c>
      <c r="B2">
        <v>2500</v>
      </c>
      <c r="C2">
        <v>2500</v>
      </c>
      <c r="D2">
        <v>2500</v>
      </c>
      <c r="E2">
        <v>2500</v>
      </c>
      <c r="F2">
        <v>2200</v>
      </c>
      <c r="G2">
        <v>2200</v>
      </c>
      <c r="H2">
        <v>2200</v>
      </c>
      <c r="I2">
        <v>2100</v>
      </c>
      <c r="K2">
        <v>2500</v>
      </c>
    </row>
    <row r="3" spans="1:11" x14ac:dyDescent="0.3">
      <c r="A3" t="s">
        <v>15</v>
      </c>
      <c r="B3">
        <v>0</v>
      </c>
      <c r="C3">
        <v>0</v>
      </c>
      <c r="D3">
        <v>0</v>
      </c>
      <c r="E3">
        <v>0</v>
      </c>
      <c r="F3">
        <v>0</v>
      </c>
      <c r="G3">
        <v>0</v>
      </c>
      <c r="H3">
        <v>0</v>
      </c>
      <c r="I3">
        <v>0</v>
      </c>
      <c r="K3">
        <v>0</v>
      </c>
    </row>
    <row r="4" spans="1:11" x14ac:dyDescent="0.3">
      <c r="A4" t="s">
        <v>16</v>
      </c>
      <c r="B4">
        <v>300</v>
      </c>
      <c r="C4">
        <v>300</v>
      </c>
      <c r="D4">
        <v>300</v>
      </c>
      <c r="E4">
        <v>300</v>
      </c>
      <c r="F4">
        <v>180</v>
      </c>
      <c r="G4">
        <v>180</v>
      </c>
      <c r="H4">
        <v>180</v>
      </c>
      <c r="I4">
        <v>198</v>
      </c>
      <c r="K4">
        <v>300</v>
      </c>
    </row>
    <row r="6" spans="1:11" x14ac:dyDescent="0.3">
      <c r="A6" t="s">
        <v>17</v>
      </c>
      <c r="B6">
        <v>45</v>
      </c>
      <c r="C6">
        <v>0</v>
      </c>
      <c r="D6">
        <v>120</v>
      </c>
      <c r="E6">
        <v>70</v>
      </c>
      <c r="F6">
        <v>60</v>
      </c>
      <c r="G6">
        <v>45</v>
      </c>
      <c r="H6">
        <v>80</v>
      </c>
      <c r="I6">
        <v>0</v>
      </c>
      <c r="K6">
        <v>0</v>
      </c>
    </row>
    <row r="7" spans="1:11" x14ac:dyDescent="0.3">
      <c r="A7" t="s">
        <v>18</v>
      </c>
      <c r="B7">
        <v>180</v>
      </c>
      <c r="C7">
        <v>200</v>
      </c>
      <c r="D7">
        <v>240</v>
      </c>
      <c r="E7">
        <v>190</v>
      </c>
      <c r="F7">
        <v>120</v>
      </c>
      <c r="G7">
        <v>140</v>
      </c>
      <c r="H7">
        <v>110</v>
      </c>
      <c r="I7">
        <v>198</v>
      </c>
      <c r="K7">
        <v>180</v>
      </c>
    </row>
    <row r="8" spans="1:11" x14ac:dyDescent="0.3">
      <c r="A8" t="s">
        <v>19</v>
      </c>
      <c r="B8" s="2">
        <f t="shared" ref="B8:H8" si="0">((B6-B3)*(B2-B1)/(B4-B3))+B1</f>
        <v>800</v>
      </c>
      <c r="C8" s="2">
        <f t="shared" si="0"/>
        <v>500</v>
      </c>
      <c r="D8" s="2">
        <f t="shared" si="0"/>
        <v>1300</v>
      </c>
      <c r="E8" s="2">
        <f t="shared" si="0"/>
        <v>966.66666666666674</v>
      </c>
      <c r="F8" s="2">
        <f t="shared" si="0"/>
        <v>1266.6666666666667</v>
      </c>
      <c r="G8" s="2">
        <f t="shared" si="0"/>
        <v>1150</v>
      </c>
      <c r="H8" s="2">
        <f t="shared" si="0"/>
        <v>1422.2222222222222</v>
      </c>
      <c r="I8" s="2">
        <f t="shared" ref="I8" si="1">((I6-I3)*(I2-I1)/(I4-I3))+I1</f>
        <v>900</v>
      </c>
      <c r="J8" s="2"/>
      <c r="K8" s="2">
        <f t="shared" ref="K8" si="2">((K6-K3)*(K2-K1)/(K4-K3))+K1</f>
        <v>500</v>
      </c>
    </row>
    <row r="9" spans="1:11" x14ac:dyDescent="0.3">
      <c r="A9" t="s">
        <v>20</v>
      </c>
      <c r="B9" s="2">
        <f t="shared" ref="B9:H9" si="3">((B7-B3)*(B2-B1)/(B4-B3))+B1</f>
        <v>1700</v>
      </c>
      <c r="C9" s="2">
        <f t="shared" si="3"/>
        <v>1833.3333333333333</v>
      </c>
      <c r="D9" s="2">
        <f t="shared" si="3"/>
        <v>2100</v>
      </c>
      <c r="E9" s="2">
        <f t="shared" si="3"/>
        <v>1766.6666666666667</v>
      </c>
      <c r="F9" s="2">
        <f t="shared" si="3"/>
        <v>1733.3333333333335</v>
      </c>
      <c r="G9" s="2">
        <f t="shared" si="3"/>
        <v>1888.8888888888889</v>
      </c>
      <c r="H9" s="2">
        <f t="shared" si="3"/>
        <v>1655.5555555555557</v>
      </c>
      <c r="I9" s="2">
        <f t="shared" ref="I9" si="4">((I7-I3)*(I2-I1)/(I4-I3))+I1</f>
        <v>2100</v>
      </c>
      <c r="J9" s="2"/>
      <c r="K9" s="2">
        <f t="shared" ref="K9" si="5">((K7-K3)*(K2-K1)/(K4-K3))+K1</f>
        <v>1700</v>
      </c>
    </row>
    <row r="11" spans="1:11" x14ac:dyDescent="0.3">
      <c r="A11" t="s">
        <v>24</v>
      </c>
      <c r="B11" t="s">
        <v>25</v>
      </c>
      <c r="C11" t="s">
        <v>26</v>
      </c>
      <c r="D11" t="s">
        <v>27</v>
      </c>
      <c r="E11" t="s">
        <v>62</v>
      </c>
      <c r="F11" t="s">
        <v>28</v>
      </c>
      <c r="G11" t="s">
        <v>29</v>
      </c>
      <c r="H11" t="s">
        <v>30</v>
      </c>
      <c r="I11" t="s">
        <v>59</v>
      </c>
      <c r="K11" t="s">
        <v>26</v>
      </c>
    </row>
    <row r="12" spans="1:11" x14ac:dyDescent="0.3">
      <c r="A12" t="s">
        <v>23</v>
      </c>
      <c r="B12">
        <v>90</v>
      </c>
      <c r="C12">
        <v>180</v>
      </c>
      <c r="D12">
        <v>120</v>
      </c>
      <c r="E12">
        <v>180</v>
      </c>
      <c r="F12">
        <v>90</v>
      </c>
      <c r="G12">
        <v>90</v>
      </c>
      <c r="H12">
        <v>110</v>
      </c>
      <c r="I12">
        <v>165</v>
      </c>
      <c r="K12">
        <v>180</v>
      </c>
    </row>
    <row r="13" spans="1:11" x14ac:dyDescent="0.3">
      <c r="A13" t="s">
        <v>21</v>
      </c>
      <c r="B13">
        <v>44</v>
      </c>
      <c r="C13">
        <v>46</v>
      </c>
      <c r="D13">
        <v>45</v>
      </c>
      <c r="E13">
        <v>2</v>
      </c>
      <c r="F13">
        <v>11</v>
      </c>
      <c r="G13">
        <v>12</v>
      </c>
      <c r="H13">
        <v>13</v>
      </c>
      <c r="I13">
        <v>46</v>
      </c>
      <c r="K13">
        <v>46</v>
      </c>
    </row>
    <row r="14" spans="1:11" x14ac:dyDescent="0.3">
      <c r="A14" t="s">
        <v>22</v>
      </c>
      <c r="B14">
        <v>11</v>
      </c>
      <c r="C14">
        <v>9</v>
      </c>
      <c r="D14">
        <v>10</v>
      </c>
      <c r="E14">
        <v>4</v>
      </c>
      <c r="F14">
        <v>0</v>
      </c>
      <c r="G14">
        <v>1</v>
      </c>
      <c r="H14">
        <v>2</v>
      </c>
      <c r="I14">
        <v>9</v>
      </c>
      <c r="K14">
        <v>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
  <sheetViews>
    <sheetView topLeftCell="A4" workbookViewId="0">
      <selection activeCell="L6" sqref="L6"/>
    </sheetView>
  </sheetViews>
  <sheetFormatPr defaultRowHeight="14.4" x14ac:dyDescent="0.3"/>
  <cols>
    <col min="1" max="1" width="19.33203125" style="1" customWidth="1"/>
    <col min="2" max="2" width="15" style="1" customWidth="1"/>
    <col min="3" max="3" width="27.109375" style="1" customWidth="1"/>
    <col min="4" max="4" width="12.33203125" style="1" customWidth="1"/>
    <col min="5" max="5" width="13.88671875" customWidth="1"/>
    <col min="6" max="6" width="13.6640625" customWidth="1"/>
    <col min="7" max="7" width="17.88671875" customWidth="1"/>
  </cols>
  <sheetData>
    <row r="1" spans="1:17" ht="28.8" x14ac:dyDescent="0.3">
      <c r="A1" s="6" t="s">
        <v>43</v>
      </c>
      <c r="B1" s="6" t="s">
        <v>50</v>
      </c>
      <c r="C1" s="6" t="s">
        <v>49</v>
      </c>
      <c r="D1" s="6" t="s">
        <v>48</v>
      </c>
      <c r="E1" s="7" t="s">
        <v>45</v>
      </c>
      <c r="F1" s="7" t="s">
        <v>51</v>
      </c>
      <c r="G1" s="7" t="s">
        <v>56</v>
      </c>
      <c r="H1" s="7" t="s">
        <v>46</v>
      </c>
      <c r="N1" s="7" t="s">
        <v>47</v>
      </c>
    </row>
    <row r="2" spans="1:17" s="1" customFormat="1" ht="115.2" x14ac:dyDescent="0.3">
      <c r="A2" s="1" t="s">
        <v>44</v>
      </c>
      <c r="B2" s="1">
        <v>135</v>
      </c>
      <c r="C2" s="1" t="s">
        <v>52</v>
      </c>
      <c r="D2" s="1">
        <v>6</v>
      </c>
      <c r="E2" s="8">
        <f>AVERAGE(H2:N2)</f>
        <v>0.93285714285714294</v>
      </c>
      <c r="F2" s="8">
        <f>60*E2/B2</f>
        <v>0.41460317460317464</v>
      </c>
      <c r="G2" s="8" t="s">
        <v>58</v>
      </c>
      <c r="H2" s="1">
        <v>1.06</v>
      </c>
      <c r="I2" s="1">
        <v>0.96</v>
      </c>
      <c r="J2" s="1">
        <v>0.92</v>
      </c>
      <c r="K2" s="1">
        <v>0.83</v>
      </c>
      <c r="L2" s="1">
        <v>0.92</v>
      </c>
      <c r="M2" s="1">
        <v>0.92</v>
      </c>
      <c r="N2" s="1">
        <v>0.92</v>
      </c>
      <c r="Q2" s="8"/>
    </row>
    <row r="3" spans="1:17" ht="100.8" x14ac:dyDescent="0.3">
      <c r="A3" s="1" t="s">
        <v>44</v>
      </c>
      <c r="B3" s="1">
        <v>135</v>
      </c>
      <c r="C3" s="1" t="s">
        <v>53</v>
      </c>
      <c r="D3" s="1">
        <v>6</v>
      </c>
      <c r="E3" s="8">
        <f>AVERAGE(H3:N3)</f>
        <v>0.84</v>
      </c>
      <c r="F3" s="8">
        <f>60*E3/B3</f>
        <v>0.37333333333333335</v>
      </c>
      <c r="G3" s="8" t="s">
        <v>58</v>
      </c>
      <c r="H3" s="1">
        <v>0.92</v>
      </c>
      <c r="I3" s="1">
        <v>0.92</v>
      </c>
      <c r="J3" s="1">
        <v>0.83</v>
      </c>
      <c r="K3" s="1">
        <v>0.84</v>
      </c>
      <c r="L3" s="1">
        <v>0.79</v>
      </c>
      <c r="M3" s="1">
        <v>0.79</v>
      </c>
      <c r="N3" s="1">
        <v>0.79</v>
      </c>
    </row>
    <row r="4" spans="1:17" ht="144" x14ac:dyDescent="0.3">
      <c r="A4" s="1" t="s">
        <v>55</v>
      </c>
      <c r="B4" s="1">
        <v>135</v>
      </c>
      <c r="C4" s="1" t="s">
        <v>54</v>
      </c>
      <c r="D4" s="1">
        <v>6</v>
      </c>
      <c r="E4" s="8">
        <f>AVERAGE(H4:N4)</f>
        <v>0.64749999999999996</v>
      </c>
      <c r="F4" s="8">
        <f>60*E4/B4</f>
        <v>0.28777777777777774</v>
      </c>
      <c r="G4" s="8" t="s">
        <v>57</v>
      </c>
      <c r="H4" s="1">
        <v>0.66</v>
      </c>
      <c r="I4" s="1">
        <v>0.66</v>
      </c>
      <c r="J4" s="1">
        <v>0.62</v>
      </c>
      <c r="K4" s="1">
        <v>0.65</v>
      </c>
      <c r="L4" s="1"/>
      <c r="M4" s="1"/>
      <c r="N4" s="1"/>
    </row>
    <row r="5" spans="1:17" ht="100.8" x14ac:dyDescent="0.3">
      <c r="A5" s="1" t="s">
        <v>60</v>
      </c>
      <c r="B5" s="1">
        <v>135</v>
      </c>
      <c r="C5" s="1" t="s">
        <v>53</v>
      </c>
      <c r="D5" s="1">
        <v>6</v>
      </c>
      <c r="E5" s="8">
        <f>AVERAGE(H5:N5)</f>
        <v>0.80249999999999999</v>
      </c>
      <c r="F5" s="8">
        <f>60*E5/B5</f>
        <v>0.35666666666666663</v>
      </c>
      <c r="G5" s="8" t="s">
        <v>58</v>
      </c>
      <c r="H5" s="1">
        <v>0.84</v>
      </c>
      <c r="I5" s="1">
        <v>0.83</v>
      </c>
      <c r="J5" s="1">
        <v>0.75</v>
      </c>
      <c r="K5" s="1">
        <v>0.79</v>
      </c>
      <c r="L5" s="1"/>
      <c r="M5" s="1"/>
      <c r="N5" s="1"/>
    </row>
    <row r="6" spans="1:17" ht="100.8" x14ac:dyDescent="0.3">
      <c r="A6" s="1" t="s">
        <v>60</v>
      </c>
      <c r="B6" s="1">
        <v>135</v>
      </c>
      <c r="C6" s="1" t="s">
        <v>53</v>
      </c>
      <c r="D6" s="1">
        <v>7.5</v>
      </c>
      <c r="E6" s="8">
        <f>AVERAGE(H6:N6)</f>
        <v>0.67</v>
      </c>
      <c r="F6" s="8">
        <f>60*E6/B6</f>
        <v>0.29777777777777781</v>
      </c>
      <c r="G6" s="8" t="s">
        <v>61</v>
      </c>
      <c r="H6" s="1">
        <v>0.69</v>
      </c>
      <c r="I6" s="1">
        <v>0.62</v>
      </c>
      <c r="J6" s="1">
        <v>0.71</v>
      </c>
      <c r="K6" s="1">
        <v>0.66</v>
      </c>
      <c r="L6" s="1"/>
      <c r="M6" s="1"/>
      <c r="N6" s="1"/>
    </row>
    <row r="11" spans="1:17" x14ac:dyDescent="0.3">
      <c r="N11"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G</dc:creator>
  <cp:lastModifiedBy>Greg</cp:lastModifiedBy>
  <dcterms:created xsi:type="dcterms:W3CDTF">2021-08-23T23:34:13Z</dcterms:created>
  <dcterms:modified xsi:type="dcterms:W3CDTF">2021-10-16T03:36:28Z</dcterms:modified>
</cp:coreProperties>
</file>