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egG\Documents\GitHub\Halloween\"/>
    </mc:Choice>
  </mc:AlternateContent>
  <bookViews>
    <workbookView xWindow="0" yWindow="0" windowWidth="28050" windowHeight="10995" activeTab="1"/>
  </bookViews>
  <sheets>
    <sheet name="Sheet1" sheetId="1" r:id="rId1"/>
    <sheet name="Sheet2" sheetId="2" r:id="rId2"/>
    <sheet name="Sheet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0" i="2" l="1"/>
  <c r="K19" i="2"/>
  <c r="K8" i="2"/>
  <c r="K7" i="2"/>
  <c r="K6" i="2"/>
  <c r="K5" i="2"/>
  <c r="E13" i="2" l="1"/>
  <c r="E12" i="2"/>
  <c r="E6" i="3" l="1"/>
  <c r="F6" i="3" s="1"/>
  <c r="E5" i="3" l="1"/>
  <c r="F5" i="3" s="1"/>
  <c r="K13" i="2"/>
  <c r="K12" i="2"/>
  <c r="I12" i="2" l="1"/>
  <c r="I13" i="2"/>
  <c r="E4" i="3"/>
  <c r="F4" i="3" s="1"/>
  <c r="E3" i="3"/>
  <c r="F3" i="3" s="1"/>
  <c r="F2" i="3" l="1"/>
  <c r="E2" i="3"/>
  <c r="J25" i="1" l="1"/>
  <c r="J23" i="1"/>
  <c r="J24" i="1"/>
  <c r="J27" i="1"/>
  <c r="J18" i="1" l="1"/>
  <c r="J20" i="1"/>
  <c r="J21" i="1"/>
  <c r="J22" i="1"/>
  <c r="J17" i="1"/>
  <c r="B19" i="1"/>
  <c r="J19" i="1" s="1"/>
  <c r="G3" i="1"/>
  <c r="J28" i="1" l="1"/>
  <c r="H12" i="2"/>
  <c r="H13" i="2"/>
  <c r="G12" i="2"/>
  <c r="G13" i="2"/>
  <c r="F12" i="2"/>
  <c r="F13" i="2"/>
  <c r="D13" i="2" l="1"/>
  <c r="C13" i="2"/>
  <c r="B13" i="2"/>
  <c r="D12" i="2"/>
  <c r="C12" i="2"/>
  <c r="B12" i="2"/>
  <c r="I3" i="1" l="1"/>
  <c r="I6" i="1" s="1"/>
  <c r="I7" i="1" s="1"/>
  <c r="I8" i="1" s="1"/>
  <c r="J6" i="1" l="1"/>
  <c r="I4" i="1"/>
  <c r="I9" i="1" s="1"/>
  <c r="I12" i="1" s="1"/>
  <c r="I13" i="1" s="1"/>
  <c r="E3" i="1"/>
  <c r="C3" i="1"/>
  <c r="G6" i="1"/>
  <c r="G7" i="1" s="1"/>
  <c r="G8" i="1" s="1"/>
  <c r="G9" i="1" s="1"/>
  <c r="G12" i="1" s="1"/>
  <c r="G13" i="1" s="1"/>
  <c r="G4" i="1"/>
  <c r="H6" i="1" l="1"/>
  <c r="E4" i="1"/>
  <c r="E6" i="1" l="1"/>
  <c r="E7" i="1" s="1"/>
  <c r="E8" i="1" s="1"/>
  <c r="E9" i="1" s="1"/>
  <c r="E12" i="1" s="1"/>
  <c r="E13" i="1" s="1"/>
  <c r="C4" i="1"/>
  <c r="C6" i="1" l="1"/>
  <c r="C7" i="1" s="1"/>
  <c r="C8" i="1" s="1"/>
  <c r="C9" i="1" s="1"/>
  <c r="C12" i="1" s="1"/>
  <c r="C13" i="1" s="1"/>
</calcChain>
</file>

<file path=xl/comments1.xml><?xml version="1.0" encoding="utf-8"?>
<comments xmlns="http://schemas.openxmlformats.org/spreadsheetml/2006/main">
  <authors>
    <author>Greg G</author>
  </authors>
  <commentList>
    <comment ref="C3" authorId="0" shapeId="0">
      <text>
        <r>
          <rPr>
            <b/>
            <sz val="9"/>
            <color indexed="81"/>
            <rFont val="Tahoma"/>
            <family val="2"/>
          </rPr>
          <t>Greg G:</t>
        </r>
        <r>
          <rPr>
            <sz val="9"/>
            <color indexed="81"/>
            <rFont val="Tahoma"/>
            <family val="2"/>
          </rPr>
          <t xml:space="preserve">
arm weight 6.4oz
Servo 2.12 oz
Servo block 1.3 oz
pattern plate = 13g
servo beam 6" ending at balance point (try only one) = 24g 
angle bracket = 13g
excluding screws and nuts</t>
        </r>
      </text>
    </comment>
    <comment ref="E3" authorId="0" shapeId="0">
      <text>
        <r>
          <rPr>
            <b/>
            <sz val="9"/>
            <color indexed="81"/>
            <rFont val="Tahoma"/>
            <family val="2"/>
          </rPr>
          <t>Greg G:</t>
        </r>
        <r>
          <rPr>
            <sz val="9"/>
            <color indexed="81"/>
            <rFont val="Tahoma"/>
            <family val="2"/>
          </rPr>
          <t xml:space="preserve">
arm weight 6.4oz
Servo 2.12 oz
Servo block 1.3 oz
pattern plate = 13g
servo beam 6" ending at balance point (try only one) = 24g 
angle bracket = 13g
excluding screws and nuts</t>
        </r>
      </text>
    </comment>
    <comment ref="G3" authorId="0" shapeId="0">
      <text>
        <r>
          <rPr>
            <b/>
            <sz val="9"/>
            <color indexed="81"/>
            <rFont val="Tahoma"/>
            <family val="2"/>
          </rPr>
          <t>Greg G:</t>
        </r>
        <r>
          <rPr>
            <sz val="9"/>
            <color indexed="81"/>
            <rFont val="Tahoma"/>
            <family val="2"/>
          </rPr>
          <t xml:space="preserve">
arm weight 6.4oz
Servo 2.12 oz
Servo block 1.3 oz
pattern plate = 13g
servo beam 6" ending at balance point (try only one) = 24g 
angle bracket = 13g
excluding screws and nuts</t>
        </r>
      </text>
    </comment>
    <comment ref="I3" authorId="0" shapeId="0">
      <text>
        <r>
          <rPr>
            <b/>
            <sz val="9"/>
            <color indexed="81"/>
            <rFont val="Tahoma"/>
            <family val="2"/>
          </rPr>
          <t>Greg G:</t>
        </r>
        <r>
          <rPr>
            <sz val="9"/>
            <color indexed="81"/>
            <rFont val="Tahoma"/>
            <family val="2"/>
          </rPr>
          <t xml:space="preserve">
arm weight 6.4oz
Servo 2.4 oz  (HS -7950th)
Servo block 1.3 oz
pattern plate = 13g
servo beam 6" ending at balance point (two) = 24g * 2 
pattern plate = 13g
excluding screws and nuts</t>
        </r>
      </text>
    </comment>
  </commentList>
</comments>
</file>

<file path=xl/comments2.xml><?xml version="1.0" encoding="utf-8"?>
<comments xmlns="http://schemas.openxmlformats.org/spreadsheetml/2006/main">
  <authors>
    <author>Greg</author>
    <author>Greg G</author>
  </authors>
  <commentList>
    <comment ref="I4" authorId="0" shapeId="0">
      <text>
        <r>
          <rPr>
            <b/>
            <sz val="9"/>
            <color indexed="81"/>
            <rFont val="Tahoma"/>
            <family val="2"/>
          </rPr>
          <t>Greg:</t>
        </r>
        <r>
          <rPr>
            <sz val="9"/>
            <color indexed="81"/>
            <rFont val="Tahoma"/>
            <family val="2"/>
          </rPr>
          <t xml:space="preserve">
198 is chosen by setting resolution to normal instead of fine (fine makes it 120 degrees)</t>
        </r>
      </text>
    </comment>
    <comment ref="A16" authorId="1" shapeId="0">
      <text>
        <r>
          <rPr>
            <b/>
            <sz val="9"/>
            <color indexed="81"/>
            <rFont val="Tahoma"/>
            <family val="2"/>
          </rPr>
          <t>Greg G:</t>
        </r>
        <r>
          <rPr>
            <sz val="9"/>
            <color indexed="81"/>
            <rFont val="Tahoma"/>
            <family val="2"/>
          </rPr>
          <t xml:space="preserve">
Degree setting sent to Servo device write method that will put servo position at its actual Center Point Pulse width. This allows all recording, etc to be reused as is, as the degree settings are translated to the correct pulse width to match a prior arbitrary servo position the user desires</t>
        </r>
      </text>
    </comment>
  </commentList>
</comments>
</file>

<file path=xl/comments3.xml><?xml version="1.0" encoding="utf-8"?>
<comments xmlns="http://schemas.openxmlformats.org/spreadsheetml/2006/main">
  <authors>
    <author>Greg</author>
  </authors>
  <commentList>
    <comment ref="C1" authorId="0" shapeId="0">
      <text>
        <r>
          <rPr>
            <b/>
            <sz val="9"/>
            <color indexed="81"/>
            <rFont val="Tahoma"/>
            <family val="2"/>
          </rPr>
          <t>Greg:</t>
        </r>
        <r>
          <rPr>
            <sz val="9"/>
            <color indexed="81"/>
            <rFont val="Tahoma"/>
            <family val="2"/>
          </rPr>
          <t xml:space="preserve">
Unless otherwise specified conditions are existing arm which weighst 6.4 oz and balance point at 12"" from start of arm shoulder which is at the center of the servo spline, with 6 oz weight also added at the 12" point, and using 9 hole channel, weighing 3.03 oz and 7.5" long., to hold arm starting at the center of the servo spline</t>
        </r>
      </text>
    </comment>
  </commentList>
</comments>
</file>

<file path=xl/sharedStrings.xml><?xml version="1.0" encoding="utf-8"?>
<sst xmlns="http://schemas.openxmlformats.org/spreadsheetml/2006/main" count="79" uniqueCount="72">
  <si>
    <t>weight of object oz</t>
  </si>
  <si>
    <t>length at balance point in "</t>
  </si>
  <si>
    <t>Angle between gravity direction and  arm</t>
  </si>
  <si>
    <t>mass of object in Kg</t>
  </si>
  <si>
    <t>Counter clockwise Servo torque oz-in</t>
  </si>
  <si>
    <t>downward (clockwise) torque from gravity in oz-in</t>
  </si>
  <si>
    <t>Resultant counter clockwise torque on object in oz-in</t>
  </si>
  <si>
    <t>resultant counter clockwise torque in N-m</t>
  </si>
  <si>
    <t>Angular acceleration counter clockwise (in rad/sec sec)
torque = m (r^2)a,  a = torque/(m(r^2))  where m is mass in Kg, r is radius in meters, torque is in N-m</t>
  </si>
  <si>
    <t>t  (sec)</t>
  </si>
  <si>
    <t>V0  (m/sec)</t>
  </si>
  <si>
    <t>radians went through after t secs.  =  V0*t + (AngAccel*t^2)/2  for constant angular acceleration
https://courses.lumenlearning.com/physics/chapter/10-3-dynamics-of-rotational-motion-rotational-inertia/</t>
  </si>
  <si>
    <t>avg deg/sec the arm is moving at (this would be the minimum as at any other angle of the arm gravity is providing less torque because the angle of gravity is not perpendicular to the arm_</t>
  </si>
  <si>
    <t>min pulse width</t>
  </si>
  <si>
    <t>max pulse width</t>
  </si>
  <si>
    <t>min degree</t>
  </si>
  <si>
    <t>max degree</t>
  </si>
  <si>
    <t>min degree limited</t>
  </si>
  <si>
    <t>max degree limited</t>
  </si>
  <si>
    <t>calc min pulse width</t>
  </si>
  <si>
    <t>calc max pulse width</t>
  </si>
  <si>
    <t>Arduino pin</t>
  </si>
  <si>
    <t>TestServo Servo ID in cmd SetServo ID degrees</t>
  </si>
  <si>
    <t>Servo Degree setting for Arm at rest position</t>
  </si>
  <si>
    <t xml:space="preserve">Which  Servo </t>
  </si>
  <si>
    <t>Arm Yaw</t>
  </si>
  <si>
    <t>Arm Pitch</t>
  </si>
  <si>
    <t>Arm Roll</t>
  </si>
  <si>
    <t>Head Rotate</t>
  </si>
  <si>
    <t>Head Nod</t>
  </si>
  <si>
    <t>Mouth</t>
  </si>
  <si>
    <t>3 hole pattern plate</t>
  </si>
  <si>
    <t>90 degree bracket</t>
  </si>
  <si>
    <t>5 hole pattern plate</t>
  </si>
  <si>
    <t>weight in oz</t>
  </si>
  <si>
    <t>Servo block (standard)</t>
  </si>
  <si>
    <t>number items</t>
  </si>
  <si>
    <t xml:space="preserve">Arm </t>
  </si>
  <si>
    <t>Total Weight</t>
  </si>
  <si>
    <t>3 hole channel</t>
  </si>
  <si>
    <t>5 hole channel</t>
  </si>
  <si>
    <t>7 hole channel</t>
  </si>
  <si>
    <t>GoBilda 2000 s25-2 ervo</t>
  </si>
  <si>
    <t>Angle Transition</t>
  </si>
  <si>
    <t>180 to 45</t>
  </si>
  <si>
    <t>Secs to transition</t>
  </si>
  <si>
    <t>Data ----&gt;</t>
  </si>
  <si>
    <t>Data End</t>
  </si>
  <si>
    <t>Servo Supply Voltage</t>
  </si>
  <si>
    <t>Servo and conditions</t>
  </si>
  <si>
    <t>Angle Difference</t>
  </si>
  <si>
    <t>Sec/60 degrees</t>
  </si>
  <si>
    <t>goBilda 2000 25-2 Arm Pitch Servo with full unmodified skeleton ARM, with 9 hole cut U channel on first hold centered on spline, start of arm at start of U channel,  and 6 oz added at 12" point on arm from spline</t>
  </si>
  <si>
    <t>goBilda 2000 25-2 Arm Pitch Servo with 31 hole channel (middle first hole is where spline is)  and  then 2.5 oz at approx the 13.26" point from spline.  To produce 141oz in of load torque</t>
  </si>
  <si>
    <t>Hitec HS 7950th  Arm Pitch Servo with 31 hole channel (middle first hole is where spline is)  and  then 2.5 oz at approx the 13.26" point from spline.  To produce 141oz in of load torque</t>
  </si>
  <si>
    <t>165 to 30</t>
  </si>
  <si>
    <t>Comment</t>
  </si>
  <si>
    <t>Good transition time.  Noise not bad but can still hear it.  Making dead band 2,3, or 4 usec didn't really help noise.  More jerky once reach end point but just may be because torque is so high.</t>
  </si>
  <si>
    <t>quiet when not moving.  Maybe try 7.4 volt supply to increase speed and torque.  Smooth transition.</t>
  </si>
  <si>
    <t xml:space="preserve">Arm Pitch using Hitec HS-7950TH </t>
  </si>
  <si>
    <t>175 to 40  (175  points more straight down than 180)</t>
  </si>
  <si>
    <t>quiet when not moving.  Smooth transition.</t>
  </si>
  <si>
    <t>Elbow Pitch</t>
  </si>
  <si>
    <t>Center Point  pulse width</t>
  </si>
  <si>
    <t>Center Point degrees</t>
  </si>
  <si>
    <t>Remapped servo device  degree limited min</t>
  </si>
  <si>
    <t>Remapped servo device  degree limited max</t>
  </si>
  <si>
    <t>degree/pulse width</t>
  </si>
  <si>
    <t>pulse width/degree</t>
  </si>
  <si>
    <t>Remapped servo device  degree limited min calculated pulse width</t>
  </si>
  <si>
    <t>Remapped servo device  degree limited max calculated pulse width</t>
  </si>
  <si>
    <t>Remapped servo device degree want associated with actual servo Center Point degree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</si>
</sst>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top" wrapText="1"/>
    </xf>
    <xf numFmtId="1" fontId="0" fillId="0" borderId="0" xfId="0" applyNumberFormat="1"/>
    <xf numFmtId="0" fontId="0" fillId="0" borderId="0" xfId="0" applyAlignment="1">
      <alignment horizontal="right" vertical="top" wrapText="1"/>
    </xf>
    <xf numFmtId="2" fontId="0" fillId="0" borderId="0" xfId="0" applyNumberFormat="1"/>
    <xf numFmtId="2" fontId="0" fillId="0" borderId="0" xfId="0" applyNumberFormat="1" applyAlignment="1">
      <alignment horizontal="right" vertical="top" wrapText="1"/>
    </xf>
    <xf numFmtId="0" fontId="3" fillId="0" borderId="0" xfId="0" applyFont="1" applyAlignment="1">
      <alignment horizontal="left" vertical="top" wrapText="1"/>
    </xf>
    <xf numFmtId="0" fontId="3" fillId="0" borderId="0" xfId="0" applyFont="1"/>
    <xf numFmtId="2" fontId="0" fillId="0" borderId="0" xfId="0" applyNumberFormat="1" applyAlignment="1">
      <alignment horizontal="left" vertical="top"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opLeftCell="A4" workbookViewId="0">
      <selection activeCell="C24" sqref="C24"/>
    </sheetView>
  </sheetViews>
  <sheetFormatPr defaultRowHeight="15" x14ac:dyDescent="0.25"/>
  <cols>
    <col min="1" max="1" width="59" style="1" customWidth="1"/>
    <col min="2" max="2" width="17.28515625" style="1" customWidth="1"/>
    <col min="3" max="3" width="19.7109375" customWidth="1"/>
    <col min="4" max="4" width="12.5703125" customWidth="1"/>
  </cols>
  <sheetData>
    <row r="1" spans="1:10" x14ac:dyDescent="0.25">
      <c r="A1" s="1" t="s">
        <v>2</v>
      </c>
      <c r="C1">
        <v>90</v>
      </c>
      <c r="E1">
        <v>90</v>
      </c>
      <c r="G1">
        <v>90</v>
      </c>
      <c r="I1">
        <v>90</v>
      </c>
    </row>
    <row r="2" spans="1:10" x14ac:dyDescent="0.25">
      <c r="A2" s="1" t="s">
        <v>4</v>
      </c>
      <c r="C2">
        <v>499</v>
      </c>
      <c r="E2">
        <v>200</v>
      </c>
      <c r="G2">
        <v>300</v>
      </c>
      <c r="I2">
        <v>400</v>
      </c>
    </row>
    <row r="3" spans="1:10" x14ac:dyDescent="0.25">
      <c r="A3" s="1" t="s">
        <v>0</v>
      </c>
      <c r="C3">
        <f t="shared" ref="C3:E3" si="0">6.4+2.12+(13/28.35)+1.3+((24*0.75)/28.35)+(13/28.35)</f>
        <v>11.372028218694885</v>
      </c>
      <c r="E3">
        <f t="shared" si="0"/>
        <v>11.372028218694885</v>
      </c>
      <c r="G3">
        <f>6.4+2.12+(13/28.35)+1.3+((24*0.75)/28.35)+(13/28.35)</f>
        <v>11.372028218694885</v>
      </c>
      <c r="I3">
        <f>6.4+2.4+1.3+(13/28.35)+((2*24*0.75)/28.35)+(13/28.35)</f>
        <v>12.286948853615522</v>
      </c>
    </row>
    <row r="4" spans="1:10" x14ac:dyDescent="0.25">
      <c r="A4" s="1" t="s">
        <v>3</v>
      </c>
      <c r="C4">
        <f>(454*C3/16)/1000</f>
        <v>0.32268130070546736</v>
      </c>
      <c r="E4">
        <f>(454*E3/16)/1000</f>
        <v>0.32268130070546736</v>
      </c>
      <c r="G4">
        <f>(454*G3/16)/1000</f>
        <v>0.32268130070546736</v>
      </c>
      <c r="I4">
        <f>(454*I3/16)/1000</f>
        <v>0.34864217372134043</v>
      </c>
    </row>
    <row r="5" spans="1:10" x14ac:dyDescent="0.25">
      <c r="A5" s="1" t="s">
        <v>1</v>
      </c>
      <c r="C5">
        <v>12</v>
      </c>
      <c r="E5">
        <v>12</v>
      </c>
      <c r="G5">
        <v>12</v>
      </c>
      <c r="I5">
        <v>12</v>
      </c>
    </row>
    <row r="6" spans="1:10" x14ac:dyDescent="0.25">
      <c r="A6" s="1" t="s">
        <v>5</v>
      </c>
      <c r="C6">
        <f>C3*C5*SIN(C1*PI()/180)</f>
        <v>136.46433862433861</v>
      </c>
      <c r="E6">
        <f>E3*E5*SIN(E1*PI()/180)</f>
        <v>136.46433862433861</v>
      </c>
      <c r="G6">
        <f>G3*G5*SIN(G1*PI()/180)</f>
        <v>136.46433862433861</v>
      </c>
      <c r="H6">
        <f>G2/G6</f>
        <v>2.1983765357618092</v>
      </c>
      <c r="I6">
        <f>I3*I5*SIN(I1*PI()/180)</f>
        <v>147.44338624338627</v>
      </c>
      <c r="J6">
        <f>I2/I6</f>
        <v>2.7129056798771294</v>
      </c>
    </row>
    <row r="7" spans="1:10" x14ac:dyDescent="0.25">
      <c r="A7" s="1" t="s">
        <v>6</v>
      </c>
      <c r="C7">
        <f>C2-C6</f>
        <v>362.53566137566139</v>
      </c>
      <c r="E7">
        <f>E2-E6</f>
        <v>63.535661375661391</v>
      </c>
      <c r="G7">
        <f>G2-G6</f>
        <v>163.53566137566139</v>
      </c>
      <c r="I7">
        <f>I2-I6</f>
        <v>252.55661375661373</v>
      </c>
    </row>
    <row r="8" spans="1:10" x14ac:dyDescent="0.25">
      <c r="A8" s="1" t="s">
        <v>7</v>
      </c>
      <c r="C8">
        <f>C7/141.61193227806</f>
        <v>2.5600643642359873</v>
      </c>
      <c r="E8">
        <f>E7/141.61193227806</f>
        <v>0.44866036606934284</v>
      </c>
      <c r="G8">
        <f>G7/141.61193227806</f>
        <v>1.1548155494026688</v>
      </c>
      <c r="I8">
        <f>I7/141.61193227806</f>
        <v>1.7834416188934554</v>
      </c>
    </row>
    <row r="9" spans="1:10" ht="48.75" customHeight="1" x14ac:dyDescent="0.25">
      <c r="A9" s="1" t="s">
        <v>8</v>
      </c>
      <c r="C9">
        <f>C8/(((C5*2.54/100)^2)*C4)</f>
        <v>85.397893889114954</v>
      </c>
      <c r="E9">
        <f>E8/(((E5*2.54/100)^2)*E4)</f>
        <v>14.966284000158582</v>
      </c>
      <c r="G9">
        <f>G8/(((G5*2.54/100)^2)*G4)</f>
        <v>38.522006371047006</v>
      </c>
      <c r="I9">
        <f>I8/(((I5*2.54/100)^2)*I4)</f>
        <v>55.061628414881227</v>
      </c>
    </row>
    <row r="10" spans="1:10" x14ac:dyDescent="0.25">
      <c r="A10" s="1" t="s">
        <v>9</v>
      </c>
      <c r="C10">
        <v>1</v>
      </c>
      <c r="E10">
        <v>1</v>
      </c>
      <c r="G10">
        <v>1</v>
      </c>
      <c r="I10">
        <v>1</v>
      </c>
    </row>
    <row r="11" spans="1:10" x14ac:dyDescent="0.25">
      <c r="A11" s="1" t="s">
        <v>10</v>
      </c>
      <c r="C11">
        <v>0</v>
      </c>
      <c r="E11">
        <v>0</v>
      </c>
      <c r="G11">
        <v>0</v>
      </c>
      <c r="I11">
        <v>0</v>
      </c>
    </row>
    <row r="12" spans="1:10" ht="35.25" customHeight="1" x14ac:dyDescent="0.25">
      <c r="A12" s="1" t="s">
        <v>11</v>
      </c>
      <c r="C12">
        <f>(C11*C10)+((C9*(C10^2)/2))</f>
        <v>42.698946944557477</v>
      </c>
      <c r="E12">
        <f>(E11*E10)+((E9*(E10^2)/2))</f>
        <v>7.4831420000792912</v>
      </c>
      <c r="G12">
        <f>(G11*G10)+((G9*(G10^2)/2))</f>
        <v>19.261003185523503</v>
      </c>
      <c r="I12">
        <f>(I11*I10)+((I9*(I10^2)/2))</f>
        <v>27.530814207440613</v>
      </c>
    </row>
    <row r="13" spans="1:10" ht="45" x14ac:dyDescent="0.25">
      <c r="A13" s="1" t="s">
        <v>12</v>
      </c>
      <c r="C13">
        <f>(C12*180/PI())/C10</f>
        <v>2446.4694495761655</v>
      </c>
      <c r="E13">
        <f>(E12*180/PI())/E10</f>
        <v>428.75245410162893</v>
      </c>
      <c r="G13">
        <f>(G12*180/PI())/G10</f>
        <v>1103.5741917185308</v>
      </c>
      <c r="I13">
        <f>(I12*180/PI())/I10</f>
        <v>1577.3994606451515</v>
      </c>
    </row>
    <row r="15" spans="1:10" x14ac:dyDescent="0.25">
      <c r="I15" t="s">
        <v>36</v>
      </c>
    </row>
    <row r="16" spans="1:10" x14ac:dyDescent="0.25">
      <c r="B16" t="s">
        <v>34</v>
      </c>
    </row>
    <row r="17" spans="1:10" x14ac:dyDescent="0.25">
      <c r="A17" s="1" t="s">
        <v>31</v>
      </c>
      <c r="B17" s="4">
        <v>0.46</v>
      </c>
      <c r="I17">
        <v>2</v>
      </c>
      <c r="J17">
        <f>B17*I17</f>
        <v>0.92</v>
      </c>
    </row>
    <row r="18" spans="1:10" x14ac:dyDescent="0.25">
      <c r="A18" s="1" t="s">
        <v>32</v>
      </c>
      <c r="B18" s="4">
        <v>0.46</v>
      </c>
      <c r="I18">
        <v>2</v>
      </c>
      <c r="J18">
        <f t="shared" ref="J18:J27" si="1">B18*I18</f>
        <v>0.92</v>
      </c>
    </row>
    <row r="19" spans="1:10" x14ac:dyDescent="0.25">
      <c r="A19" s="1" t="s">
        <v>33</v>
      </c>
      <c r="B19" s="4">
        <f>19/28.35</f>
        <v>0.67019400352733682</v>
      </c>
      <c r="J19">
        <f t="shared" si="1"/>
        <v>0</v>
      </c>
    </row>
    <row r="20" spans="1:10" x14ac:dyDescent="0.25">
      <c r="A20" s="1" t="s">
        <v>35</v>
      </c>
      <c r="B20" s="4">
        <v>1.3</v>
      </c>
      <c r="I20">
        <v>1</v>
      </c>
      <c r="J20">
        <f t="shared" si="1"/>
        <v>1.3</v>
      </c>
    </row>
    <row r="21" spans="1:10" x14ac:dyDescent="0.25">
      <c r="A21" s="1" t="s">
        <v>42</v>
      </c>
      <c r="B21" s="4">
        <v>2.12</v>
      </c>
      <c r="I21">
        <v>1</v>
      </c>
      <c r="J21">
        <f t="shared" si="1"/>
        <v>2.12</v>
      </c>
    </row>
    <row r="22" spans="1:10" x14ac:dyDescent="0.25">
      <c r="A22" s="1" t="s">
        <v>37</v>
      </c>
      <c r="B22" s="4">
        <v>6.4</v>
      </c>
      <c r="I22">
        <v>1</v>
      </c>
      <c r="J22">
        <f t="shared" si="1"/>
        <v>6.4</v>
      </c>
    </row>
    <row r="23" spans="1:10" x14ac:dyDescent="0.25">
      <c r="A23" s="1" t="s">
        <v>39</v>
      </c>
      <c r="B23" s="4">
        <v>1.27</v>
      </c>
      <c r="J23">
        <f t="shared" si="1"/>
        <v>0</v>
      </c>
    </row>
    <row r="24" spans="1:10" x14ac:dyDescent="0.25">
      <c r="A24" s="1" t="s">
        <v>40</v>
      </c>
      <c r="B24" s="5">
        <v>1.86</v>
      </c>
      <c r="J24">
        <f t="shared" si="1"/>
        <v>0</v>
      </c>
    </row>
    <row r="25" spans="1:10" x14ac:dyDescent="0.25">
      <c r="A25" s="1" t="s">
        <v>41</v>
      </c>
      <c r="B25" s="5">
        <v>2.44</v>
      </c>
      <c r="J25">
        <f t="shared" si="1"/>
        <v>0</v>
      </c>
    </row>
    <row r="26" spans="1:10" x14ac:dyDescent="0.25">
      <c r="B26" s="3"/>
    </row>
    <row r="27" spans="1:10" x14ac:dyDescent="0.25">
      <c r="J27">
        <f t="shared" si="1"/>
        <v>0</v>
      </c>
    </row>
    <row r="28" spans="1:10" x14ac:dyDescent="0.25">
      <c r="A28" s="1" t="s">
        <v>38</v>
      </c>
      <c r="J28">
        <f>SUM(J17:J27)</f>
        <v>11.66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tabSelected="1" workbookViewId="0">
      <selection activeCell="C22" sqref="C22"/>
    </sheetView>
  </sheetViews>
  <sheetFormatPr defaultRowHeight="15" x14ac:dyDescent="0.25"/>
  <cols>
    <col min="1" max="1" width="61.5703125" style="1" customWidth="1"/>
    <col min="5" max="5" width="13.5703125" customWidth="1"/>
    <col min="6" max="6" width="15.28515625" customWidth="1"/>
    <col min="7" max="7" width="13.28515625" customWidth="1"/>
    <col min="8" max="8" width="14.42578125" customWidth="1"/>
    <col min="9" max="9" width="21.42578125" customWidth="1"/>
    <col min="10" max="10" width="19.7109375" customWidth="1"/>
  </cols>
  <sheetData>
    <row r="1" spans="1:11" x14ac:dyDescent="0.25">
      <c r="A1" s="1" t="s">
        <v>13</v>
      </c>
      <c r="B1">
        <v>500</v>
      </c>
      <c r="C1">
        <v>500</v>
      </c>
      <c r="D1">
        <v>500</v>
      </c>
      <c r="E1">
        <v>500</v>
      </c>
      <c r="F1">
        <v>800</v>
      </c>
      <c r="G1">
        <v>800</v>
      </c>
      <c r="H1">
        <v>800</v>
      </c>
      <c r="I1">
        <v>900</v>
      </c>
      <c r="K1">
        <v>500</v>
      </c>
    </row>
    <row r="2" spans="1:11" x14ac:dyDescent="0.25">
      <c r="A2" s="1" t="s">
        <v>14</v>
      </c>
      <c r="B2">
        <v>2500</v>
      </c>
      <c r="C2">
        <v>2500</v>
      </c>
      <c r="D2">
        <v>2500</v>
      </c>
      <c r="E2">
        <v>2500</v>
      </c>
      <c r="F2">
        <v>2200</v>
      </c>
      <c r="G2">
        <v>2200</v>
      </c>
      <c r="H2">
        <v>2200</v>
      </c>
      <c r="I2">
        <v>2100</v>
      </c>
      <c r="K2">
        <v>2500</v>
      </c>
    </row>
    <row r="3" spans="1:11" x14ac:dyDescent="0.25">
      <c r="A3" s="1" t="s">
        <v>15</v>
      </c>
      <c r="B3">
        <v>0</v>
      </c>
      <c r="C3">
        <v>0</v>
      </c>
      <c r="D3">
        <v>0</v>
      </c>
      <c r="E3">
        <v>0</v>
      </c>
      <c r="F3">
        <v>0</v>
      </c>
      <c r="G3">
        <v>0</v>
      </c>
      <c r="H3">
        <v>0</v>
      </c>
      <c r="I3">
        <v>0</v>
      </c>
      <c r="K3">
        <v>0</v>
      </c>
    </row>
    <row r="4" spans="1:11" x14ac:dyDescent="0.25">
      <c r="A4" s="1" t="s">
        <v>16</v>
      </c>
      <c r="B4">
        <v>300</v>
      </c>
      <c r="C4">
        <v>300</v>
      </c>
      <c r="D4">
        <v>300</v>
      </c>
      <c r="E4">
        <v>300</v>
      </c>
      <c r="F4">
        <v>180</v>
      </c>
      <c r="G4">
        <v>180</v>
      </c>
      <c r="H4">
        <v>180</v>
      </c>
      <c r="I4">
        <v>198</v>
      </c>
      <c r="K4">
        <v>300</v>
      </c>
    </row>
    <row r="5" spans="1:11" x14ac:dyDescent="0.25">
      <c r="A5" s="1" t="s">
        <v>63</v>
      </c>
      <c r="B5" s="2"/>
      <c r="C5" s="2"/>
      <c r="D5" s="2"/>
      <c r="E5" s="2"/>
      <c r="F5" s="2"/>
      <c r="G5" s="2"/>
      <c r="H5" s="2"/>
      <c r="I5" s="2"/>
      <c r="J5" s="2"/>
      <c r="K5" s="2">
        <f>(K2+K1)/2</f>
        <v>1500</v>
      </c>
    </row>
    <row r="6" spans="1:11" x14ac:dyDescent="0.25">
      <c r="A6" s="1" t="s">
        <v>64</v>
      </c>
      <c r="B6" s="2"/>
      <c r="C6" s="2"/>
      <c r="D6" s="2"/>
      <c r="E6" s="2"/>
      <c r="F6" s="2"/>
      <c r="G6" s="2"/>
      <c r="H6" s="2"/>
      <c r="I6" s="2"/>
      <c r="J6" s="2"/>
      <c r="K6" s="2">
        <f>(K4+K3)/2</f>
        <v>150</v>
      </c>
    </row>
    <row r="7" spans="1:11" x14ac:dyDescent="0.25">
      <c r="A7" s="1" t="s">
        <v>67</v>
      </c>
      <c r="B7" s="2"/>
      <c r="C7" s="2"/>
      <c r="D7" s="2"/>
      <c r="E7" s="2"/>
      <c r="F7" s="2"/>
      <c r="G7" s="2"/>
      <c r="H7" s="2"/>
      <c r="I7" s="2"/>
      <c r="J7" s="2"/>
      <c r="K7" s="9">
        <f>(K4-K3)/(K2-K1)</f>
        <v>0.15</v>
      </c>
    </row>
    <row r="8" spans="1:11" x14ac:dyDescent="0.25">
      <c r="A8" s="1" t="s">
        <v>68</v>
      </c>
      <c r="B8" s="2"/>
      <c r="C8" s="2"/>
      <c r="D8" s="2"/>
      <c r="E8" s="2"/>
      <c r="F8" s="2"/>
      <c r="G8" s="2"/>
      <c r="H8" s="2"/>
      <c r="I8" s="2"/>
      <c r="J8" s="2"/>
      <c r="K8" s="9">
        <f>1/K7</f>
        <v>6.666666666666667</v>
      </c>
    </row>
    <row r="10" spans="1:11" x14ac:dyDescent="0.25">
      <c r="A10" s="1" t="s">
        <v>17</v>
      </c>
      <c r="B10">
        <v>45</v>
      </c>
      <c r="C10">
        <v>0</v>
      </c>
      <c r="D10">
        <v>120</v>
      </c>
      <c r="E10">
        <v>70</v>
      </c>
      <c r="F10">
        <v>45</v>
      </c>
      <c r="G10">
        <v>45</v>
      </c>
      <c r="H10">
        <v>80</v>
      </c>
      <c r="I10">
        <v>0</v>
      </c>
      <c r="K10">
        <v>0</v>
      </c>
    </row>
    <row r="11" spans="1:11" x14ac:dyDescent="0.25">
      <c r="A11" s="1" t="s">
        <v>18</v>
      </c>
      <c r="B11">
        <v>180</v>
      </c>
      <c r="C11">
        <v>200</v>
      </c>
      <c r="D11">
        <v>240</v>
      </c>
      <c r="E11">
        <v>190</v>
      </c>
      <c r="F11">
        <v>120</v>
      </c>
      <c r="G11">
        <v>140</v>
      </c>
      <c r="H11">
        <v>110</v>
      </c>
      <c r="I11">
        <v>198</v>
      </c>
      <c r="K11">
        <v>180</v>
      </c>
    </row>
    <row r="12" spans="1:11" x14ac:dyDescent="0.25">
      <c r="A12" s="1" t="s">
        <v>19</v>
      </c>
      <c r="B12" s="2">
        <f>((B10-B3)*(B2-B1)/(B4-B3))+B1</f>
        <v>800</v>
      </c>
      <c r="C12" s="2">
        <f>((C10-C3)*(C2-C1)/(C4-C3))+C1</f>
        <v>500</v>
      </c>
      <c r="D12" s="2">
        <f>((D10-D3)*(D2-D1)/(D4-D3))+D1</f>
        <v>1300</v>
      </c>
      <c r="E12" s="2">
        <f>((E10-E3)*(E2-E1)/(E4-E3))+E1</f>
        <v>966.66666666666674</v>
      </c>
      <c r="F12" s="2">
        <f>((F10-F3)*(F2-F1)/(F4-F3))+F1</f>
        <v>1150</v>
      </c>
      <c r="G12" s="2">
        <f>((G10-G3)*(G2-G1)/(G4-G3))+G1</f>
        <v>1150</v>
      </c>
      <c r="H12" s="2">
        <f>((H10-H3)*(H2-H1)/(H4-H3))+H1</f>
        <v>1422.2222222222222</v>
      </c>
      <c r="I12" s="2">
        <f>((I10-I3)*(I2-I1)/(I4-I3))+I1</f>
        <v>900</v>
      </c>
      <c r="J12" s="2"/>
      <c r="K12" s="2">
        <f>((K10-K3)*(K2-K1)/(K4-K3))+K1</f>
        <v>500</v>
      </c>
    </row>
    <row r="13" spans="1:11" x14ac:dyDescent="0.25">
      <c r="A13" s="1" t="s">
        <v>20</v>
      </c>
      <c r="B13" s="2">
        <f>((B11-B3)*(B2-B1)/(B4-B3))+B1</f>
        <v>1700</v>
      </c>
      <c r="C13" s="2">
        <f>((C11-C3)*(C2-C1)/(C4-C3))+C1</f>
        <v>1833.3333333333333</v>
      </c>
      <c r="D13" s="2">
        <f>((D11-D3)*(D2-D1)/(D4-D3))+D1</f>
        <v>2100</v>
      </c>
      <c r="E13" s="2">
        <f>((E11-E3)*(E2-E1)/(E4-E3))+E1</f>
        <v>1766.6666666666667</v>
      </c>
      <c r="F13" s="2">
        <f>((F11-F3)*(F2-F1)/(F4-F3))+F1</f>
        <v>1733.3333333333335</v>
      </c>
      <c r="G13" s="2">
        <f>((G11-G3)*(G2-G1)/(G4-G3))+G1</f>
        <v>1888.8888888888889</v>
      </c>
      <c r="H13" s="2">
        <f>((H11-H3)*(H2-H1)/(H4-H3))+H1</f>
        <v>1655.5555555555557</v>
      </c>
      <c r="I13" s="2">
        <f>((I11-I3)*(I2-I1)/(I4-I3))+I1</f>
        <v>2100</v>
      </c>
      <c r="J13" s="2"/>
      <c r="K13" s="2">
        <f>((K11-K3)*(K2-K1)/(K4-K3))+K1</f>
        <v>1700</v>
      </c>
    </row>
    <row r="14" spans="1:11" x14ac:dyDescent="0.25">
      <c r="B14" s="2"/>
      <c r="C14" s="2"/>
      <c r="D14" s="2"/>
      <c r="E14" s="2"/>
      <c r="F14" s="2"/>
      <c r="G14" s="2"/>
      <c r="H14" s="2"/>
      <c r="I14" s="2"/>
      <c r="J14" s="2"/>
      <c r="K14" s="2"/>
    </row>
    <row r="15" spans="1:11" x14ac:dyDescent="0.25">
      <c r="B15" s="2"/>
      <c r="C15" s="2"/>
      <c r="D15" s="2"/>
      <c r="E15" s="2"/>
      <c r="F15" s="2"/>
      <c r="G15" s="2"/>
      <c r="H15" s="2"/>
      <c r="I15" s="2"/>
      <c r="J15" s="2"/>
      <c r="K15" s="2"/>
    </row>
    <row r="16" spans="1:11" ht="30" x14ac:dyDescent="0.25">
      <c r="A16" s="1" t="s">
        <v>71</v>
      </c>
      <c r="B16" s="2"/>
      <c r="C16" s="2"/>
      <c r="D16" s="2"/>
      <c r="E16" s="2"/>
      <c r="F16" s="2"/>
      <c r="G16" s="2"/>
      <c r="H16" s="2"/>
      <c r="I16" s="2"/>
      <c r="J16" s="2"/>
      <c r="K16" s="2">
        <v>90</v>
      </c>
    </row>
    <row r="17" spans="1:11" x14ac:dyDescent="0.25">
      <c r="A17" s="1" t="s">
        <v>65</v>
      </c>
      <c r="B17" s="2"/>
      <c r="C17" s="2"/>
      <c r="D17" s="2"/>
      <c r="E17" s="2"/>
      <c r="F17" s="2"/>
      <c r="G17" s="2"/>
      <c r="H17" s="2"/>
      <c r="I17" s="2"/>
      <c r="J17" s="2"/>
      <c r="K17" s="2">
        <v>45</v>
      </c>
    </row>
    <row r="18" spans="1:11" x14ac:dyDescent="0.25">
      <c r="A18" s="1" t="s">
        <v>66</v>
      </c>
      <c r="B18" s="2"/>
      <c r="C18" s="2"/>
      <c r="D18" s="2"/>
      <c r="E18" s="2"/>
      <c r="F18" s="2"/>
      <c r="G18" s="2"/>
      <c r="H18" s="2"/>
      <c r="I18" s="2"/>
      <c r="J18" s="2"/>
      <c r="K18" s="2">
        <v>140</v>
      </c>
    </row>
    <row r="19" spans="1:11" ht="30" x14ac:dyDescent="0.25">
      <c r="A19" s="1" t="s">
        <v>69</v>
      </c>
      <c r="B19" s="2"/>
      <c r="C19" s="2"/>
      <c r="D19" s="2"/>
      <c r="E19" s="2"/>
      <c r="F19" s="2"/>
      <c r="G19" s="2"/>
      <c r="H19" s="2"/>
      <c r="I19" s="2"/>
      <c r="J19" s="2"/>
      <c r="K19" s="2">
        <f>((K17-K16)*K8)+K5</f>
        <v>1200</v>
      </c>
    </row>
    <row r="20" spans="1:11" ht="30" x14ac:dyDescent="0.25">
      <c r="A20" s="1" t="s">
        <v>70</v>
      </c>
      <c r="B20" s="2"/>
      <c r="C20" s="2"/>
      <c r="D20" s="2"/>
      <c r="E20" s="2"/>
      <c r="F20" s="2"/>
      <c r="G20" s="2"/>
      <c r="H20" s="2"/>
      <c r="I20" s="2"/>
      <c r="J20" s="2"/>
      <c r="K20" s="2">
        <f>((K18-K16)*K8)+K5</f>
        <v>1833.3333333333335</v>
      </c>
    </row>
    <row r="22" spans="1:11" x14ac:dyDescent="0.25">
      <c r="A22" s="1" t="s">
        <v>24</v>
      </c>
      <c r="B22" t="s">
        <v>25</v>
      </c>
      <c r="C22" t="s">
        <v>26</v>
      </c>
      <c r="D22" t="s">
        <v>27</v>
      </c>
      <c r="E22" t="s">
        <v>62</v>
      </c>
      <c r="F22" t="s">
        <v>28</v>
      </c>
      <c r="G22" t="s">
        <v>29</v>
      </c>
      <c r="H22" t="s">
        <v>30</v>
      </c>
      <c r="I22" t="s">
        <v>59</v>
      </c>
      <c r="K22" t="s">
        <v>26</v>
      </c>
    </row>
    <row r="23" spans="1:11" x14ac:dyDescent="0.25">
      <c r="A23" s="1" t="s">
        <v>23</v>
      </c>
      <c r="B23">
        <v>90</v>
      </c>
      <c r="C23">
        <v>180</v>
      </c>
      <c r="D23">
        <v>120</v>
      </c>
      <c r="E23">
        <v>180</v>
      </c>
      <c r="F23">
        <v>90</v>
      </c>
      <c r="G23">
        <v>90</v>
      </c>
      <c r="H23">
        <v>110</v>
      </c>
      <c r="I23">
        <v>165</v>
      </c>
      <c r="K23">
        <v>180</v>
      </c>
    </row>
    <row r="24" spans="1:11" x14ac:dyDescent="0.25">
      <c r="A24" s="1" t="s">
        <v>21</v>
      </c>
      <c r="B24">
        <v>44</v>
      </c>
      <c r="C24">
        <v>46</v>
      </c>
      <c r="D24">
        <v>45</v>
      </c>
      <c r="E24">
        <v>2</v>
      </c>
      <c r="F24">
        <v>11</v>
      </c>
      <c r="G24">
        <v>12</v>
      </c>
      <c r="H24">
        <v>13</v>
      </c>
      <c r="I24">
        <v>46</v>
      </c>
      <c r="K24">
        <v>46</v>
      </c>
    </row>
    <row r="25" spans="1:11" x14ac:dyDescent="0.25">
      <c r="A25" s="1" t="s">
        <v>22</v>
      </c>
      <c r="B25">
        <v>11</v>
      </c>
      <c r="C25">
        <v>9</v>
      </c>
      <c r="D25">
        <v>10</v>
      </c>
      <c r="E25">
        <v>4</v>
      </c>
      <c r="F25">
        <v>0</v>
      </c>
      <c r="G25">
        <v>1</v>
      </c>
      <c r="H25">
        <v>2</v>
      </c>
      <c r="I25">
        <v>9</v>
      </c>
      <c r="K25">
        <v>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1"/>
  <sheetViews>
    <sheetView topLeftCell="A4" workbookViewId="0">
      <selection activeCell="L6" sqref="L6"/>
    </sheetView>
  </sheetViews>
  <sheetFormatPr defaultRowHeight="15" x14ac:dyDescent="0.25"/>
  <cols>
    <col min="1" max="1" width="19.28515625" style="1" customWidth="1"/>
    <col min="2" max="2" width="15" style="1" customWidth="1"/>
    <col min="3" max="3" width="27.140625" style="1" customWidth="1"/>
    <col min="4" max="4" width="12.28515625" style="1" customWidth="1"/>
    <col min="5" max="5" width="13.85546875" customWidth="1"/>
    <col min="6" max="6" width="13.7109375" customWidth="1"/>
    <col min="7" max="7" width="17.85546875" customWidth="1"/>
  </cols>
  <sheetData>
    <row r="1" spans="1:17" ht="45" x14ac:dyDescent="0.25">
      <c r="A1" s="6" t="s">
        <v>43</v>
      </c>
      <c r="B1" s="6" t="s">
        <v>50</v>
      </c>
      <c r="C1" s="6" t="s">
        <v>49</v>
      </c>
      <c r="D1" s="6" t="s">
        <v>48</v>
      </c>
      <c r="E1" s="7" t="s">
        <v>45</v>
      </c>
      <c r="F1" s="7" t="s">
        <v>51</v>
      </c>
      <c r="G1" s="7" t="s">
        <v>56</v>
      </c>
      <c r="H1" s="7" t="s">
        <v>46</v>
      </c>
      <c r="N1" s="7" t="s">
        <v>47</v>
      </c>
    </row>
    <row r="2" spans="1:17" s="1" customFormat="1" ht="120" x14ac:dyDescent="0.25">
      <c r="A2" s="1" t="s">
        <v>44</v>
      </c>
      <c r="B2" s="1">
        <v>135</v>
      </c>
      <c r="C2" s="1" t="s">
        <v>52</v>
      </c>
      <c r="D2" s="1">
        <v>6</v>
      </c>
      <c r="E2" s="8">
        <f>AVERAGE(H2:N2)</f>
        <v>0.93285714285714294</v>
      </c>
      <c r="F2" s="8">
        <f>60*E2/B2</f>
        <v>0.41460317460317464</v>
      </c>
      <c r="G2" s="8" t="s">
        <v>58</v>
      </c>
      <c r="H2" s="1">
        <v>1.06</v>
      </c>
      <c r="I2" s="1">
        <v>0.96</v>
      </c>
      <c r="J2" s="1">
        <v>0.92</v>
      </c>
      <c r="K2" s="1">
        <v>0.83</v>
      </c>
      <c r="L2" s="1">
        <v>0.92</v>
      </c>
      <c r="M2" s="1">
        <v>0.92</v>
      </c>
      <c r="N2" s="1">
        <v>0.92</v>
      </c>
      <c r="Q2" s="8"/>
    </row>
    <row r="3" spans="1:17" ht="105" x14ac:dyDescent="0.25">
      <c r="A3" s="1" t="s">
        <v>44</v>
      </c>
      <c r="B3" s="1">
        <v>135</v>
      </c>
      <c r="C3" s="1" t="s">
        <v>53</v>
      </c>
      <c r="D3" s="1">
        <v>6</v>
      </c>
      <c r="E3" s="8">
        <f>AVERAGE(H3:N3)</f>
        <v>0.84</v>
      </c>
      <c r="F3" s="8">
        <f>60*E3/B3</f>
        <v>0.37333333333333335</v>
      </c>
      <c r="G3" s="8" t="s">
        <v>58</v>
      </c>
      <c r="H3" s="1">
        <v>0.92</v>
      </c>
      <c r="I3" s="1">
        <v>0.92</v>
      </c>
      <c r="J3" s="1">
        <v>0.83</v>
      </c>
      <c r="K3" s="1">
        <v>0.84</v>
      </c>
      <c r="L3" s="1">
        <v>0.79</v>
      </c>
      <c r="M3" s="1">
        <v>0.79</v>
      </c>
      <c r="N3" s="1">
        <v>0.79</v>
      </c>
    </row>
    <row r="4" spans="1:17" ht="165" x14ac:dyDescent="0.25">
      <c r="A4" s="1" t="s">
        <v>55</v>
      </c>
      <c r="B4" s="1">
        <v>135</v>
      </c>
      <c r="C4" s="1" t="s">
        <v>54</v>
      </c>
      <c r="D4" s="1">
        <v>6</v>
      </c>
      <c r="E4" s="8">
        <f>AVERAGE(H4:N4)</f>
        <v>0.64749999999999996</v>
      </c>
      <c r="F4" s="8">
        <f>60*E4/B4</f>
        <v>0.28777777777777774</v>
      </c>
      <c r="G4" s="8" t="s">
        <v>57</v>
      </c>
      <c r="H4" s="1">
        <v>0.66</v>
      </c>
      <c r="I4" s="1">
        <v>0.66</v>
      </c>
      <c r="J4" s="1">
        <v>0.62</v>
      </c>
      <c r="K4" s="1">
        <v>0.65</v>
      </c>
      <c r="L4" s="1"/>
      <c r="M4" s="1"/>
      <c r="N4" s="1"/>
    </row>
    <row r="5" spans="1:17" ht="105" x14ac:dyDescent="0.25">
      <c r="A5" s="1" t="s">
        <v>60</v>
      </c>
      <c r="B5" s="1">
        <v>135</v>
      </c>
      <c r="C5" s="1" t="s">
        <v>53</v>
      </c>
      <c r="D5" s="1">
        <v>6</v>
      </c>
      <c r="E5" s="8">
        <f>AVERAGE(H5:N5)</f>
        <v>0.80249999999999999</v>
      </c>
      <c r="F5" s="8">
        <f>60*E5/B5</f>
        <v>0.35666666666666663</v>
      </c>
      <c r="G5" s="8" t="s">
        <v>58</v>
      </c>
      <c r="H5" s="1">
        <v>0.84</v>
      </c>
      <c r="I5" s="1">
        <v>0.83</v>
      </c>
      <c r="J5" s="1">
        <v>0.75</v>
      </c>
      <c r="K5" s="1">
        <v>0.79</v>
      </c>
      <c r="L5" s="1"/>
      <c r="M5" s="1"/>
      <c r="N5" s="1"/>
    </row>
    <row r="6" spans="1:17" ht="105" x14ac:dyDescent="0.25">
      <c r="A6" s="1" t="s">
        <v>60</v>
      </c>
      <c r="B6" s="1">
        <v>135</v>
      </c>
      <c r="C6" s="1" t="s">
        <v>53</v>
      </c>
      <c r="D6" s="1">
        <v>7.5</v>
      </c>
      <c r="E6" s="8">
        <f>AVERAGE(H6:N6)</f>
        <v>0.67</v>
      </c>
      <c r="F6" s="8">
        <f>60*E6/B6</f>
        <v>0.29777777777777781</v>
      </c>
      <c r="G6" s="8" t="s">
        <v>61</v>
      </c>
      <c r="H6" s="1">
        <v>0.69</v>
      </c>
      <c r="I6" s="1">
        <v>0.62</v>
      </c>
      <c r="J6" s="1">
        <v>0.71</v>
      </c>
      <c r="K6" s="1">
        <v>0.66</v>
      </c>
      <c r="L6" s="1"/>
      <c r="M6" s="1"/>
      <c r="N6" s="1"/>
    </row>
    <row r="11" spans="1:17" x14ac:dyDescent="0.25">
      <c r="N11"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G</dc:creator>
  <cp:lastModifiedBy>Greg G</cp:lastModifiedBy>
  <dcterms:created xsi:type="dcterms:W3CDTF">2021-08-23T23:34:13Z</dcterms:created>
  <dcterms:modified xsi:type="dcterms:W3CDTF">2022-10-19T16:18:22Z</dcterms:modified>
</cp:coreProperties>
</file>