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base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IFERROR(__xludf.DUMMYFUNCTION("importrange(""https://docs.google.com/spreadsheets/d/12cUyq9G-5Lq1cNDv6fqmJdiDl6RFCzQc1j7k-_XFG6I/edit?gid=0#gid=0"",""Database!A:B"")"),"Barcode")</f>
        <v>Barcode</v>
      </c>
      <c r="B1" s="1" t="str">
        <f>IFERROR(__xludf.DUMMYFUNCTION("""COMPUTED_VALUE"""),"Barang Gudang Docilworks")</f>
        <v>Barang Gudang Docilworks</v>
      </c>
    </row>
    <row r="2">
      <c r="A2" s="1">
        <f>IFERROR(__xludf.DUMMYFUNCTION("""COMPUTED_VALUE"""),6.71771552E8)</f>
        <v>671771552</v>
      </c>
      <c r="B2" s="1" t="str">
        <f>IFERROR(__xludf.DUMMYFUNCTION("""COMPUTED_VALUE"""),"AEROX STD BENING 1MM")</f>
        <v>AEROX STD BENING 1MM</v>
      </c>
    </row>
    <row r="3">
      <c r="A3" s="1">
        <f>IFERROR(__xludf.DUMMYFUNCTION("""COMPUTED_VALUE"""),7.39212786E8)</f>
        <v>739212786</v>
      </c>
      <c r="B3" s="1" t="str">
        <f>IFERROR(__xludf.DUMMYFUNCTION("""COMPUTED_VALUE"""),"AEROX STD BENING 2MM")</f>
        <v>AEROX STD BENING 2MM</v>
      </c>
    </row>
    <row r="4">
      <c r="A4" s="1">
        <f>IFERROR(__xludf.DUMMYFUNCTION("""COMPUTED_VALUE"""),9.24877725E8)</f>
        <v>924877725</v>
      </c>
      <c r="B4" s="1" t="str">
        <f>IFERROR(__xludf.DUMMYFUNCTION("""COMPUTED_VALUE"""),"AEROX STD BENING 3MM")</f>
        <v>AEROX STD BENING 3MM</v>
      </c>
    </row>
    <row r="5">
      <c r="A5" s="1">
        <f>IFERROR(__xludf.DUMMYFUNCTION("""COMPUTED_VALUE"""),2.61562714E8)</f>
        <v>261562714</v>
      </c>
      <c r="B5" s="1" t="str">
        <f>IFERROR(__xludf.DUMMYFUNCTION("""COMPUTED_VALUE"""),"AEROX STD BENING 4MM")</f>
        <v>AEROX STD BENING 4MM</v>
      </c>
    </row>
    <row r="6">
      <c r="A6" s="1">
        <f>IFERROR(__xludf.DUMMYFUNCTION("""COMPUTED_VALUE"""),7.62264518E8)</f>
        <v>762264518</v>
      </c>
      <c r="B6" s="1" t="str">
        <f>IFERROR(__xludf.DUMMYFUNCTION("""COMPUTED_VALUE"""),"AEROX STD SMOKE 2MM")</f>
        <v>AEROX STD SMOKE 2MM</v>
      </c>
    </row>
    <row r="7">
      <c r="A7" s="1">
        <f>IFERROR(__xludf.DUMMYFUNCTION("""COMPUTED_VALUE"""),6.46233478E8)</f>
        <v>646233478</v>
      </c>
      <c r="B7" s="1" t="str">
        <f>IFERROR(__xludf.DUMMYFUNCTION("""COMPUTED_VALUE"""),"AEROX STD SMOKE 3MM")</f>
        <v>AEROX STD SMOKE 3MM</v>
      </c>
    </row>
    <row r="8">
      <c r="A8" s="1">
        <f>IFERROR(__xludf.DUMMYFUNCTION("""COMPUTED_VALUE"""),6.66196974E8)</f>
        <v>666196974</v>
      </c>
      <c r="B8" s="1" t="str">
        <f>IFERROR(__xludf.DUMMYFUNCTION("""COMPUTED_VALUE"""),"AEROX STD SMOKE 4MM")</f>
        <v>AEROX STD SMOKE 4MM</v>
      </c>
    </row>
    <row r="9">
      <c r="A9" s="1">
        <f>IFERROR(__xludf.DUMMYFUNCTION("""COMPUTED_VALUE"""),7.47795254E8)</f>
        <v>747795254</v>
      </c>
      <c r="B9" s="1" t="str">
        <f>IFERROR(__xludf.DUMMYFUNCTION("""COMPUTED_VALUE"""),"AEROX STD PEKAT 3MM")</f>
        <v>AEROX STD PEKAT 3MM</v>
      </c>
    </row>
    <row r="10">
      <c r="A10" s="1">
        <f>IFERROR(__xludf.DUMMYFUNCTION("""COMPUTED_VALUE"""),9.39891835E8)</f>
        <v>939891835</v>
      </c>
      <c r="B10" s="1" t="str">
        <f>IFERROR(__xludf.DUMMYFUNCTION("""COMPUTED_VALUE"""),"AEROX STD ICE BLUE 3MM")</f>
        <v>AEROX STD ICE BLUE 3MM</v>
      </c>
    </row>
    <row r="11">
      <c r="A11" s="1">
        <f>IFERROR(__xludf.DUMMYFUNCTION("""COMPUTED_VALUE"""),5.99711088E8)</f>
        <v>599711088</v>
      </c>
      <c r="B11" s="1" t="str">
        <f>IFERROR(__xludf.DUMMYFUNCTION("""COMPUTED_VALUE"""),"AEROX VIPER BENING 2MM")</f>
        <v>AEROX VIPER BENING 2MM</v>
      </c>
    </row>
    <row r="12">
      <c r="A12" s="1">
        <f>IFERROR(__xludf.DUMMYFUNCTION("""COMPUTED_VALUE"""),2.77758474E8)</f>
        <v>277758474</v>
      </c>
      <c r="B12" s="1" t="str">
        <f>IFERROR(__xludf.DUMMYFUNCTION("""COMPUTED_VALUE"""),"AEROX VIPER BENING 3MM")</f>
        <v>AEROX VIPER BENING 3MM</v>
      </c>
    </row>
    <row r="13">
      <c r="A13" s="1">
        <f>IFERROR(__xludf.DUMMYFUNCTION("""COMPUTED_VALUE"""),9.14601506E8)</f>
        <v>914601506</v>
      </c>
      <c r="B13" s="1" t="str">
        <f>IFERROR(__xludf.DUMMYFUNCTION("""COMPUTED_VALUE"""),"AEROX VIPER BENING 4MM")</f>
        <v>AEROX VIPER BENING 4MM</v>
      </c>
    </row>
    <row r="14">
      <c r="A14" s="1">
        <f>IFERROR(__xludf.DUMMYFUNCTION("""COMPUTED_VALUE"""),7.65466377E8)</f>
        <v>765466377</v>
      </c>
      <c r="B14" s="1" t="str">
        <f>IFERROR(__xludf.DUMMYFUNCTION("""COMPUTED_VALUE"""),"AEROX VIPER SMOKE 3MM")</f>
        <v>AEROX VIPER SMOKE 3MM</v>
      </c>
    </row>
    <row r="15">
      <c r="A15" s="1">
        <f>IFERROR(__xludf.DUMMYFUNCTION("""COMPUTED_VALUE"""),2.83540432E8)</f>
        <v>283540432</v>
      </c>
      <c r="B15" s="1" t="str">
        <f>IFERROR(__xludf.DUMMYFUNCTION("""COMPUTED_VALUE"""),"AEROX VIPER SMOKE 4MM")</f>
        <v>AEROX VIPER SMOKE 4MM</v>
      </c>
    </row>
    <row r="16">
      <c r="A16" s="1">
        <f>IFERROR(__xludf.DUMMYFUNCTION("""COMPUTED_VALUE"""),9.63867346E8)</f>
        <v>963867346</v>
      </c>
      <c r="B16" s="1" t="str">
        <f>IFERROR(__xludf.DUMMYFUNCTION("""COMPUTED_VALUE"""),"AEROX VIPER PEKAT 3MM")</f>
        <v>AEROX VIPER PEKAT 3MM</v>
      </c>
    </row>
    <row r="17">
      <c r="A17" s="1">
        <f>IFERROR(__xludf.DUMMYFUNCTION("""COMPUTED_VALUE"""),9.39517279E8)</f>
        <v>939517279</v>
      </c>
      <c r="B17" s="1" t="str">
        <f>IFERROR(__xludf.DUMMYFUNCTION("""COMPUTED_VALUE"""),"AEROX SPORT BENING 2MM")</f>
        <v>AEROX SPORT BENING 2MM</v>
      </c>
    </row>
    <row r="18">
      <c r="A18" s="1">
        <f>IFERROR(__xludf.DUMMYFUNCTION("""COMPUTED_VALUE"""),4.38712895E8)</f>
        <v>438712895</v>
      </c>
      <c r="B18" s="1" t="str">
        <f>IFERROR(__xludf.DUMMYFUNCTION("""COMPUTED_VALUE"""),"AEROX SPORT BENING 3MM")</f>
        <v>AEROX SPORT BENING 3MM</v>
      </c>
    </row>
    <row r="19">
      <c r="A19" s="1">
        <f>IFERROR(__xludf.DUMMYFUNCTION("""COMPUTED_VALUE"""),2.13291329E8)</f>
        <v>213291329</v>
      </c>
      <c r="B19" s="1" t="str">
        <f>IFERROR(__xludf.DUMMYFUNCTION("""COMPUTED_VALUE"""),"AEROX SPORT SMOKE 2MM")</f>
        <v>AEROX SPORT SMOKE 2MM</v>
      </c>
    </row>
    <row r="20">
      <c r="A20" s="1">
        <f>IFERROR(__xludf.DUMMYFUNCTION("""COMPUTED_VALUE"""),9.45741542E8)</f>
        <v>945741542</v>
      </c>
      <c r="B20" s="1" t="str">
        <f>IFERROR(__xludf.DUMMYFUNCTION("""COMPUTED_VALUE"""),"AEROX SPORT SMOKE 3MM")</f>
        <v>AEROX SPORT SMOKE 3MM</v>
      </c>
    </row>
    <row r="21">
      <c r="A21" s="1">
        <f>IFERROR(__xludf.DUMMYFUNCTION("""COMPUTED_VALUE"""),2.36368879E8)</f>
        <v>236368879</v>
      </c>
      <c r="B21" s="1" t="str">
        <f>IFERROR(__xludf.DUMMYFUNCTION("""COMPUTED_VALUE"""),"AEROX SPORT PEKAT 2MM")</f>
        <v>AEROX SPORT PEKAT 2MM</v>
      </c>
    </row>
    <row r="22">
      <c r="A22" s="1">
        <f>IFERROR(__xludf.DUMMYFUNCTION("""COMPUTED_VALUE"""),7.21816125E8)</f>
        <v>721816125</v>
      </c>
      <c r="B22" s="1" t="str">
        <f>IFERROR(__xludf.DUMMYFUNCTION("""COMPUTED_VALUE"""),"AEROX SPORT PEKAT 3MM")</f>
        <v>AEROX SPORT PEKAT 3MM</v>
      </c>
    </row>
    <row r="23">
      <c r="A23" s="1">
        <f>IFERROR(__xludf.DUMMYFUNCTION("""COMPUTED_VALUE"""),5.18598173E8)</f>
        <v>518598173</v>
      </c>
      <c r="B23" s="1" t="str">
        <f>IFERROR(__xludf.DUMMYFUNCTION("""COMPUTED_VALUE"""),"AEROX SPORT ICE BLUE 3MM")</f>
        <v>AEROX SPORT ICE BLUE 3MM</v>
      </c>
    </row>
    <row r="24">
      <c r="A24" s="1">
        <f>IFERROR(__xludf.DUMMYFUNCTION("""COMPUTED_VALUE"""),7.45541388E8)</f>
        <v>745541388</v>
      </c>
      <c r="B24" s="1" t="str">
        <f>IFERROR(__xludf.DUMMYFUNCTION("""COMPUTED_VALUE"""),"AEROX SECTBIL BENING 2MM")</f>
        <v>AEROX SECTBIL BENING 2MM</v>
      </c>
    </row>
    <row r="25">
      <c r="A25" s="1">
        <f>IFERROR(__xludf.DUMMYFUNCTION("""COMPUTED_VALUE"""),7.12787788E8)</f>
        <v>712787788</v>
      </c>
      <c r="B25" s="1" t="str">
        <f>IFERROR(__xludf.DUMMYFUNCTION("""COMPUTED_VALUE"""),"AEROX SECTBIL BENING 3MM")</f>
        <v>AEROX SECTBIL BENING 3MM</v>
      </c>
    </row>
    <row r="26">
      <c r="A26" s="1">
        <f>IFERROR(__xludf.DUMMYFUNCTION("""COMPUTED_VALUE"""),6.26972824E8)</f>
        <v>626972824</v>
      </c>
      <c r="B26" s="1" t="str">
        <f>IFERROR(__xludf.DUMMYFUNCTION("""COMPUTED_VALUE"""),"AEROX SECTBIL SMOKE 2MM")</f>
        <v>AEROX SECTBIL SMOKE 2MM</v>
      </c>
    </row>
    <row r="27">
      <c r="A27" s="1">
        <f>IFERROR(__xludf.DUMMYFUNCTION("""COMPUTED_VALUE"""),3.79987894E8)</f>
        <v>379987894</v>
      </c>
      <c r="B27" s="1" t="str">
        <f>IFERROR(__xludf.DUMMYFUNCTION("""COMPUTED_VALUE"""),"AEROX SECTBIL SMOKE 3MM")</f>
        <v>AEROX SECTBIL SMOKE 3MM</v>
      </c>
    </row>
    <row r="28">
      <c r="A28" s="1">
        <f>IFERROR(__xludf.DUMMYFUNCTION("""COMPUTED_VALUE"""),1.85811923E8)</f>
        <v>185811923</v>
      </c>
      <c r="B28" s="1" t="str">
        <f>IFERROR(__xludf.DUMMYFUNCTION("""COMPUTED_VALUE"""),"AEROX SECTBIL PEKAT 2MM")</f>
        <v>AEROX SECTBIL PEKAT 2MM</v>
      </c>
    </row>
    <row r="29">
      <c r="A29" s="1">
        <f>IFERROR(__xludf.DUMMYFUNCTION("""COMPUTED_VALUE"""),6.62177221E8)</f>
        <v>662177221</v>
      </c>
      <c r="B29" s="1" t="str">
        <f>IFERROR(__xludf.DUMMYFUNCTION("""COMPUTED_VALUE"""),"AEROX SECTBIL PEKAT 3MM")</f>
        <v>AEROX SECTBIL PEKAT 3MM</v>
      </c>
    </row>
    <row r="30">
      <c r="A30" s="1">
        <f>IFERROR(__xludf.DUMMYFUNCTION("""COMPUTED_VALUE"""),4.56592934E8)</f>
        <v>456592934</v>
      </c>
      <c r="B30" s="1" t="str">
        <f>IFERROR(__xludf.DUMMYFUNCTION("""COMPUTED_VALUE"""),"AEROX SECTBIL ICE BLUE 3MM")</f>
        <v>AEROX SECTBIL ICE BLUE 3MM</v>
      </c>
    </row>
    <row r="31">
      <c r="A31" s="1">
        <f>IFERROR(__xludf.DUMMYFUNCTION("""COMPUTED_VALUE"""),1.85666766E8)</f>
        <v>185666766</v>
      </c>
      <c r="B31" s="1" t="str">
        <f>IFERROR(__xludf.DUMMYFUNCTION("""COMPUTED_VALUE"""),"AEROX V2 BENING 3MM")</f>
        <v>AEROX V2 BENING 3MM</v>
      </c>
    </row>
    <row r="32">
      <c r="A32" s="1">
        <f>IFERROR(__xludf.DUMMYFUNCTION("""COMPUTED_VALUE"""),1.69487528E8)</f>
        <v>169487528</v>
      </c>
      <c r="B32" s="1" t="str">
        <f>IFERROR(__xludf.DUMMYFUNCTION("""COMPUTED_VALUE"""),"AEROX V2 SMOKE 3MM")</f>
        <v>AEROX V2 SMOKE 3MM</v>
      </c>
    </row>
    <row r="33">
      <c r="A33" s="1">
        <f>IFERROR(__xludf.DUMMYFUNCTION("""COMPUTED_VALUE"""),6.38416237E8)</f>
        <v>638416237</v>
      </c>
      <c r="B33" s="1" t="str">
        <f>IFERROR(__xludf.DUMMYFUNCTION("""COMPUTED_VALUE"""),"AEROX V2 PEKAT 3MM")</f>
        <v>AEROX V2 PEKAT 3MM</v>
      </c>
    </row>
    <row r="34">
      <c r="A34" s="1">
        <f>IFERROR(__xludf.DUMMYFUNCTION("""COMPUTED_VALUE"""),3.57419616E8)</f>
        <v>357419616</v>
      </c>
      <c r="B34" s="1" t="str">
        <f>IFERROR(__xludf.DUMMYFUNCTION("""COMPUTED_VALUE"""),"AEROX V2 ICE BLUE 3MM")</f>
        <v>AEROX V2 ICE BLUE 3MM</v>
      </c>
    </row>
    <row r="35">
      <c r="A35" s="1">
        <f>IFERROR(__xludf.DUMMYFUNCTION("""COMPUTED_VALUE"""),3.46339532E8)</f>
        <v>346339532</v>
      </c>
      <c r="B35" s="1" t="str">
        <f>IFERROR(__xludf.DUMMYFUNCTION("""COMPUTED_VALUE"""),"AEROX V3 BENING 3MM")</f>
        <v>AEROX V3 BENING 3MM</v>
      </c>
    </row>
    <row r="36">
      <c r="A36" s="1">
        <f>IFERROR(__xludf.DUMMYFUNCTION("""COMPUTED_VALUE"""),7.47128782E8)</f>
        <v>747128782</v>
      </c>
      <c r="B36" s="1" t="str">
        <f>IFERROR(__xludf.DUMMYFUNCTION("""COMPUTED_VALUE"""),"AEROX V3 SMOKE 3MM")</f>
        <v>AEROX V3 SMOKE 3MM</v>
      </c>
    </row>
    <row r="37">
      <c r="A37" s="1">
        <f>IFERROR(__xludf.DUMMYFUNCTION("""COMPUTED_VALUE"""),1.75283217E8)</f>
        <v>175283217</v>
      </c>
      <c r="B37" s="1" t="str">
        <f>IFERROR(__xludf.DUMMYFUNCTION("""COMPUTED_VALUE"""),"AEROX V3 PEKAT 3MM")</f>
        <v>AEROX V3 PEKAT 3MM</v>
      </c>
    </row>
    <row r="38">
      <c r="A38" s="1">
        <f>IFERROR(__xludf.DUMMYFUNCTION("""COMPUTED_VALUE"""),7.73050065E8)</f>
        <v>773050065</v>
      </c>
      <c r="B38" s="1" t="str">
        <f>IFERROR(__xludf.DUMMYFUNCTION("""COMPUTED_VALUE"""),"AEROX V3 ICE BLUE 3MM")</f>
        <v>AEROX V3 ICE BLUE 3MM</v>
      </c>
    </row>
    <row r="39">
      <c r="A39" s="1">
        <f>IFERROR(__xludf.DUMMYFUNCTION("""COMPUTED_VALUE"""),5.46819774E8)</f>
        <v>546819774</v>
      </c>
      <c r="B39" s="1" t="str">
        <f>IFERROR(__xludf.DUMMYFUNCTION("""COMPUTED_VALUE"""),"BEAT DELUXE BENING 2MM")</f>
        <v>BEAT DELUXE BENING 2MM</v>
      </c>
    </row>
    <row r="40">
      <c r="A40" s="1">
        <f>IFERROR(__xludf.DUMMYFUNCTION("""COMPUTED_VALUE"""),1.51974971E8)</f>
        <v>151974971</v>
      </c>
      <c r="B40" s="1" t="str">
        <f>IFERROR(__xludf.DUMMYFUNCTION("""COMPUTED_VALUE"""),"BEAT DELUXE SMOKE 2MM")</f>
        <v>BEAT DELUXE SMOKE 2MM</v>
      </c>
    </row>
    <row r="41">
      <c r="A41" s="1">
        <f>IFERROR(__xludf.DUMMYFUNCTION("""COMPUTED_VALUE"""),1.71386884E8)</f>
        <v>171386884</v>
      </c>
      <c r="B41" s="1" t="str">
        <f>IFERROR(__xludf.DUMMYFUNCTION("""COMPUTED_VALUE"""),"BEAT DELUXE PEKAT 2MM")</f>
        <v>BEAT DELUXE PEKAT 2MM</v>
      </c>
    </row>
    <row r="42">
      <c r="A42" s="1">
        <f>IFERROR(__xludf.DUMMYFUNCTION("""COMPUTED_VALUE"""),9.14693397E8)</f>
        <v>914693397</v>
      </c>
      <c r="B42" s="1" t="str">
        <f>IFERROR(__xludf.DUMMYFUNCTION("""COMPUTED_VALUE"""),"BEAT KARBU BENING 2MM")</f>
        <v>BEAT KARBU BENING 2MM</v>
      </c>
    </row>
    <row r="43">
      <c r="A43" s="1">
        <f>IFERROR(__xludf.DUMMYFUNCTION("""COMPUTED_VALUE"""),7.25442145E8)</f>
        <v>725442145</v>
      </c>
      <c r="B43" s="1" t="str">
        <f>IFERROR(__xludf.DUMMYFUNCTION("""COMPUTED_VALUE"""),"BEAT KARBU SMOKE 2MM")</f>
        <v>BEAT KARBU SMOKE 2MM</v>
      </c>
    </row>
    <row r="44">
      <c r="A44" s="1">
        <f>IFERROR(__xludf.DUMMYFUNCTION("""COMPUTED_VALUE"""),3.52269922E8)</f>
        <v>352269922</v>
      </c>
      <c r="B44" s="1" t="str">
        <f>IFERROR(__xludf.DUMMYFUNCTION("""COMPUTED_VALUE"""),"BEAT KARBU PEKAT 2MM")</f>
        <v>BEAT KARBU PEKAT 2MM</v>
      </c>
    </row>
    <row r="45">
      <c r="A45" s="1">
        <f>IFERROR(__xludf.DUMMYFUNCTION("""COMPUTED_VALUE"""),1.52243976E8)</f>
        <v>152243976</v>
      </c>
      <c r="B45" s="1" t="str">
        <f>IFERROR(__xludf.DUMMYFUNCTION("""COMPUTED_VALUE"""),"BEAT KARBU ICE BLUE 2MM")</f>
        <v>BEAT KARBU ICE BLUE 2MM</v>
      </c>
    </row>
    <row r="46">
      <c r="A46" s="1">
        <f>IFERROR(__xludf.DUMMYFUNCTION("""COMPUTED_VALUE"""),7.87351372E8)</f>
        <v>787351372</v>
      </c>
      <c r="B46" s="1" t="str">
        <f>IFERROR(__xludf.DUMMYFUNCTION("""COMPUTED_VALUE"""),"BEAT FI BENING 2MM")</f>
        <v>BEAT FI BENING 2MM</v>
      </c>
    </row>
    <row r="47">
      <c r="A47" s="1">
        <f>IFERROR(__xludf.DUMMYFUNCTION("""COMPUTED_VALUE"""),3.67689872E8)</f>
        <v>367689872</v>
      </c>
      <c r="B47" s="1" t="str">
        <f>IFERROR(__xludf.DUMMYFUNCTION("""COMPUTED_VALUE"""),"BEAT FI SMOKE 2MM")</f>
        <v>BEAT FI SMOKE 2MM</v>
      </c>
    </row>
    <row r="48">
      <c r="A48" s="1">
        <f>IFERROR(__xludf.DUMMYFUNCTION("""COMPUTED_VALUE"""),4.34914318E8)</f>
        <v>434914318</v>
      </c>
      <c r="B48" s="1" t="str">
        <f>IFERROR(__xludf.DUMMYFUNCTION("""COMPUTED_VALUE"""),"BEAT FI PEKAT 2MM")</f>
        <v>BEAT FI PEKAT 2MM</v>
      </c>
    </row>
    <row r="49">
      <c r="A49" s="1">
        <f>IFERROR(__xludf.DUMMYFUNCTION("""COMPUTED_VALUE"""),2.76654428E8)</f>
        <v>276654428</v>
      </c>
      <c r="B49" s="1" t="str">
        <f>IFERROR(__xludf.DUMMYFUNCTION("""COMPUTED_VALUE"""),"BEAT FI ICE BLUE 2MM")</f>
        <v>BEAT FI ICE BLUE 2MM</v>
      </c>
    </row>
    <row r="50">
      <c r="A50" s="1">
        <f>IFERROR(__xludf.DUMMYFUNCTION("""COMPUTED_VALUE"""),1.58647628E8)</f>
        <v>158647628</v>
      </c>
      <c r="B50" s="1" t="str">
        <f>IFERROR(__xludf.DUMMYFUNCTION("""COMPUTED_VALUE"""),"VARIO LED/BOHLAM BENING 2MM")</f>
        <v>VARIO LED/BOHLAM BENING 2MM</v>
      </c>
    </row>
    <row r="51">
      <c r="A51" s="1">
        <f>IFERROR(__xludf.DUMMYFUNCTION("""COMPUTED_VALUE"""),4.62397762E8)</f>
        <v>462397762</v>
      </c>
      <c r="B51" s="1" t="str">
        <f>IFERROR(__xludf.DUMMYFUNCTION("""COMPUTED_VALUE"""),"VARIO LED/BOHLAM SMOKE 2MM")</f>
        <v>VARIO LED/BOHLAM SMOKE 2MM</v>
      </c>
    </row>
    <row r="52">
      <c r="A52" s="1">
        <f>IFERROR(__xludf.DUMMYFUNCTION("""COMPUTED_VALUE"""),3.77984827E8)</f>
        <v>377984827</v>
      </c>
      <c r="B52" s="1" t="str">
        <f>IFERROR(__xludf.DUMMYFUNCTION("""COMPUTED_VALUE"""),"VARIO LED/BOHLAM PEKAT 2MM")</f>
        <v>VARIO LED/BOHLAM PEKAT 2MM</v>
      </c>
    </row>
    <row r="53">
      <c r="A53" s="1">
        <f>IFERROR(__xludf.DUMMYFUNCTION("""COMPUTED_VALUE"""),1.58925347E8)</f>
        <v>158925347</v>
      </c>
      <c r="B53" s="1" t="str">
        <f>IFERROR(__xludf.DUMMYFUNCTION("""COMPUTED_VALUE"""),"VARIO 150 LED NEW BENING 2MM")</f>
        <v>VARIO 150 LED NEW BENING 2MM</v>
      </c>
    </row>
    <row r="54">
      <c r="A54" s="1">
        <f>IFERROR(__xludf.DUMMYFUNCTION("""COMPUTED_VALUE"""),2.74278258E8)</f>
        <v>274278258</v>
      </c>
      <c r="B54" s="1" t="str">
        <f>IFERROR(__xludf.DUMMYFUNCTION("""COMPUTED_VALUE"""),"VARIO 150 LED NEW SMOKE 2MM")</f>
        <v>VARIO 150 LED NEW SMOKE 2MM</v>
      </c>
    </row>
    <row r="55">
      <c r="A55" s="1">
        <f>IFERROR(__xludf.DUMMYFUNCTION("""COMPUTED_VALUE"""),4.72965811E8)</f>
        <v>472965811</v>
      </c>
      <c r="B55" s="1" t="str">
        <f>IFERROR(__xludf.DUMMYFUNCTION("""COMPUTED_VALUE"""),"VARIO 150 LED NEW PEKAT 2MM")</f>
        <v>VARIO 150 LED NEW PEKAT 2MM</v>
      </c>
    </row>
    <row r="56">
      <c r="A56" s="1">
        <f>IFERROR(__xludf.DUMMYFUNCTION("""COMPUTED_VALUE"""),3.79551539E8)</f>
        <v>379551539</v>
      </c>
      <c r="B56" s="1" t="str">
        <f>IFERROR(__xludf.DUMMYFUNCTION("""COMPUTED_VALUE"""),"VARIO 160 MODEL ABS BENING 2MM")</f>
        <v>VARIO 160 MODEL ABS BENING 2MM</v>
      </c>
    </row>
    <row r="57">
      <c r="A57" s="1">
        <f>IFERROR(__xludf.DUMMYFUNCTION("""COMPUTED_VALUE"""),6.12982618E8)</f>
        <v>612982618</v>
      </c>
      <c r="B57" s="1" t="str">
        <f>IFERROR(__xludf.DUMMYFUNCTION("""COMPUTED_VALUE"""),"VARIO 160 MODEL ABS SMOKE 2MM")</f>
        <v>VARIO 160 MODEL ABS SMOKE 2MM</v>
      </c>
    </row>
    <row r="58">
      <c r="A58" s="1">
        <f>IFERROR(__xludf.DUMMYFUNCTION("""COMPUTED_VALUE"""),4.39287851E8)</f>
        <v>439287851</v>
      </c>
      <c r="B58" s="1" t="str">
        <f>IFERROR(__xludf.DUMMYFUNCTION("""COMPUTED_VALUE"""),"VARIO 160 MODEL ABS PEKAT 2MM")</f>
        <v>VARIO 160 MODEL ABS PEKAT 2MM</v>
      </c>
    </row>
    <row r="59">
      <c r="A59" s="1">
        <f>IFERROR(__xludf.DUMMYFUNCTION("""COMPUTED_VALUE"""),1.87418251E8)</f>
        <v>187418251</v>
      </c>
      <c r="B59" s="1" t="str">
        <f>IFERROR(__xludf.DUMMYFUNCTION("""COMPUTED_VALUE"""),"VARIO 160 MODEL CBS BENING 2MM")</f>
        <v>VARIO 160 MODEL CBS BENING 2MM</v>
      </c>
    </row>
    <row r="60">
      <c r="A60" s="1">
        <f>IFERROR(__xludf.DUMMYFUNCTION("""COMPUTED_VALUE"""),9.83775927E8)</f>
        <v>983775927</v>
      </c>
      <c r="B60" s="1" t="str">
        <f>IFERROR(__xludf.DUMMYFUNCTION("""COMPUTED_VALUE"""),"VARIO 160 MODEL CBS SMOKE 2MM")</f>
        <v>VARIO 160 MODEL CBS SMOKE 2MM</v>
      </c>
    </row>
    <row r="61">
      <c r="A61" s="1">
        <f>IFERROR(__xludf.DUMMYFUNCTION("""COMPUTED_VALUE"""),2.63683462E8)</f>
        <v>263683462</v>
      </c>
      <c r="B61" s="1" t="str">
        <f>IFERROR(__xludf.DUMMYFUNCTION("""COMPUTED_VALUE"""),"VARIO 160 MODEL CBS PEKAT 2MM")</f>
        <v>VARIO 160 MODEL CBS PEKAT 2MM</v>
      </c>
    </row>
    <row r="62">
      <c r="A62" s="1">
        <f>IFERROR(__xludf.DUMMYFUNCTION("""COMPUTED_VALUE"""),5.19663334E8)</f>
        <v>519663334</v>
      </c>
      <c r="B62" s="1" t="str">
        <f>IFERROR(__xludf.DUMMYFUNCTION("""COMPUTED_VALUE"""),"VARIO 2023 BENING 2MM")</f>
        <v>VARIO 2023 BENING 2MM</v>
      </c>
    </row>
    <row r="63">
      <c r="A63" s="1">
        <f>IFERROR(__xludf.DUMMYFUNCTION("""COMPUTED_VALUE"""),5.97914126E8)</f>
        <v>597914126</v>
      </c>
      <c r="B63" s="1" t="str">
        <f>IFERROR(__xludf.DUMMYFUNCTION("""COMPUTED_VALUE"""),"VARIO 2023 SMOKE 2MM")</f>
        <v>VARIO 2023 SMOKE 2MM</v>
      </c>
    </row>
    <row r="64">
      <c r="A64" s="1">
        <f>IFERROR(__xludf.DUMMYFUNCTION("""COMPUTED_VALUE"""),3.93165115E8)</f>
        <v>393165115</v>
      </c>
      <c r="B64" s="1" t="str">
        <f>IFERROR(__xludf.DUMMYFUNCTION("""COMPUTED_VALUE"""),"VARIO 2023 PEKAT 2MM")</f>
        <v>VARIO 2023 PEKAT 2MM</v>
      </c>
    </row>
    <row r="65">
      <c r="A65" s="1">
        <f>IFERROR(__xludf.DUMMYFUNCTION("""COMPUTED_VALUE"""),3.26854194E8)</f>
        <v>326854194</v>
      </c>
      <c r="B65" s="1" t="str">
        <f>IFERROR(__xludf.DUMMYFUNCTION("""COMPUTED_VALUE"""),"V1 SIRIP NEW BENING 3MM")</f>
        <v>V1 SIRIP NEW BENING 3MM</v>
      </c>
    </row>
    <row r="66">
      <c r="A66" s="1">
        <f>IFERROR(__xludf.DUMMYFUNCTION("""COMPUTED_VALUE"""),7.21096819E8)</f>
        <v>721096819</v>
      </c>
      <c r="B66" s="1" t="str">
        <f>IFERROR(__xludf.DUMMYFUNCTION("""COMPUTED_VALUE"""),"V1 SIRIP NEW BENING 4MM")</f>
        <v>V1 SIRIP NEW BENING 4MM</v>
      </c>
    </row>
    <row r="67">
      <c r="A67" s="1">
        <f>IFERROR(__xludf.DUMMYFUNCTION("""COMPUTED_VALUE"""),9.12698283E8)</f>
        <v>912698283</v>
      </c>
      <c r="B67" s="1" t="str">
        <f>IFERROR(__xludf.DUMMYFUNCTION("""COMPUTED_VALUE"""),"V1 SIRIP OLD BENING 3MM")</f>
        <v>V1 SIRIP OLD BENING 3MM</v>
      </c>
    </row>
    <row r="68">
      <c r="A68" s="1">
        <f>IFERROR(__xludf.DUMMYFUNCTION("""COMPUTED_VALUE"""),9.42065418E8)</f>
        <v>942065418</v>
      </c>
      <c r="B68" s="1" t="str">
        <f>IFERROR(__xludf.DUMMYFUNCTION("""COMPUTED_VALUE"""),"V1 SIRIP OLD BENING 4MM")</f>
        <v>V1 SIRIP OLD BENING 4MM</v>
      </c>
    </row>
    <row r="69">
      <c r="A69" s="1">
        <f>IFERROR(__xludf.DUMMYFUNCTION("""COMPUTED_VALUE"""),6.64183187E8)</f>
        <v>664183187</v>
      </c>
      <c r="B69" s="1" t="str">
        <f>IFERROR(__xludf.DUMMYFUNCTION("""COMPUTED_VALUE"""),"V1 SIRIP NEW SMOKE 3MM")</f>
        <v>V1 SIRIP NEW SMOKE 3MM</v>
      </c>
    </row>
    <row r="70">
      <c r="A70" s="1">
        <f>IFERROR(__xludf.DUMMYFUNCTION("""COMPUTED_VALUE"""),4.71034776E8)</f>
        <v>471034776</v>
      </c>
      <c r="B70" s="1" t="str">
        <f>IFERROR(__xludf.DUMMYFUNCTION("""COMPUTED_VALUE"""),"V1 SIRIP NEW SMOKE 4MM")</f>
        <v>V1 SIRIP NEW SMOKE 4MM</v>
      </c>
    </row>
    <row r="71">
      <c r="A71" s="1">
        <f>IFERROR(__xludf.DUMMYFUNCTION("""COMPUTED_VALUE"""),3.83443357E8)</f>
        <v>383443357</v>
      </c>
      <c r="B71" s="1" t="str">
        <f>IFERROR(__xludf.DUMMYFUNCTION("""COMPUTED_VALUE"""),"V1 SIRIP OLD SMOKE 4MM")</f>
        <v>V1 SIRIP OLD SMOKE 4MM</v>
      </c>
    </row>
    <row r="72">
      <c r="A72" s="1">
        <f>IFERROR(__xludf.DUMMYFUNCTION("""COMPUTED_VALUE"""),2.27352695E8)</f>
        <v>227352695</v>
      </c>
      <c r="B72" s="1" t="str">
        <f>IFERROR(__xludf.DUMMYFUNCTION("""COMPUTED_VALUE"""),"V1 SIRIP OLD SMOKE 3MM")</f>
        <v>V1 SIRIP OLD SMOKE 3MM</v>
      </c>
    </row>
    <row r="73">
      <c r="A73" s="1">
        <f>IFERROR(__xludf.DUMMYFUNCTION("""COMPUTED_VALUE"""),5.65533365E8)</f>
        <v>565533365</v>
      </c>
      <c r="B73" s="1" t="str">
        <f>IFERROR(__xludf.DUMMYFUNCTION("""COMPUTED_VALUE"""),"V1 SIRIP NEW PEKAT 3MM")</f>
        <v>V1 SIRIP NEW PEKAT 3MM</v>
      </c>
    </row>
    <row r="74">
      <c r="A74" s="1">
        <f>IFERROR(__xludf.DUMMYFUNCTION("""COMPUTED_VALUE"""),1.15552134E8)</f>
        <v>115552134</v>
      </c>
      <c r="B74" s="1" t="str">
        <f>IFERROR(__xludf.DUMMYFUNCTION("""COMPUTED_VALUE"""),"V1 SIRIP OLD PEKAT 3MM")</f>
        <v>V1 SIRIP OLD PEKAT 3MM</v>
      </c>
    </row>
    <row r="75">
      <c r="A75" s="1">
        <f>IFERROR(__xludf.DUMMYFUNCTION("""COMPUTED_VALUE"""),6.56991955E8)</f>
        <v>656991955</v>
      </c>
      <c r="B75" s="1" t="str">
        <f>IFERROR(__xludf.DUMMYFUNCTION("""COMPUTED_VALUE"""),"V1 SIRIP NEW ICE BLUE 3MM")</f>
        <v>V1 SIRIP NEW ICE BLUE 3MM</v>
      </c>
    </row>
    <row r="76">
      <c r="A76" s="1">
        <f>IFERROR(__xludf.DUMMYFUNCTION("""COMPUTED_VALUE"""),7.47226189E8)</f>
        <v>747226189</v>
      </c>
      <c r="B76" s="1" t="str">
        <f>IFERROR(__xludf.DUMMYFUNCTION("""COMPUTED_VALUE"""),"V1 SIRIP OLD ICE BLUE 3MM")</f>
        <v>V1 SIRIP OLD ICE BLUE 3MM</v>
      </c>
    </row>
    <row r="77">
      <c r="A77" s="1">
        <f>IFERROR(__xludf.DUMMYFUNCTION("""COMPUTED_VALUE"""),3.31576646E8)</f>
        <v>331576646</v>
      </c>
      <c r="B77" s="1" t="str">
        <f>IFERROR(__xludf.DUMMYFUNCTION("""COMPUTED_VALUE"""),"V1 POLOS NEW BENING 3MM")</f>
        <v>V1 POLOS NEW BENING 3MM</v>
      </c>
    </row>
    <row r="78">
      <c r="A78" s="1">
        <f>IFERROR(__xludf.DUMMYFUNCTION("""COMPUTED_VALUE"""),7.28882334E8)</f>
        <v>728882334</v>
      </c>
      <c r="B78" s="1" t="str">
        <f>IFERROR(__xludf.DUMMYFUNCTION("""COMPUTED_VALUE"""),"V1 POLOS OLD BENING 3MM")</f>
        <v>V1 POLOS OLD BENING 3MM</v>
      </c>
    </row>
    <row r="79">
      <c r="A79" s="1">
        <f>IFERROR(__xludf.DUMMYFUNCTION("""COMPUTED_VALUE"""),2.61272389E8)</f>
        <v>261272389</v>
      </c>
      <c r="B79" s="1" t="str">
        <f>IFERROR(__xludf.DUMMYFUNCTION("""COMPUTED_VALUE"""),"V1 POLOS NEW SMOKE 3MM")</f>
        <v>V1 POLOS NEW SMOKE 3MM</v>
      </c>
    </row>
    <row r="80">
      <c r="A80" s="1">
        <f>IFERROR(__xludf.DUMMYFUNCTION("""COMPUTED_VALUE"""),5.98266788E8)</f>
        <v>598266788</v>
      </c>
      <c r="B80" s="1" t="str">
        <f>IFERROR(__xludf.DUMMYFUNCTION("""COMPUTED_VALUE"""),"V1 POLOS OLD SMOKE 3MM")</f>
        <v>V1 POLOS OLD SMOKE 3MM</v>
      </c>
    </row>
    <row r="81">
      <c r="A81" s="1">
        <f>IFERROR(__xludf.DUMMYFUNCTION("""COMPUTED_VALUE"""),2.13373864E8)</f>
        <v>213373864</v>
      </c>
      <c r="B81" s="1" t="str">
        <f>IFERROR(__xludf.DUMMYFUNCTION("""COMPUTED_VALUE"""),"V1 POLOS NEW PEKAT 3MM")</f>
        <v>V1 POLOS NEW PEKAT 3MM</v>
      </c>
    </row>
    <row r="82">
      <c r="A82" s="1">
        <f>IFERROR(__xludf.DUMMYFUNCTION("""COMPUTED_VALUE"""),3.86163318E8)</f>
        <v>386163318</v>
      </c>
      <c r="B82" s="1" t="str">
        <f>IFERROR(__xludf.DUMMYFUNCTION("""COMPUTED_VALUE"""),"V1 POLOS OLD PEKAT 3MM")</f>
        <v>V1 POLOS OLD PEKAT 3MM</v>
      </c>
    </row>
    <row r="83">
      <c r="A83" s="1">
        <f>IFERROR(__xludf.DUMMYFUNCTION("""COMPUTED_VALUE"""),3.72241486E8)</f>
        <v>372241486</v>
      </c>
      <c r="B83" s="1" t="str">
        <f>IFERROR(__xludf.DUMMYFUNCTION("""COMPUTED_VALUE"""),"V1 POLOS NEW ICE BLUE 3MM")</f>
        <v>V1 POLOS NEW ICE BLUE 3MM</v>
      </c>
    </row>
    <row r="84">
      <c r="A84" s="1">
        <f>IFERROR(__xludf.DUMMYFUNCTION("""COMPUTED_VALUE"""),9.33179162E8)</f>
        <v>933179162</v>
      </c>
      <c r="B84" s="1" t="str">
        <f>IFERROR(__xludf.DUMMYFUNCTION("""COMPUTED_VALUE"""),"V1 POLOS OLD ICE BLUE 3MM")</f>
        <v>V1 POLOS OLD ICE BLUE 3MM</v>
      </c>
    </row>
    <row r="85">
      <c r="A85" s="1">
        <f>IFERROR(__xludf.DUMMYFUNCTION("""COMPUTED_VALUE"""),3.11543476E8)</f>
        <v>311543476</v>
      </c>
      <c r="B85" s="1" t="str">
        <f>IFERROR(__xludf.DUMMYFUNCTION("""COMPUTED_VALUE"""),"V2 SIRIP NEW BENING 2MM")</f>
        <v>V2 SIRIP NEW BENING 2MM</v>
      </c>
    </row>
    <row r="86">
      <c r="A86" s="1">
        <f>IFERROR(__xludf.DUMMYFUNCTION("""COMPUTED_VALUE"""),9.11158887E8)</f>
        <v>911158887</v>
      </c>
      <c r="B86" s="1" t="str">
        <f>IFERROR(__xludf.DUMMYFUNCTION("""COMPUTED_VALUE"""),"V2 SIRIP NEW BENING 3MM")</f>
        <v>V2 SIRIP NEW BENING 3MM</v>
      </c>
    </row>
    <row r="87">
      <c r="A87" s="1">
        <f>IFERROR(__xludf.DUMMYFUNCTION("""COMPUTED_VALUE"""),8.54237253E8)</f>
        <v>854237253</v>
      </c>
      <c r="B87" s="1" t="str">
        <f>IFERROR(__xludf.DUMMYFUNCTION("""COMPUTED_VALUE"""),"V2 SIRIP NEW BENING 4MM")</f>
        <v>V2 SIRIP NEW BENING 4MM</v>
      </c>
    </row>
    <row r="88">
      <c r="A88" s="1">
        <f>IFERROR(__xludf.DUMMYFUNCTION("""COMPUTED_VALUE"""),6.77573388E8)</f>
        <v>677573388</v>
      </c>
      <c r="B88" s="1" t="str">
        <f>IFERROR(__xludf.DUMMYFUNCTION("""COMPUTED_VALUE"""),"V2 SIRIP OLD BENING 2MM")</f>
        <v>V2 SIRIP OLD BENING 2MM</v>
      </c>
    </row>
    <row r="89">
      <c r="A89" s="1">
        <f>IFERROR(__xludf.DUMMYFUNCTION("""COMPUTED_VALUE"""),7.64117138E8)</f>
        <v>764117138</v>
      </c>
      <c r="B89" s="1" t="str">
        <f>IFERROR(__xludf.DUMMYFUNCTION("""COMPUTED_VALUE"""),"V2 SIRIP OLD BENING 3MM")</f>
        <v>V2 SIRIP OLD BENING 3MM</v>
      </c>
    </row>
    <row r="90">
      <c r="A90" s="1">
        <f>IFERROR(__xludf.DUMMYFUNCTION("""COMPUTED_VALUE"""),2.8769671E8)</f>
        <v>287696710</v>
      </c>
      <c r="B90" s="1" t="str">
        <f>IFERROR(__xludf.DUMMYFUNCTION("""COMPUTED_VALUE"""),"V2 SIRIP OLD BENING 4MM")</f>
        <v>V2 SIRIP OLD BENING 4MM</v>
      </c>
    </row>
    <row r="91">
      <c r="A91" s="1">
        <f>IFERROR(__xludf.DUMMYFUNCTION("""COMPUTED_VALUE"""),2.47193618E8)</f>
        <v>247193618</v>
      </c>
      <c r="B91" s="1" t="str">
        <f>IFERROR(__xludf.DUMMYFUNCTION("""COMPUTED_VALUE"""),"V2 SIRIP NEW SMOKE 2MM")</f>
        <v>V2 SIRIP NEW SMOKE 2MM</v>
      </c>
    </row>
    <row r="92">
      <c r="A92" s="1">
        <f>IFERROR(__xludf.DUMMYFUNCTION("""COMPUTED_VALUE"""),5.16546295E8)</f>
        <v>516546295</v>
      </c>
      <c r="B92" s="1" t="str">
        <f>IFERROR(__xludf.DUMMYFUNCTION("""COMPUTED_VALUE"""),"V2 SIRIP NEW SMOKE 3MM")</f>
        <v>V2 SIRIP NEW SMOKE 3MM</v>
      </c>
    </row>
    <row r="93">
      <c r="A93" s="1">
        <f>IFERROR(__xludf.DUMMYFUNCTION("""COMPUTED_VALUE"""),1.94040018E8)</f>
        <v>194040018</v>
      </c>
      <c r="B93" s="1" t="str">
        <f>IFERROR(__xludf.DUMMYFUNCTION("""COMPUTED_VALUE"""),"V2 SIRIP NEW SMOKE 4MM")</f>
        <v>V2 SIRIP NEW SMOKE 4MM</v>
      </c>
    </row>
    <row r="94">
      <c r="A94" s="1">
        <f>IFERROR(__xludf.DUMMYFUNCTION("""COMPUTED_VALUE"""),3.88361377E8)</f>
        <v>388361377</v>
      </c>
      <c r="B94" s="1" t="str">
        <f>IFERROR(__xludf.DUMMYFUNCTION("""COMPUTED_VALUE"""),"V2 SIRIP OLD SMOKE 2MM")</f>
        <v>V2 SIRIP OLD SMOKE 2MM</v>
      </c>
    </row>
    <row r="95">
      <c r="A95" s="1">
        <f>IFERROR(__xludf.DUMMYFUNCTION("""COMPUTED_VALUE"""),7.58813734E8)</f>
        <v>758813734</v>
      </c>
      <c r="B95" s="1" t="str">
        <f>IFERROR(__xludf.DUMMYFUNCTION("""COMPUTED_VALUE"""),"V2 SIRIP OLD SMOKE 3MM")</f>
        <v>V2 SIRIP OLD SMOKE 3MM</v>
      </c>
    </row>
    <row r="96">
      <c r="A96" s="1">
        <f>IFERROR(__xludf.DUMMYFUNCTION("""COMPUTED_VALUE"""),5.89318278E8)</f>
        <v>589318278</v>
      </c>
      <c r="B96" s="1" t="str">
        <f>IFERROR(__xludf.DUMMYFUNCTION("""COMPUTED_VALUE"""),"V2 SIRIP OLD SMOKE 4MM")</f>
        <v>V2 SIRIP OLD SMOKE 4MM</v>
      </c>
    </row>
    <row r="97">
      <c r="A97" s="1">
        <f>IFERROR(__xludf.DUMMYFUNCTION("""COMPUTED_VALUE"""),5.36767416E8)</f>
        <v>536767416</v>
      </c>
      <c r="B97" s="1" t="str">
        <f>IFERROR(__xludf.DUMMYFUNCTION("""COMPUTED_VALUE"""),"V2 SIRIP NEW PEKAT 2MM")</f>
        <v>V2 SIRIP NEW PEKAT 2MM</v>
      </c>
    </row>
    <row r="98">
      <c r="A98" s="1">
        <f>IFERROR(__xludf.DUMMYFUNCTION("""COMPUTED_VALUE"""),2.25215751E8)</f>
        <v>225215751</v>
      </c>
      <c r="B98" s="1" t="str">
        <f>IFERROR(__xludf.DUMMYFUNCTION("""COMPUTED_VALUE"""),"V2 SIRIP NEW PEKAT 3MM")</f>
        <v>V2 SIRIP NEW PEKAT 3MM</v>
      </c>
    </row>
    <row r="99">
      <c r="A99" s="1">
        <f>IFERROR(__xludf.DUMMYFUNCTION("""COMPUTED_VALUE"""),9.96914469E8)</f>
        <v>996914469</v>
      </c>
      <c r="B99" s="1" t="str">
        <f>IFERROR(__xludf.DUMMYFUNCTION("""COMPUTED_VALUE"""),"V2 SIRIP OLD PEKAT 2MM")</f>
        <v>V2 SIRIP OLD PEKAT 2MM</v>
      </c>
    </row>
    <row r="100">
      <c r="A100" s="1">
        <f>IFERROR(__xludf.DUMMYFUNCTION("""COMPUTED_VALUE"""),4.72729976E8)</f>
        <v>472729976</v>
      </c>
      <c r="B100" s="1" t="str">
        <f>IFERROR(__xludf.DUMMYFUNCTION("""COMPUTED_VALUE"""),"V2 SIRIP OLD PEKAT 3MM")</f>
        <v>V2 SIRIP OLD PEKAT 3MM</v>
      </c>
    </row>
    <row r="101">
      <c r="A101" s="1">
        <f>IFERROR(__xludf.DUMMYFUNCTION("""COMPUTED_VALUE"""),5.1438947E8)</f>
        <v>514389470</v>
      </c>
      <c r="B101" s="1" t="str">
        <f>IFERROR(__xludf.DUMMYFUNCTION("""COMPUTED_VALUE"""),"V2 SIRIP OLD PEKAT 4MM")</f>
        <v>V2 SIRIP OLD PEKAT 4MM</v>
      </c>
    </row>
    <row r="102">
      <c r="A102" s="1">
        <f>IFERROR(__xludf.DUMMYFUNCTION("""COMPUTED_VALUE"""),4.72429125E8)</f>
        <v>472429125</v>
      </c>
      <c r="B102" s="1" t="str">
        <f>IFERROR(__xludf.DUMMYFUNCTION("""COMPUTED_VALUE"""),"V2 SIRIP NEW ICE BLUE 2MM")</f>
        <v>V2 SIRIP NEW ICE BLUE 2MM</v>
      </c>
    </row>
    <row r="103">
      <c r="A103" s="1">
        <f>IFERROR(__xludf.DUMMYFUNCTION("""COMPUTED_VALUE"""),6.29352373E8)</f>
        <v>629352373</v>
      </c>
      <c r="B103" s="1" t="str">
        <f>IFERROR(__xludf.DUMMYFUNCTION("""COMPUTED_VALUE"""),"V2 SIRIP NEW ICE BLUE 3MM")</f>
        <v>V2 SIRIP NEW ICE BLUE 3MM</v>
      </c>
    </row>
    <row r="104">
      <c r="A104" s="1">
        <f>IFERROR(__xludf.DUMMYFUNCTION("""COMPUTED_VALUE"""),4.47368374E8)</f>
        <v>447368374</v>
      </c>
      <c r="B104" s="1" t="str">
        <f>IFERROR(__xludf.DUMMYFUNCTION("""COMPUTED_VALUE"""),"V2 SIRIP NEW ICE BLUE 4MM")</f>
        <v>V2 SIRIP NEW ICE BLUE 4MM</v>
      </c>
    </row>
    <row r="105">
      <c r="A105" s="1">
        <f>IFERROR(__xludf.DUMMYFUNCTION("""COMPUTED_VALUE"""),1.89455785E8)</f>
        <v>189455785</v>
      </c>
      <c r="B105" s="1" t="str">
        <f>IFERROR(__xludf.DUMMYFUNCTION("""COMPUTED_VALUE"""),"V2 SIRIP OLD ICE BLUE 2MM")</f>
        <v>V2 SIRIP OLD ICE BLUE 2MM</v>
      </c>
    </row>
    <row r="106">
      <c r="A106" s="1">
        <f>IFERROR(__xludf.DUMMYFUNCTION("""COMPUTED_VALUE"""),1.52683989E8)</f>
        <v>152683989</v>
      </c>
      <c r="B106" s="1" t="str">
        <f>IFERROR(__xludf.DUMMYFUNCTION("""COMPUTED_VALUE"""),"V2 SIRIP OLD ICE BLUE 3MM")</f>
        <v>V2 SIRIP OLD ICE BLUE 3MM</v>
      </c>
    </row>
    <row r="107">
      <c r="A107" s="1">
        <f>IFERROR(__xludf.DUMMYFUNCTION("""COMPUTED_VALUE"""),4.70615224E8)</f>
        <v>470615224</v>
      </c>
      <c r="B107" s="1" t="str">
        <f>IFERROR(__xludf.DUMMYFUNCTION("""COMPUTED_VALUE"""),"V2 POLOS NEW BENING 3MM")</f>
        <v>V2 POLOS NEW BENING 3MM</v>
      </c>
    </row>
    <row r="108">
      <c r="A108" s="1">
        <f>IFERROR(__xludf.DUMMYFUNCTION("""COMPUTED_VALUE"""),6.43652882E8)</f>
        <v>643652882</v>
      </c>
      <c r="B108" s="1" t="str">
        <f>IFERROR(__xludf.DUMMYFUNCTION("""COMPUTED_VALUE"""),"V2 POLOS OLD BENING 3MM")</f>
        <v>V2 POLOS OLD BENING 3MM</v>
      </c>
    </row>
    <row r="109">
      <c r="A109" s="1">
        <f>IFERROR(__xludf.DUMMYFUNCTION("""COMPUTED_VALUE"""),5.92572082E8)</f>
        <v>592572082</v>
      </c>
      <c r="B109" s="1" t="str">
        <f>IFERROR(__xludf.DUMMYFUNCTION("""COMPUTED_VALUE"""),"V2 POLOS NEW SMOKE 3MM")</f>
        <v>V2 POLOS NEW SMOKE 3MM</v>
      </c>
    </row>
    <row r="110">
      <c r="A110" s="1">
        <f>IFERROR(__xludf.DUMMYFUNCTION("""COMPUTED_VALUE"""),6.56046868E8)</f>
        <v>656046868</v>
      </c>
      <c r="B110" s="1" t="str">
        <f>IFERROR(__xludf.DUMMYFUNCTION("""COMPUTED_VALUE"""),"V2 POLOS NEW SMOKE 4MM")</f>
        <v>V2 POLOS NEW SMOKE 4MM</v>
      </c>
    </row>
    <row r="111">
      <c r="A111" s="1">
        <f>IFERROR(__xludf.DUMMYFUNCTION("""COMPUTED_VALUE"""),2.65107572E8)</f>
        <v>265107572</v>
      </c>
      <c r="B111" s="1" t="str">
        <f>IFERROR(__xludf.DUMMYFUNCTION("""COMPUTED_VALUE"""),"V2 POLOS OLD SMOKE 3MM")</f>
        <v>V2 POLOS OLD SMOKE 3MM</v>
      </c>
    </row>
    <row r="112">
      <c r="A112" s="1">
        <f>IFERROR(__xludf.DUMMYFUNCTION("""COMPUTED_VALUE"""),3.36661886E8)</f>
        <v>336661886</v>
      </c>
      <c r="B112" s="1" t="str">
        <f>IFERROR(__xludf.DUMMYFUNCTION("""COMPUTED_VALUE"""),"V5 SIRIP NEW BENING 3MM")</f>
        <v>V5 SIRIP NEW BENING 3MM</v>
      </c>
    </row>
    <row r="113">
      <c r="A113" s="1">
        <f>IFERROR(__xludf.DUMMYFUNCTION("""COMPUTED_VALUE"""),6.32184961E8)</f>
        <v>632184961</v>
      </c>
      <c r="B113" s="1" t="str">
        <f>IFERROR(__xludf.DUMMYFUNCTION("""COMPUTED_VALUE"""),"V5 SIRIP OLD BENING 3MM")</f>
        <v>V5 SIRIP OLD BENING 3MM</v>
      </c>
    </row>
    <row r="114">
      <c r="A114" s="1">
        <f>IFERROR(__xludf.DUMMYFUNCTION("""COMPUTED_VALUE"""),1.13722317E8)</f>
        <v>113722317</v>
      </c>
      <c r="B114" s="1" t="str">
        <f>IFERROR(__xludf.DUMMYFUNCTION("""COMPUTED_VALUE"""),"V5 SIRIP NEW SMOKE 3MM")</f>
        <v>V5 SIRIP NEW SMOKE 3MM</v>
      </c>
    </row>
    <row r="115">
      <c r="A115" s="1">
        <f>IFERROR(__xludf.DUMMYFUNCTION("""COMPUTED_VALUE"""),2.86413411E8)</f>
        <v>286413411</v>
      </c>
      <c r="B115" s="1" t="str">
        <f>IFERROR(__xludf.DUMMYFUNCTION("""COMPUTED_VALUE"""),"V5 SIRIP OLD SMOKE 3MM")</f>
        <v>V5 SIRIP OLD SMOKE 3MM</v>
      </c>
    </row>
    <row r="116">
      <c r="A116" s="1">
        <f>IFERROR(__xludf.DUMMYFUNCTION("""COMPUTED_VALUE"""),1.71674833E8)</f>
        <v>171674833</v>
      </c>
      <c r="B116" s="1" t="str">
        <f>IFERROR(__xludf.DUMMYFUNCTION("""COMPUTED_VALUE"""),"V5 SIRIP NEW PEKAT 3MM")</f>
        <v>V5 SIRIP NEW PEKAT 3MM</v>
      </c>
    </row>
    <row r="117">
      <c r="A117" s="1">
        <f>IFERROR(__xludf.DUMMYFUNCTION("""COMPUTED_VALUE"""),2.35287214E8)</f>
        <v>235287214</v>
      </c>
      <c r="B117" s="1" t="str">
        <f>IFERROR(__xludf.DUMMYFUNCTION("""COMPUTED_VALUE"""),"V5 SIRIP OLD PEKAT 3MM")</f>
        <v>V5 SIRIP OLD PEKAT 3MM</v>
      </c>
    </row>
    <row r="118">
      <c r="A118" s="1">
        <f>IFERROR(__xludf.DUMMYFUNCTION("""COMPUTED_VALUE"""),1.79474468E8)</f>
        <v>179474468</v>
      </c>
      <c r="B118" s="1" t="str">
        <f>IFERROR(__xludf.DUMMYFUNCTION("""COMPUTED_VALUE"""),"V5 SIRIP NEW ICE BLUE 3MM")</f>
        <v>V5 SIRIP NEW ICE BLUE 3MM</v>
      </c>
    </row>
    <row r="119">
      <c r="A119" s="1">
        <f>IFERROR(__xludf.DUMMYFUNCTION("""COMPUTED_VALUE"""),5.27254148E8)</f>
        <v>527254148</v>
      </c>
      <c r="B119" s="1" t="str">
        <f>IFERROR(__xludf.DUMMYFUNCTION("""COMPUTED_VALUE"""),"V5 SIRIP OLD ICE BLUE 3MM")</f>
        <v>V5 SIRIP OLD ICE BLUE 3MM</v>
      </c>
    </row>
    <row r="120">
      <c r="A120" s="1">
        <f>IFERROR(__xludf.DUMMYFUNCTION("""COMPUTED_VALUE"""),6.54516468E8)</f>
        <v>654516468</v>
      </c>
      <c r="B120" s="1" t="str">
        <f>IFERROR(__xludf.DUMMYFUNCTION("""COMPUTED_VALUE"""),"V5 SIRIP NEW BENING 2MM")</f>
        <v>V5 SIRIP NEW BENING 2MM</v>
      </c>
    </row>
    <row r="121">
      <c r="A121" s="1">
        <f>IFERROR(__xludf.DUMMYFUNCTION("""COMPUTED_VALUE"""),9.54444459E8)</f>
        <v>954444459</v>
      </c>
      <c r="B121" s="1" t="str">
        <f>IFERROR(__xludf.DUMMYFUNCTION("""COMPUTED_VALUE"""),"V5 SIRIP OLD BENING 2MM")</f>
        <v>V5 SIRIP OLD BENING 2MM</v>
      </c>
    </row>
    <row r="122">
      <c r="A122" s="1">
        <f>IFERROR(__xludf.DUMMYFUNCTION("""COMPUTED_VALUE"""),3.61716194E8)</f>
        <v>361716194</v>
      </c>
      <c r="B122" s="1" t="str">
        <f>IFERROR(__xludf.DUMMYFUNCTION("""COMPUTED_VALUE"""),"V5 SIRIP NEW SMOKE 2MM")</f>
        <v>V5 SIRIP NEW SMOKE 2MM</v>
      </c>
    </row>
    <row r="123">
      <c r="A123" s="1">
        <f>IFERROR(__xludf.DUMMYFUNCTION("""COMPUTED_VALUE"""),2.69557657E8)</f>
        <v>269557657</v>
      </c>
      <c r="B123" s="1" t="str">
        <f>IFERROR(__xludf.DUMMYFUNCTION("""COMPUTED_VALUE"""),"V5 SIRIP OLD SMOKE 2MM")</f>
        <v>V5 SIRIP OLD SMOKE 2MM</v>
      </c>
    </row>
    <row r="124">
      <c r="A124" s="1">
        <f>IFERROR(__xludf.DUMMYFUNCTION("""COMPUTED_VALUE"""),7.63548322E8)</f>
        <v>763548322</v>
      </c>
      <c r="B124" s="1" t="str">
        <f>IFERROR(__xludf.DUMMYFUNCTION("""COMPUTED_VALUE"""),"V5 SIRIP NEW PEKAT 2MM")</f>
        <v>V5 SIRIP NEW PEKAT 2MM</v>
      </c>
    </row>
    <row r="125">
      <c r="A125" s="1">
        <f>IFERROR(__xludf.DUMMYFUNCTION("""COMPUTED_VALUE"""),3.58675847E8)</f>
        <v>358675847</v>
      </c>
      <c r="B125" s="1" t="str">
        <f>IFERROR(__xludf.DUMMYFUNCTION("""COMPUTED_VALUE"""),"V5 SIRIP OLD PEKAT 2MM")</f>
        <v>V5 SIRIP OLD PEKAT 2MM</v>
      </c>
    </row>
    <row r="126">
      <c r="A126" s="1">
        <f>IFERROR(__xludf.DUMMYFUNCTION("""COMPUTED_VALUE"""),7.46383988E8)</f>
        <v>746383988</v>
      </c>
      <c r="B126" s="1" t="str">
        <f>IFERROR(__xludf.DUMMYFUNCTION("""COMPUTED_VALUE"""),"V6 NEW BENING 3MM")</f>
        <v>V6 NEW BENING 3MM</v>
      </c>
    </row>
    <row r="127">
      <c r="A127" s="1">
        <f>IFERROR(__xludf.DUMMYFUNCTION("""COMPUTED_VALUE"""),7.38143169E8)</f>
        <v>738143169</v>
      </c>
      <c r="B127" s="1" t="str">
        <f>IFERROR(__xludf.DUMMYFUNCTION("""COMPUTED_VALUE"""),"V6 OLD BENING 3MM")</f>
        <v>V6 OLD BENING 3MM</v>
      </c>
    </row>
    <row r="128">
      <c r="A128" s="1">
        <f>IFERROR(__xludf.DUMMYFUNCTION("""COMPUTED_VALUE"""),5.63556836E8)</f>
        <v>563556836</v>
      </c>
      <c r="B128" s="1" t="str">
        <f>IFERROR(__xludf.DUMMYFUNCTION("""COMPUTED_VALUE"""),"V6 NEW SMOKE 3MM")</f>
        <v>V6 NEW SMOKE 3MM</v>
      </c>
    </row>
    <row r="129">
      <c r="A129" s="1">
        <f>IFERROR(__xludf.DUMMYFUNCTION("""COMPUTED_VALUE"""),8.92468965E8)</f>
        <v>892468965</v>
      </c>
      <c r="B129" s="1" t="str">
        <f>IFERROR(__xludf.DUMMYFUNCTION("""COMPUTED_VALUE"""),"V6 OLD SMOKE 3MM")</f>
        <v>V6 OLD SMOKE 3MM</v>
      </c>
    </row>
    <row r="130">
      <c r="A130" s="1">
        <f>IFERROR(__xludf.DUMMYFUNCTION("""COMPUTED_VALUE"""),8.11769222E8)</f>
        <v>811769222</v>
      </c>
      <c r="B130" s="1" t="str">
        <f>IFERROR(__xludf.DUMMYFUNCTION("""COMPUTED_VALUE"""),"V6 NEW PEKAT 3MM")</f>
        <v>V6 NEW PEKAT 3MM</v>
      </c>
    </row>
    <row r="131">
      <c r="A131" s="1">
        <f>IFERROR(__xludf.DUMMYFUNCTION("""COMPUTED_VALUE"""),1.84347315E8)</f>
        <v>184347315</v>
      </c>
      <c r="B131" s="1" t="str">
        <f>IFERROR(__xludf.DUMMYFUNCTION("""COMPUTED_VALUE"""),"V6 OLD PEKAT 3MM")</f>
        <v>V6 OLD PEKAT 3MM</v>
      </c>
    </row>
    <row r="132">
      <c r="A132" s="1">
        <f>IFERROR(__xludf.DUMMYFUNCTION("""COMPUTED_VALUE"""),6.00382978E8)</f>
        <v>600382978</v>
      </c>
      <c r="B132" s="1" t="str">
        <f>IFERROR(__xludf.DUMMYFUNCTION("""COMPUTED_VALUE"""),"V6 NEW ICE BLUE 3MM")</f>
        <v>V6 NEW ICE BLUE 3MM</v>
      </c>
    </row>
    <row r="133">
      <c r="A133" s="1">
        <f>IFERROR(__xludf.DUMMYFUNCTION("""COMPUTED_VALUE"""),9.98361268E8)</f>
        <v>998361268</v>
      </c>
      <c r="B133" s="1" t="str">
        <f>IFERROR(__xludf.DUMMYFUNCTION("""COMPUTED_VALUE"""),"V7 NEW BENING 3MM")</f>
        <v>V7 NEW BENING 3MM</v>
      </c>
    </row>
    <row r="134">
      <c r="A134" s="1">
        <f>IFERROR(__xludf.DUMMYFUNCTION("""COMPUTED_VALUE"""),7.36717143E8)</f>
        <v>736717143</v>
      </c>
      <c r="B134" s="1" t="str">
        <f>IFERROR(__xludf.DUMMYFUNCTION("""COMPUTED_VALUE"""),"V7 OLD BENING 3MM")</f>
        <v>V7 OLD BENING 3MM</v>
      </c>
    </row>
    <row r="135">
      <c r="A135" s="1">
        <f>IFERROR(__xludf.DUMMYFUNCTION("""COMPUTED_VALUE"""),2.98565884E8)</f>
        <v>298565884</v>
      </c>
      <c r="B135" s="1" t="str">
        <f>IFERROR(__xludf.DUMMYFUNCTION("""COMPUTED_VALUE"""),"V7 NEW SMOKE 3MM")</f>
        <v>V7 NEW SMOKE 3MM</v>
      </c>
    </row>
    <row r="136">
      <c r="A136" s="1">
        <f>IFERROR(__xludf.DUMMYFUNCTION("""COMPUTED_VALUE"""),9.42591382E8)</f>
        <v>942591382</v>
      </c>
      <c r="B136" s="1" t="str">
        <f>IFERROR(__xludf.DUMMYFUNCTION("""COMPUTED_VALUE"""),"V7 OLD SMOKE 3MM")</f>
        <v>V7 OLD SMOKE 3MM</v>
      </c>
    </row>
    <row r="137">
      <c r="A137" s="1">
        <f>IFERROR(__xludf.DUMMYFUNCTION("""COMPUTED_VALUE"""),4.23328314E8)</f>
        <v>423328314</v>
      </c>
      <c r="B137" s="1" t="str">
        <f>IFERROR(__xludf.DUMMYFUNCTION("""COMPUTED_VALUE"""),"V7 NEW PEKAT 3MM")</f>
        <v>V7 NEW PEKAT 3MM</v>
      </c>
    </row>
    <row r="138">
      <c r="A138" s="1">
        <f>IFERROR(__xludf.DUMMYFUNCTION("""COMPUTED_VALUE"""),4.81368518E8)</f>
        <v>481368518</v>
      </c>
      <c r="B138" s="1" t="str">
        <f>IFERROR(__xludf.DUMMYFUNCTION("""COMPUTED_VALUE"""),"V7 OLD PEKAT 3MM")</f>
        <v>V7 OLD PEKAT 3MM</v>
      </c>
    </row>
    <row r="139">
      <c r="A139" s="1">
        <f>IFERROR(__xludf.DUMMYFUNCTION("""COMPUTED_VALUE"""),7.76796642E8)</f>
        <v>776796642</v>
      </c>
      <c r="B139" s="1" t="str">
        <f>IFERROR(__xludf.DUMMYFUNCTION("""COMPUTED_VALUE"""),"V7 NEW ICE BLUE 3MM")</f>
        <v>V7 NEW ICE BLUE 3MM</v>
      </c>
    </row>
    <row r="140">
      <c r="A140" s="1">
        <f>IFERROR(__xludf.DUMMYFUNCTION("""COMPUTED_VALUE"""),6.32453648E8)</f>
        <v>632453648</v>
      </c>
      <c r="B140" s="1" t="str">
        <f>IFERROR(__xludf.DUMMYFUNCTION("""COMPUTED_VALUE"""),"STD NMAX NEW BENING 3MM")</f>
        <v>STD NMAX NEW BENING 3MM</v>
      </c>
    </row>
    <row r="141">
      <c r="A141" s="1">
        <f>IFERROR(__xludf.DUMMYFUNCTION("""COMPUTED_VALUE"""),5.37803602E8)</f>
        <v>537803602</v>
      </c>
      <c r="B141" s="1" t="str">
        <f>IFERROR(__xludf.DUMMYFUNCTION("""COMPUTED_VALUE"""),"STD NMAX NEW BENING 4MM")</f>
        <v>STD NMAX NEW BENING 4MM</v>
      </c>
    </row>
    <row r="142">
      <c r="A142" s="1">
        <f>IFERROR(__xludf.DUMMYFUNCTION("""COMPUTED_VALUE"""),3.67871248E8)</f>
        <v>367871248</v>
      </c>
      <c r="B142" s="1" t="str">
        <f>IFERROR(__xludf.DUMMYFUNCTION("""COMPUTED_VALUE"""),"STD NMAX OLD BENING 3MM")</f>
        <v>STD NMAX OLD BENING 3MM</v>
      </c>
    </row>
    <row r="143">
      <c r="A143" s="1">
        <f>IFERROR(__xludf.DUMMYFUNCTION("""COMPUTED_VALUE"""),7.1121242E8)</f>
        <v>711212420</v>
      </c>
      <c r="B143" s="1" t="str">
        <f>IFERROR(__xludf.DUMMYFUNCTION("""COMPUTED_VALUE"""),"STD NMAX OLD BENING 4MM")</f>
        <v>STD NMAX OLD BENING 4MM</v>
      </c>
    </row>
    <row r="144">
      <c r="A144" s="1">
        <f>IFERROR(__xludf.DUMMYFUNCTION("""COMPUTED_VALUE"""),8.35157632E8)</f>
        <v>835157632</v>
      </c>
      <c r="B144" s="1" t="str">
        <f>IFERROR(__xludf.DUMMYFUNCTION("""COMPUTED_VALUE"""),"STD NMAX NEW SMOKE 3MM")</f>
        <v>STD NMAX NEW SMOKE 3MM</v>
      </c>
    </row>
    <row r="145">
      <c r="A145" s="1">
        <f>IFERROR(__xludf.DUMMYFUNCTION("""COMPUTED_VALUE"""),4.62736062E8)</f>
        <v>462736062</v>
      </c>
      <c r="B145" s="1" t="str">
        <f>IFERROR(__xludf.DUMMYFUNCTION("""COMPUTED_VALUE"""),"STD NMAX NEW SMOKE 4MM")</f>
        <v>STD NMAX NEW SMOKE 4MM</v>
      </c>
    </row>
    <row r="146">
      <c r="A146" s="1">
        <f>IFERROR(__xludf.DUMMYFUNCTION("""COMPUTED_VALUE"""),7.72897551E8)</f>
        <v>772897551</v>
      </c>
      <c r="B146" s="1" t="str">
        <f>IFERROR(__xludf.DUMMYFUNCTION("""COMPUTED_VALUE"""),"STD NMAX OLD SMOKE 3MM")</f>
        <v>STD NMAX OLD SMOKE 3MM</v>
      </c>
    </row>
    <row r="147">
      <c r="A147" s="1">
        <f>IFERROR(__xludf.DUMMYFUNCTION("""COMPUTED_VALUE"""),2.0162315E8)</f>
        <v>201623150</v>
      </c>
      <c r="B147" s="1" t="str">
        <f>IFERROR(__xludf.DUMMYFUNCTION("""COMPUTED_VALUE"""),"STD NMAX OLD SMOKE 4MM")</f>
        <v>STD NMAX OLD SMOKE 4MM</v>
      </c>
    </row>
    <row r="148">
      <c r="A148" s="1">
        <f>IFERROR(__xludf.DUMMYFUNCTION("""COMPUTED_VALUE"""),3.60332279E8)</f>
        <v>360332279</v>
      </c>
      <c r="B148" s="1" t="str">
        <f>IFERROR(__xludf.DUMMYFUNCTION("""COMPUTED_VALUE"""),"STD NMAX NEW PEKAT 4MM")</f>
        <v>STD NMAX NEW PEKAT 4MM</v>
      </c>
    </row>
    <row r="149">
      <c r="A149" s="1">
        <f>IFERROR(__xludf.DUMMYFUNCTION("""COMPUTED_VALUE"""),8.66375971E8)</f>
        <v>866375971</v>
      </c>
      <c r="B149" s="1" t="str">
        <f>IFERROR(__xludf.DUMMYFUNCTION("""COMPUTED_VALUE"""),"STD NMAX NEW ICE BLUE 3MM")</f>
        <v>STD NMAX NEW ICE BLUE 3MM</v>
      </c>
    </row>
    <row r="150">
      <c r="A150" s="1">
        <f>IFERROR(__xludf.DUMMYFUNCTION("""COMPUTED_VALUE"""),5.34335864E8)</f>
        <v>534335864</v>
      </c>
      <c r="B150" s="1" t="str">
        <f>IFERROR(__xludf.DUMMYFUNCTION("""COMPUTED_VALUE"""),"STD NMAX OLD ICE BLUE 3MM")</f>
        <v>STD NMAX OLD ICE BLUE 3MM</v>
      </c>
    </row>
    <row r="151">
      <c r="A151" s="1">
        <f>IFERROR(__xludf.DUMMYFUNCTION("""COMPUTED_VALUE"""),7.99216613E8)</f>
        <v>799216613</v>
      </c>
      <c r="B151" s="1" t="str">
        <f>IFERROR(__xludf.DUMMYFUNCTION("""COMPUTED_VALUE"""),"STD NMAX OLD SMOKE MODEL NEW 3MM")</f>
        <v>STD NMAX OLD SMOKE MODEL NEW 3MM</v>
      </c>
    </row>
    <row r="152">
      <c r="A152" s="1">
        <f>IFERROR(__xludf.DUMMYFUNCTION("""COMPUTED_VALUE"""),9.12582259E8)</f>
        <v>912582259</v>
      </c>
      <c r="B152" s="1" t="str">
        <f>IFERROR(__xludf.DUMMYFUNCTION("""COMPUTED_VALUE"""),"STD NMAX OLD BENING MODEL NEW 3MM")</f>
        <v>STD NMAX OLD BENING MODEL NEW 3MM</v>
      </c>
    </row>
    <row r="153">
      <c r="A153" s="1">
        <f>IFERROR(__xludf.DUMMYFUNCTION("""COMPUTED_VALUE"""),5.55822448E8)</f>
        <v>555822448</v>
      </c>
      <c r="B153" s="1" t="str">
        <f>IFERROR(__xludf.DUMMYFUNCTION("""COMPUTED_VALUE"""),"STD NMAX OLD ICE BLUE MODEL NEW 3MM")</f>
        <v>STD NMAX OLD ICE BLUE MODEL NEW 3MM</v>
      </c>
    </row>
    <row r="154">
      <c r="A154" s="1">
        <f>IFERROR(__xludf.DUMMYFUNCTION("""COMPUTED_VALUE"""),8.01026015E8)</f>
        <v>801026015</v>
      </c>
      <c r="B154" s="1" t="str">
        <f>IFERROR(__xludf.DUMMYFUNCTION("""COMPUTED_VALUE"""),"STD NMAX OLD BENING MODEL NEW 4MM")</f>
        <v>STD NMAX OLD BENING MODEL NEW 4MM</v>
      </c>
    </row>
    <row r="155">
      <c r="A155" s="1">
        <f>IFERROR(__xludf.DUMMYFUNCTION("""COMPUTED_VALUE"""),5.21565998E8)</f>
        <v>521565998</v>
      </c>
      <c r="B155" s="1" t="str">
        <f>IFERROR(__xludf.DUMMYFUNCTION("""COMPUTED_VALUE"""),"STD NMAX OLD SMOKE MODEL NEW 4MM")</f>
        <v>STD NMAX OLD SMOKE MODEL NEW 4MM</v>
      </c>
    </row>
    <row r="156">
      <c r="A156" s="1">
        <f>IFERROR(__xludf.DUMMYFUNCTION("""COMPUTED_VALUE"""),6.37922841E8)</f>
        <v>637922841</v>
      </c>
      <c r="B156" s="1" t="str">
        <f>IFERROR(__xludf.DUMMYFUNCTION("""COMPUTED_VALUE"""),"NMAX TOURING TINGGI NEW BENING 4MM")</f>
        <v>NMAX TOURING TINGGI NEW BENING 4MM</v>
      </c>
    </row>
    <row r="157">
      <c r="A157" s="1">
        <f>IFERROR(__xludf.DUMMYFUNCTION("""COMPUTED_VALUE"""),6.81947312E8)</f>
        <v>681947312</v>
      </c>
      <c r="B157" s="1" t="str">
        <f>IFERROR(__xludf.DUMMYFUNCTION("""COMPUTED_VALUE"""),"NMAX TOURING TINGGI NEW SMOKE 4MM")</f>
        <v>NMAX TOURING TINGGI NEW SMOKE 4MM</v>
      </c>
    </row>
    <row r="158">
      <c r="A158" s="1">
        <f>IFERROR(__xludf.DUMMYFUNCTION("""COMPUTED_VALUE"""),4.9245888E8)</f>
        <v>492458880</v>
      </c>
      <c r="B158" s="1" t="str">
        <f>IFERROR(__xludf.DUMMYFUNCTION("""COMPUTED_VALUE"""),"NMAX TOURING TINGGI NEW PEKAT 4MM")</f>
        <v>NMAX TOURING TINGGI NEW PEKAT 4MM</v>
      </c>
    </row>
    <row r="159">
      <c r="A159" s="1">
        <f>IFERROR(__xludf.DUMMYFUNCTION("""COMPUTED_VALUE"""),6.57398982E8)</f>
        <v>657398982</v>
      </c>
      <c r="B159" s="1" t="str">
        <f>IFERROR(__xludf.DUMMYFUNCTION("""COMPUTED_VALUE"""),"STD NMAX NEW CYBORG BENING 2.5MM")</f>
        <v>STD NMAX NEW CYBORG BENING 2.5MM</v>
      </c>
    </row>
    <row r="160">
      <c r="A160" s="1">
        <f>IFERROR(__xludf.DUMMYFUNCTION("""COMPUTED_VALUE"""),8.11384528E8)</f>
        <v>811384528</v>
      </c>
      <c r="B160" s="1" t="str">
        <f>IFERROR(__xludf.DUMMYFUNCTION("""COMPUTED_VALUE"""),"STD NMAX NEW CYBORG BENING 3MM")</f>
        <v>STD NMAX NEW CYBORG BENING 3MM</v>
      </c>
    </row>
    <row r="161">
      <c r="A161" s="1">
        <f>IFERROR(__xludf.DUMMYFUNCTION("""COMPUTED_VALUE"""),5.82688898E8)</f>
        <v>582688898</v>
      </c>
      <c r="B161" s="1" t="str">
        <f>IFERROR(__xludf.DUMMYFUNCTION("""COMPUTED_VALUE"""),"STD NMAX NEW CYBORG BENING 4MM")</f>
        <v>STD NMAX NEW CYBORG BENING 4MM</v>
      </c>
    </row>
    <row r="162">
      <c r="A162" s="1">
        <f>IFERROR(__xludf.DUMMYFUNCTION("""COMPUTED_VALUE"""),1.04462878E8)</f>
        <v>104462878</v>
      </c>
      <c r="B162" s="1" t="str">
        <f>IFERROR(__xludf.DUMMYFUNCTION("""COMPUTED_VALUE"""),"STD NMAX NEW CYBORG SMOKE 3MM")</f>
        <v>STD NMAX NEW CYBORG SMOKE 3MM</v>
      </c>
    </row>
    <row r="163">
      <c r="A163" s="1">
        <f>IFERROR(__xludf.DUMMYFUNCTION("""COMPUTED_VALUE"""),7.64654491E8)</f>
        <v>764654491</v>
      </c>
      <c r="B163" s="1" t="str">
        <f>IFERROR(__xludf.DUMMYFUNCTION("""COMPUTED_VALUE"""),"STD NMAX NEW CYBORG SMOKE 4MM")</f>
        <v>STD NMAX NEW CYBORG SMOKE 4MM</v>
      </c>
    </row>
    <row r="164">
      <c r="A164" s="1">
        <f>IFERROR(__xludf.DUMMYFUNCTION("""COMPUTED_VALUE"""),5.95380123E8)</f>
        <v>595380123</v>
      </c>
      <c r="B164" s="1" t="str">
        <f>IFERROR(__xludf.DUMMYFUNCTION("""COMPUTED_VALUE"""),"STD NMAX OLD CYBORG BENING 3MM")</f>
        <v>STD NMAX OLD CYBORG BENING 3MM</v>
      </c>
    </row>
    <row r="165">
      <c r="A165" s="1">
        <f>IFERROR(__xludf.DUMMYFUNCTION("""COMPUTED_VALUE"""),3.83602956E8)</f>
        <v>383602956</v>
      </c>
      <c r="B165" s="1" t="str">
        <f>IFERROR(__xludf.DUMMYFUNCTION("""COMPUTED_VALUE"""),"STD NMAX OLD CYBORG BENING 4MM")</f>
        <v>STD NMAX OLD CYBORG BENING 4MM</v>
      </c>
    </row>
    <row r="166">
      <c r="A166" s="1">
        <f>IFERROR(__xludf.DUMMYFUNCTION("""COMPUTED_VALUE"""),4.33299752E8)</f>
        <v>433299752</v>
      </c>
      <c r="B166" s="1" t="str">
        <f>IFERROR(__xludf.DUMMYFUNCTION("""COMPUTED_VALUE"""),"STD NMAX OLD CYBORG SMOKE 3MM")</f>
        <v>STD NMAX OLD CYBORG SMOKE 3MM</v>
      </c>
    </row>
    <row r="167">
      <c r="A167" s="1">
        <f>IFERROR(__xludf.DUMMYFUNCTION("""COMPUTED_VALUE"""),9.93640952E8)</f>
        <v>993640952</v>
      </c>
      <c r="B167" s="1" t="str">
        <f>IFERROR(__xludf.DUMMYFUNCTION("""COMPUTED_VALUE"""),"STD NMAX OLD CYBORG SMOKE 4MM")</f>
        <v>STD NMAX OLD CYBORG SMOKE 4MM</v>
      </c>
    </row>
    <row r="168">
      <c r="A168" s="1">
        <f>IFERROR(__xludf.DUMMYFUNCTION("""COMPUTED_VALUE"""),3.95292646E8)</f>
        <v>395292646</v>
      </c>
      <c r="B168" s="1" t="str">
        <f>IFERROR(__xludf.DUMMYFUNCTION("""COMPUTED_VALUE"""),"STD NMAX TURBO CYBORG BENING 3MM")</f>
        <v>STD NMAX TURBO CYBORG BENING 3MM</v>
      </c>
    </row>
    <row r="169">
      <c r="A169" s="1">
        <f>IFERROR(__xludf.DUMMYFUNCTION("""COMPUTED_VALUE"""),3.67658049E8)</f>
        <v>367658049</v>
      </c>
      <c r="B169" s="1" t="str">
        <f>IFERROR(__xludf.DUMMYFUNCTION("""COMPUTED_VALUE"""),"STD NMAX TURBO CYBORG BENING 4MM")</f>
        <v>STD NMAX TURBO CYBORG BENING 4MM</v>
      </c>
    </row>
    <row r="170">
      <c r="A170" s="1">
        <f>IFERROR(__xludf.DUMMYFUNCTION("""COMPUTED_VALUE"""),9.4258254E8)</f>
        <v>942582540</v>
      </c>
      <c r="B170" s="1" t="str">
        <f>IFERROR(__xludf.DUMMYFUNCTION("""COMPUTED_VALUE"""),"STD NMAX TURBO CYBORG SMOKE 3MM")</f>
        <v>STD NMAX TURBO CYBORG SMOKE 3MM</v>
      </c>
    </row>
    <row r="171">
      <c r="A171" s="1">
        <f>IFERROR(__xludf.DUMMYFUNCTION("""COMPUTED_VALUE"""),1.96802477E8)</f>
        <v>196802477</v>
      </c>
      <c r="B171" s="1" t="str">
        <f>IFERROR(__xludf.DUMMYFUNCTION("""COMPUTED_VALUE"""),"STD NMAX TURBO CYBORG SMOKE 4MM")</f>
        <v>STD NMAX TURBO CYBORG SMOKE 4MM</v>
      </c>
    </row>
    <row r="172">
      <c r="A172" s="1">
        <f>IFERROR(__xludf.DUMMYFUNCTION("""COMPUTED_VALUE"""),7.34287982E8)</f>
        <v>734287982</v>
      </c>
      <c r="B172" s="1" t="str">
        <f>IFERROR(__xludf.DUMMYFUNCTION("""COMPUTED_VALUE"""),"STD NMAX TURBO SIRIP BENING 3MM")</f>
        <v>STD NMAX TURBO SIRIP BENING 3MM</v>
      </c>
    </row>
    <row r="173">
      <c r="A173" s="1">
        <f>IFERROR(__xludf.DUMMYFUNCTION("""COMPUTED_VALUE"""),4.46873742E8)</f>
        <v>446873742</v>
      </c>
      <c r="B173" s="1" t="str">
        <f>IFERROR(__xludf.DUMMYFUNCTION("""COMPUTED_VALUE"""),"STD NMAX TURBO SIRIP BENING 4MM")</f>
        <v>STD NMAX TURBO SIRIP BENING 4MM</v>
      </c>
    </row>
    <row r="174">
      <c r="A174" s="1">
        <f>IFERROR(__xludf.DUMMYFUNCTION("""COMPUTED_VALUE"""),2.92292478E8)</f>
        <v>292292478</v>
      </c>
      <c r="B174" s="1" t="str">
        <f>IFERROR(__xludf.DUMMYFUNCTION("""COMPUTED_VALUE"""),"STD NMAX TURBO SIRIP SMOKE 3MM")</f>
        <v>STD NMAX TURBO SIRIP SMOKE 3MM</v>
      </c>
    </row>
    <row r="175">
      <c r="A175" s="1">
        <f>IFERROR(__xludf.DUMMYFUNCTION("""COMPUTED_VALUE"""),7.57277102E8)</f>
        <v>757277102</v>
      </c>
      <c r="B175" s="1" t="str">
        <f>IFERROR(__xludf.DUMMYFUNCTION("""COMPUTED_VALUE"""),"STD NMAX TURBO SIRIP SMOKE 4MM")</f>
        <v>STD NMAX TURBO SIRIP SMOKE 4MM</v>
      </c>
    </row>
    <row r="176">
      <c r="A176" s="1">
        <f>IFERROR(__xludf.DUMMYFUNCTION("""COMPUTED_VALUE"""),2.3077592E8)</f>
        <v>230775920</v>
      </c>
      <c r="B176" s="1" t="str">
        <f>IFERROR(__xludf.DUMMYFUNCTION("""COMPUTED_VALUE"""),"NMAX TURBO BUBBLE BENING 3MM")</f>
        <v>NMAX TURBO BUBBLE BENING 3MM</v>
      </c>
    </row>
    <row r="177">
      <c r="A177" s="1">
        <f>IFERROR(__xludf.DUMMYFUNCTION("""COMPUTED_VALUE"""),9.00939776E8)</f>
        <v>900939776</v>
      </c>
      <c r="B177" s="1" t="str">
        <f>IFERROR(__xludf.DUMMYFUNCTION("""COMPUTED_VALUE"""),"NMAX TURBO BUBBLE BENING 4MM")</f>
        <v>NMAX TURBO BUBBLE BENING 4MM</v>
      </c>
    </row>
    <row r="178">
      <c r="A178" s="1">
        <f>IFERROR(__xludf.DUMMYFUNCTION("""COMPUTED_VALUE"""),5.73368167E8)</f>
        <v>573368167</v>
      </c>
      <c r="B178" s="1" t="str">
        <f>IFERROR(__xludf.DUMMYFUNCTION("""COMPUTED_VALUE"""),"NMAX TURBO BUBBLE SMOKE 3MM")</f>
        <v>NMAX TURBO BUBBLE SMOKE 3MM</v>
      </c>
    </row>
    <row r="179">
      <c r="A179" s="1">
        <f>IFERROR(__xludf.DUMMYFUNCTION("""COMPUTED_VALUE"""),4.01454504E8)</f>
        <v>401454504</v>
      </c>
      <c r="B179" s="1" t="str">
        <f>IFERROR(__xludf.DUMMYFUNCTION("""COMPUTED_VALUE"""),"NMAX TURBO BUBBLE SMOKE 4MM")</f>
        <v>NMAX TURBO BUBBLE SMOKE 4MM</v>
      </c>
    </row>
    <row r="180">
      <c r="A180" s="1">
        <f>IFERROR(__xludf.DUMMYFUNCTION("""COMPUTED_VALUE"""),8.6608678E8)</f>
        <v>866086780</v>
      </c>
      <c r="B180" s="1" t="str">
        <f>IFERROR(__xludf.DUMMYFUNCTION("""COMPUTED_VALUE"""),"NMAX TURBO OCITO 4 BENING 3MM")</f>
        <v>NMAX TURBO OCITO 4 BENING 3MM</v>
      </c>
    </row>
    <row r="181">
      <c r="A181" s="1">
        <f>IFERROR(__xludf.DUMMYFUNCTION("""COMPUTED_VALUE"""),6.27219076E8)</f>
        <v>627219076</v>
      </c>
      <c r="B181" s="1" t="str">
        <f>IFERROR(__xludf.DUMMYFUNCTION("""COMPUTED_VALUE"""),"NMAX TURBO OCITO 4 BENING 4MM")</f>
        <v>NMAX TURBO OCITO 4 BENING 4MM</v>
      </c>
    </row>
    <row r="182">
      <c r="A182" s="1">
        <f>IFERROR(__xludf.DUMMYFUNCTION("""COMPUTED_VALUE"""),5.41240605E8)</f>
        <v>541240605</v>
      </c>
      <c r="B182" s="1" t="str">
        <f>IFERROR(__xludf.DUMMYFUNCTION("""COMPUTED_VALUE"""),"NMAX TURBO OCITO 4 SMOKE 3MM")</f>
        <v>NMAX TURBO OCITO 4 SMOKE 3MM</v>
      </c>
    </row>
    <row r="183">
      <c r="A183" s="1">
        <f>IFERROR(__xludf.DUMMYFUNCTION("""COMPUTED_VALUE"""),7.43100264E8)</f>
        <v>743100264</v>
      </c>
      <c r="B183" s="1" t="str">
        <f>IFERROR(__xludf.DUMMYFUNCTION("""COMPUTED_VALUE"""),"NMAX TURBO OCITO 4 SMOKE 4MM")</f>
        <v>NMAX TURBO OCITO 4 SMOKE 4MM</v>
      </c>
    </row>
    <row r="184">
      <c r="A184" s="1">
        <f>IFERROR(__xludf.DUMMYFUNCTION("""COMPUTED_VALUE"""),5.59104647E8)</f>
        <v>559104647</v>
      </c>
      <c r="B184" s="1" t="str">
        <f>IFERROR(__xludf.DUMMYFUNCTION("""COMPUTED_VALUE"""),"STD NMAX TURBO MINI CYBORG BENING 3MM")</f>
        <v>STD NMAX TURBO MINI CYBORG BENING 3MM</v>
      </c>
    </row>
    <row r="185">
      <c r="A185" s="1">
        <f>IFERROR(__xludf.DUMMYFUNCTION("""COMPUTED_VALUE"""),9.33786047E8)</f>
        <v>933786047</v>
      </c>
      <c r="B185" s="1" t="str">
        <f>IFERROR(__xludf.DUMMYFUNCTION("""COMPUTED_VALUE"""),"STD NMAX TURBO MINI CYBORG BENING 4MM")</f>
        <v>STD NMAX TURBO MINI CYBORG BENING 4MM</v>
      </c>
    </row>
    <row r="186">
      <c r="A186" s="1">
        <f>IFERROR(__xludf.DUMMYFUNCTION("""COMPUTED_VALUE"""),3.52598325E8)</f>
        <v>352598325</v>
      </c>
      <c r="B186" s="1" t="str">
        <f>IFERROR(__xludf.DUMMYFUNCTION("""COMPUTED_VALUE"""),"STD NMAX TURBO MINI CYBORG SMOKE 3MM")</f>
        <v>STD NMAX TURBO MINI CYBORG SMOKE 3MM</v>
      </c>
    </row>
    <row r="187">
      <c r="A187" s="1">
        <f>IFERROR(__xludf.DUMMYFUNCTION("""COMPUTED_VALUE"""),3.44650909E8)</f>
        <v>344650909</v>
      </c>
      <c r="B187" s="1" t="str">
        <f>IFERROR(__xludf.DUMMYFUNCTION("""COMPUTED_VALUE"""),"STD NMAX TURBO MINI CYBORG SMOKE 4MM")</f>
        <v>STD NMAX TURBO MINI CYBORG SMOKE 4MM</v>
      </c>
    </row>
    <row r="188">
      <c r="A188" s="1">
        <f>IFERROR(__xludf.DUMMYFUNCTION("""COMPUTED_VALUE"""),7.73266813E8)</f>
        <v>773266813</v>
      </c>
      <c r="B188" s="1" t="str">
        <f>IFERROR(__xludf.DUMMYFUNCTION("""COMPUTED_VALUE"""),"NMAX TURBO V2 POLOS BENING 3MM")</f>
        <v>NMAX TURBO V2 POLOS BENING 3MM</v>
      </c>
    </row>
    <row r="189">
      <c r="A189" s="1">
        <f>IFERROR(__xludf.DUMMYFUNCTION("""COMPUTED_VALUE"""),5.91964053E8)</f>
        <v>591964053</v>
      </c>
      <c r="B189" s="1" t="str">
        <f>IFERROR(__xludf.DUMMYFUNCTION("""COMPUTED_VALUE"""),"NMAX TURBO V2 POLOS SMOKE 3MM")</f>
        <v>NMAX TURBO V2 POLOS SMOKE 3MM</v>
      </c>
    </row>
    <row r="190">
      <c r="A190" s="1">
        <f>IFERROR(__xludf.DUMMYFUNCTION("""COMPUTED_VALUE"""),3.48573481E8)</f>
        <v>348573481</v>
      </c>
      <c r="B190" s="1" t="str">
        <f>IFERROR(__xludf.DUMMYFUNCTION("""COMPUTED_VALUE"""),"NMAX TURBO V2 CYBORG BENING 3MM")</f>
        <v>NMAX TURBO V2 CYBORG BENING 3MM</v>
      </c>
    </row>
    <row r="191">
      <c r="A191" s="1">
        <f>IFERROR(__xludf.DUMMYFUNCTION("""COMPUTED_VALUE"""),1.22030471E8)</f>
        <v>122030471</v>
      </c>
      <c r="B191" s="1" t="str">
        <f>IFERROR(__xludf.DUMMYFUNCTION("""COMPUTED_VALUE"""),"NMAX TURBO V2 CYBORG SMOKE 3MM")</f>
        <v>NMAX TURBO V2 CYBORG SMOKE 3MM</v>
      </c>
    </row>
    <row r="192">
      <c r="A192" s="1">
        <f>IFERROR(__xludf.DUMMYFUNCTION("""COMPUTED_VALUE"""),7.067579E8)</f>
        <v>706757900</v>
      </c>
      <c r="B192" s="1" t="str">
        <f>IFERROR(__xludf.DUMMYFUNCTION("""COMPUTED_VALUE"""),"NMAX TURBO V5 SIRIP BENING 3MM")</f>
        <v>NMAX TURBO V5 SIRIP BENING 3MM</v>
      </c>
    </row>
    <row r="193">
      <c r="A193" s="1">
        <f>IFERROR(__xludf.DUMMYFUNCTION("""COMPUTED_VALUE"""),3.56038869E8)</f>
        <v>356038869</v>
      </c>
      <c r="B193" s="1" t="str">
        <f>IFERROR(__xludf.DUMMYFUNCTION("""COMPUTED_VALUE"""),"NMAX TURBO V5 SIRIP SMOKE 3MM")</f>
        <v>NMAX TURBO V5 SIRIP SMOKE 3MM</v>
      </c>
    </row>
    <row r="194">
      <c r="A194" s="1">
        <f>IFERROR(__xludf.DUMMYFUNCTION("""COMPUTED_VALUE"""),2.77365491E8)</f>
        <v>277365491</v>
      </c>
      <c r="B194" s="1" t="str">
        <f>IFERROR(__xludf.DUMMYFUNCTION("""COMPUTED_VALUE"""),"NMAX TURBO V7 BENING 3MM")</f>
        <v>NMAX TURBO V7 BENING 3MM</v>
      </c>
    </row>
    <row r="195">
      <c r="A195" s="1">
        <f>IFERROR(__xludf.DUMMYFUNCTION("""COMPUTED_VALUE"""),5.3143621E8)</f>
        <v>531436210</v>
      </c>
      <c r="B195" s="1" t="str">
        <f>IFERROR(__xludf.DUMMYFUNCTION("""COMPUTED_VALUE"""),"NMAX TURBO V7 SMOKE 3MM")</f>
        <v>NMAX TURBO V7 SMOKE 3MM</v>
      </c>
    </row>
    <row r="196">
      <c r="A196" s="1">
        <f>IFERROR(__xludf.DUMMYFUNCTION("""COMPUTED_VALUE"""),5.52078083E8)</f>
        <v>552078083</v>
      </c>
      <c r="B196" s="1" t="str">
        <f>IFERROR(__xludf.DUMMYFUNCTION("""COMPUTED_VALUE"""),"NMAX TURBO TOURING VENTUS BENING 3MM")</f>
        <v>NMAX TURBO TOURING VENTUS BENING 3MM</v>
      </c>
    </row>
    <row r="197">
      <c r="A197" s="1">
        <f>IFERROR(__xludf.DUMMYFUNCTION("""COMPUTED_VALUE"""),3.85450388E8)</f>
        <v>385450388</v>
      </c>
      <c r="B197" s="1" t="str">
        <f>IFERROR(__xludf.DUMMYFUNCTION("""COMPUTED_VALUE"""),"NMAX TURBO TOURING VENTUS SMOKE 3MM")</f>
        <v>NMAX TURBO TOURING VENTUS SMOKE 3MM</v>
      </c>
    </row>
    <row r="198">
      <c r="A198" s="1">
        <f>IFERROR(__xludf.DUMMYFUNCTION("""COMPUTED_VALUE"""),1.94997936E8)</f>
        <v>194997936</v>
      </c>
      <c r="B198" s="1" t="str">
        <f>IFERROR(__xludf.DUMMYFUNCTION("""COMPUTED_VALUE"""),"NMAX TURBO TOURING LUXAS BENING 3MM")</f>
        <v>NMAX TURBO TOURING LUXAS BENING 3MM</v>
      </c>
    </row>
    <row r="199">
      <c r="A199" s="1">
        <f>IFERROR(__xludf.DUMMYFUNCTION("""COMPUTED_VALUE"""),9.4939938E8)</f>
        <v>949399380</v>
      </c>
      <c r="B199" s="1" t="str">
        <f>IFERROR(__xludf.DUMMYFUNCTION("""COMPUTED_VALUE"""),"NMAX TURBO TOURING LUXAS SMOKE 3MM")</f>
        <v>NMAX TURBO TOURING LUXAS SMOKE 3MM</v>
      </c>
    </row>
    <row r="200">
      <c r="A200" s="1">
        <f>IFERROR(__xludf.DUMMYFUNCTION("""COMPUTED_VALUE"""),5.87219951E8)</f>
        <v>587219951</v>
      </c>
      <c r="B200" s="1" t="str">
        <f>IFERROR(__xludf.DUMMYFUNCTION("""COMPUTED_VALUE"""),"OCITO NEW BENING 2MM")</f>
        <v>OCITO NEW BENING 2MM</v>
      </c>
    </row>
    <row r="201">
      <c r="A201" s="1">
        <f>IFERROR(__xludf.DUMMYFUNCTION("""COMPUTED_VALUE"""),3.11854753E8)</f>
        <v>311854753</v>
      </c>
      <c r="B201" s="1" t="str">
        <f>IFERROR(__xludf.DUMMYFUNCTION("""COMPUTED_VALUE"""),"OCITO OLD BENING 2MM")</f>
        <v>OCITO OLD BENING 2MM</v>
      </c>
    </row>
    <row r="202">
      <c r="A202" s="1">
        <f>IFERROR(__xludf.DUMMYFUNCTION("""COMPUTED_VALUE"""),6.35218143E8)</f>
        <v>635218143</v>
      </c>
      <c r="B202" s="1" t="str">
        <f>IFERROR(__xludf.DUMMYFUNCTION("""COMPUTED_VALUE"""),"OCITO NEW SMOKE 2MM")</f>
        <v>OCITO NEW SMOKE 2MM</v>
      </c>
    </row>
    <row r="203">
      <c r="A203" s="1">
        <f>IFERROR(__xludf.DUMMYFUNCTION("""COMPUTED_VALUE"""),3.14262752E8)</f>
        <v>314262752</v>
      </c>
      <c r="B203" s="1" t="str">
        <f>IFERROR(__xludf.DUMMYFUNCTION("""COMPUTED_VALUE"""),"OCITO OLD SMOKE 2MM")</f>
        <v>OCITO OLD SMOKE 2MM</v>
      </c>
    </row>
    <row r="204">
      <c r="A204" s="1">
        <f>IFERROR(__xludf.DUMMYFUNCTION("""COMPUTED_VALUE"""),2.96818831E8)</f>
        <v>296818831</v>
      </c>
      <c r="B204" s="1" t="str">
        <f>IFERROR(__xludf.DUMMYFUNCTION("""COMPUTED_VALUE"""),"SECTBIL NMAX NEW BENING 2MM")</f>
        <v>SECTBIL NMAX NEW BENING 2MM</v>
      </c>
    </row>
    <row r="205">
      <c r="A205" s="1">
        <f>IFERROR(__xludf.DUMMYFUNCTION("""COMPUTED_VALUE"""),8.51726684E8)</f>
        <v>851726684</v>
      </c>
      <c r="B205" s="1" t="str">
        <f>IFERROR(__xludf.DUMMYFUNCTION("""COMPUTED_VALUE"""),"SECTBIL NMAX OLD BENING 2MM")</f>
        <v>SECTBIL NMAX OLD BENING 2MM</v>
      </c>
    </row>
    <row r="206">
      <c r="A206" s="1">
        <f>IFERROR(__xludf.DUMMYFUNCTION("""COMPUTED_VALUE"""),5.63871895E8)</f>
        <v>563871895</v>
      </c>
      <c r="B206" s="1" t="str">
        <f>IFERROR(__xludf.DUMMYFUNCTION("""COMPUTED_VALUE"""),"SECTBIL NMAX NEW SMOKE 2MM")</f>
        <v>SECTBIL NMAX NEW SMOKE 2MM</v>
      </c>
    </row>
    <row r="207">
      <c r="A207" s="1">
        <f>IFERROR(__xludf.DUMMYFUNCTION("""COMPUTED_VALUE"""),1.33239198E8)</f>
        <v>133239198</v>
      </c>
      <c r="B207" s="1" t="str">
        <f>IFERROR(__xludf.DUMMYFUNCTION("""COMPUTED_VALUE"""),"SECTBIL NMAX OLD SMOKE 2MM")</f>
        <v>SECTBIL NMAX OLD SMOKE 2MM</v>
      </c>
    </row>
    <row r="208">
      <c r="A208" s="1">
        <f>IFERROR(__xludf.DUMMYFUNCTION("""COMPUTED_VALUE"""),6.67858959E8)</f>
        <v>667858959</v>
      </c>
      <c r="B208" s="1" t="str">
        <f>IFERROR(__xludf.DUMMYFUNCTION("""COMPUTED_VALUE"""),"TDR NEW BENING 2MM")</f>
        <v>TDR NEW BENING 2MM</v>
      </c>
    </row>
    <row r="209">
      <c r="A209" s="1">
        <f>IFERROR(__xludf.DUMMYFUNCTION("""COMPUTED_VALUE"""),7.19365496E8)</f>
        <v>719365496</v>
      </c>
      <c r="B209" s="1" t="str">
        <f>IFERROR(__xludf.DUMMYFUNCTION("""COMPUTED_VALUE"""),"TDR OLD BENING 2MM")</f>
        <v>TDR OLD BENING 2MM</v>
      </c>
    </row>
    <row r="210">
      <c r="A210" s="1">
        <f>IFERROR(__xludf.DUMMYFUNCTION("""COMPUTED_VALUE"""),4.24377458E8)</f>
        <v>424377458</v>
      </c>
      <c r="B210" s="1" t="str">
        <f>IFERROR(__xludf.DUMMYFUNCTION("""COMPUTED_VALUE"""),"TDR NEW SMOKE 2MM")</f>
        <v>TDR NEW SMOKE 2MM</v>
      </c>
    </row>
    <row r="211">
      <c r="A211" s="1">
        <f>IFERROR(__xludf.DUMMYFUNCTION("""COMPUTED_VALUE"""),6.46279417E8)</f>
        <v>646279417</v>
      </c>
      <c r="B211" s="1" t="str">
        <f>IFERROR(__xludf.DUMMYFUNCTION("""COMPUTED_VALUE"""),"TDR OLD SMOKE 2MM")</f>
        <v>TDR OLD SMOKE 2MM</v>
      </c>
    </row>
    <row r="212">
      <c r="A212" s="1">
        <f>IFERROR(__xludf.DUMMYFUNCTION("""COMPUTED_VALUE"""),5.53513212E8)</f>
        <v>553513212</v>
      </c>
      <c r="B212" s="1" t="str">
        <f>IFERROR(__xludf.DUMMYFUNCTION("""COMPUTED_VALUE"""),"TDR NEW PEKAT 2MM")</f>
        <v>TDR NEW PEKAT 2MM</v>
      </c>
    </row>
    <row r="213">
      <c r="A213" s="1">
        <f>IFERROR(__xludf.DUMMYFUNCTION("""COMPUTED_VALUE"""),1.81814694E8)</f>
        <v>181814694</v>
      </c>
      <c r="B213" s="1" t="str">
        <f>IFERROR(__xludf.DUMMYFUNCTION("""COMPUTED_VALUE"""),"TDR OLD PEKAT 2MM")</f>
        <v>TDR OLD PEKAT 2MM</v>
      </c>
    </row>
    <row r="214">
      <c r="A214" s="1">
        <f>IFERROR(__xludf.DUMMYFUNCTION("""COMPUTED_VALUE"""),7.69944881E8)</f>
        <v>769944881</v>
      </c>
      <c r="B214" s="1" t="str">
        <f>IFERROR(__xludf.DUMMYFUNCTION("""COMPUTED_VALUE"""),"TDR NEW ICE BLUE 2MM")</f>
        <v>TDR NEW ICE BLUE 2MM</v>
      </c>
    </row>
    <row r="215">
      <c r="A215" s="1">
        <f>IFERROR(__xludf.DUMMYFUNCTION("""COMPUTED_VALUE"""),7.24286283E8)</f>
        <v>724286283</v>
      </c>
      <c r="B215" s="1" t="str">
        <f>IFERROR(__xludf.DUMMYFUNCTION("""COMPUTED_VALUE"""),"TDR OLD ICE BLUE 2MM")</f>
        <v>TDR OLD ICE BLUE 2MM</v>
      </c>
    </row>
    <row r="216">
      <c r="A216" s="1">
        <f>IFERROR(__xludf.DUMMYFUNCTION("""COMPUTED_VALUE"""),1.50753944E8)</f>
        <v>150753944</v>
      </c>
      <c r="B216" s="1" t="str">
        <f>IFERROR(__xludf.DUMMYFUNCTION("""COMPUTED_VALUE"""),"TDR SIRIP OLD BENING 3MM")</f>
        <v>TDR SIRIP OLD BENING 3MM</v>
      </c>
    </row>
    <row r="217">
      <c r="A217" s="1">
        <f>IFERROR(__xludf.DUMMYFUNCTION("""COMPUTED_VALUE"""),2.70029954E8)</f>
        <v>270029954</v>
      </c>
      <c r="B217" s="1" t="str">
        <f>IFERROR(__xludf.DUMMYFUNCTION("""COMPUTED_VALUE"""),"TDR SIRIP NEW SMOKE 3MM")</f>
        <v>TDR SIRIP NEW SMOKE 3MM</v>
      </c>
    </row>
    <row r="218">
      <c r="A218" s="1">
        <f>IFERROR(__xludf.DUMMYFUNCTION("""COMPUTED_VALUE"""),9.62673085E8)</f>
        <v>962673085</v>
      </c>
      <c r="B218" s="1" t="str">
        <f>IFERROR(__xludf.DUMMYFUNCTION("""COMPUTED_VALUE"""),"OCITO 1 NEW BENING 3MM")</f>
        <v>OCITO 1 NEW BENING 3MM</v>
      </c>
    </row>
    <row r="219">
      <c r="A219" s="1">
        <f>IFERROR(__xludf.DUMMYFUNCTION("""COMPUTED_VALUE"""),9.36749E8)</f>
        <v>936749000</v>
      </c>
      <c r="B219" s="1" t="str">
        <f>IFERROR(__xludf.DUMMYFUNCTION("""COMPUTED_VALUE"""),"OCITO 1 OLD BENING 3MM")</f>
        <v>OCITO 1 OLD BENING 3MM</v>
      </c>
    </row>
    <row r="220">
      <c r="A220" s="1">
        <f>IFERROR(__xludf.DUMMYFUNCTION("""COMPUTED_VALUE"""),3.96046626E8)</f>
        <v>396046626</v>
      </c>
      <c r="B220" s="1" t="str">
        <f>IFERROR(__xludf.DUMMYFUNCTION("""COMPUTED_VALUE"""),"OCITO 1 NEW SMOKE 3MM")</f>
        <v>OCITO 1 NEW SMOKE 3MM</v>
      </c>
    </row>
    <row r="221">
      <c r="A221" s="1">
        <f>IFERROR(__xludf.DUMMYFUNCTION("""COMPUTED_VALUE"""),7.819496E8)</f>
        <v>781949600</v>
      </c>
      <c r="B221" s="1" t="str">
        <f>IFERROR(__xludf.DUMMYFUNCTION("""COMPUTED_VALUE"""),"OCITO 1 OLD SMOKE 3MM")</f>
        <v>OCITO 1 OLD SMOKE 3MM</v>
      </c>
    </row>
    <row r="222">
      <c r="A222" s="1">
        <f>IFERROR(__xludf.DUMMYFUNCTION("""COMPUTED_VALUE"""),5.00649767E8)</f>
        <v>500649767</v>
      </c>
      <c r="B222" s="1" t="str">
        <f>IFERROR(__xludf.DUMMYFUNCTION("""COMPUTED_VALUE"""),"OCITO 4 NEW BENING 3MM")</f>
        <v>OCITO 4 NEW BENING 3MM</v>
      </c>
    </row>
    <row r="223">
      <c r="A223" s="1">
        <f>IFERROR(__xludf.DUMMYFUNCTION("""COMPUTED_VALUE"""),8.6523308E8)</f>
        <v>865233080</v>
      </c>
      <c r="B223" s="1" t="str">
        <f>IFERROR(__xludf.DUMMYFUNCTION("""COMPUTED_VALUE"""),"OCITO 4 OLD BENING 3MM")</f>
        <v>OCITO 4 OLD BENING 3MM</v>
      </c>
    </row>
    <row r="224">
      <c r="A224" s="1">
        <f>IFERROR(__xludf.DUMMYFUNCTION("""COMPUTED_VALUE"""),8.84347801E8)</f>
        <v>884347801</v>
      </c>
      <c r="B224" s="1" t="str">
        <f>IFERROR(__xludf.DUMMYFUNCTION("""COMPUTED_VALUE"""),"OCITO 4 NEW SMOKE 3MM")</f>
        <v>OCITO 4 NEW SMOKE 3MM</v>
      </c>
    </row>
    <row r="225">
      <c r="A225" s="1">
        <f>IFERROR(__xludf.DUMMYFUNCTION("""COMPUTED_VALUE"""),3.16480287E8)</f>
        <v>316480287</v>
      </c>
      <c r="B225" s="1" t="str">
        <f>IFERROR(__xludf.DUMMYFUNCTION("""COMPUTED_VALUE"""),"OCITO 4 OLD SMOKE 3MM")</f>
        <v>OCITO 4 OLD SMOKE 3MM</v>
      </c>
    </row>
    <row r="226">
      <c r="A226" s="1">
        <f>IFERROR(__xludf.DUMMYFUNCTION("""COMPUTED_VALUE"""),9.53471906E8)</f>
        <v>953471906</v>
      </c>
      <c r="B226" s="1" t="str">
        <f>IFERROR(__xludf.DUMMYFUNCTION("""COMPUTED_VALUE"""),"OCITO 4 NEW ICE BLUE 3MM")</f>
        <v>OCITO 4 NEW ICE BLUE 3MM</v>
      </c>
    </row>
    <row r="227">
      <c r="A227" s="1">
        <f>IFERROR(__xludf.DUMMYFUNCTION("""COMPUTED_VALUE"""),8.43352544E8)</f>
        <v>843352544</v>
      </c>
      <c r="B227" s="1" t="str">
        <f>IFERROR(__xludf.DUMMYFUNCTION("""COMPUTED_VALUE"""),"THAILAND NMAX NEW BENING 3MM")</f>
        <v>THAILAND NMAX NEW BENING 3MM</v>
      </c>
    </row>
    <row r="228">
      <c r="A228" s="1">
        <f>IFERROR(__xludf.DUMMYFUNCTION("""COMPUTED_VALUE"""),9.77853322E8)</f>
        <v>977853322</v>
      </c>
      <c r="B228" s="1" t="str">
        <f>IFERROR(__xludf.DUMMYFUNCTION("""COMPUTED_VALUE"""),"THAILAND NMAX NEW BENING 4MM")</f>
        <v>THAILAND NMAX NEW BENING 4MM</v>
      </c>
    </row>
    <row r="229">
      <c r="A229" s="1">
        <f>IFERROR(__xludf.DUMMYFUNCTION("""COMPUTED_VALUE"""),2.99974597E8)</f>
        <v>299974597</v>
      </c>
      <c r="B229" s="1" t="str">
        <f>IFERROR(__xludf.DUMMYFUNCTION("""COMPUTED_VALUE"""),"THAILAND NMAX OLD BENING 3MM")</f>
        <v>THAILAND NMAX OLD BENING 3MM</v>
      </c>
    </row>
    <row r="230">
      <c r="A230" s="1">
        <f>IFERROR(__xludf.DUMMYFUNCTION("""COMPUTED_VALUE"""),7.5359379E8)</f>
        <v>753593790</v>
      </c>
      <c r="B230" s="1" t="str">
        <f>IFERROR(__xludf.DUMMYFUNCTION("""COMPUTED_VALUE"""),"THAILAND NMAX OLD BENING 4MM")</f>
        <v>THAILAND NMAX OLD BENING 4MM</v>
      </c>
    </row>
    <row r="231">
      <c r="A231" s="1">
        <f>IFERROR(__xludf.DUMMYFUNCTION("""COMPUTED_VALUE"""),1.75611271E8)</f>
        <v>175611271</v>
      </c>
      <c r="B231" s="1" t="str">
        <f>IFERROR(__xludf.DUMMYFUNCTION("""COMPUTED_VALUE"""),"THAILAND NMAX NEW SMOKE 3MM")</f>
        <v>THAILAND NMAX NEW SMOKE 3MM</v>
      </c>
    </row>
    <row r="232">
      <c r="A232" s="1">
        <f>IFERROR(__xludf.DUMMYFUNCTION("""COMPUTED_VALUE"""),5.37543836E8)</f>
        <v>537543836</v>
      </c>
      <c r="B232" s="1" t="str">
        <f>IFERROR(__xludf.DUMMYFUNCTION("""COMPUTED_VALUE"""),"THAILAND NMAX NEW SMOKE 4MM")</f>
        <v>THAILAND NMAX NEW SMOKE 4MM</v>
      </c>
    </row>
    <row r="233">
      <c r="A233" s="1">
        <f>IFERROR(__xludf.DUMMYFUNCTION("""COMPUTED_VALUE"""),2.26342242E8)</f>
        <v>226342242</v>
      </c>
      <c r="B233" s="1" t="str">
        <f>IFERROR(__xludf.DUMMYFUNCTION("""COMPUTED_VALUE"""),"THAILAND NMAX OLD SMOKE 3MM")</f>
        <v>THAILAND NMAX OLD SMOKE 3MM</v>
      </c>
    </row>
    <row r="234">
      <c r="A234" s="1">
        <f>IFERROR(__xludf.DUMMYFUNCTION("""COMPUTED_VALUE"""),3.3309354E8)</f>
        <v>333093540</v>
      </c>
      <c r="B234" s="1" t="str">
        <f>IFERROR(__xludf.DUMMYFUNCTION("""COMPUTED_VALUE"""),"THAILAND NMAX OLD SMOKE 4MM")</f>
        <v>THAILAND NMAX OLD SMOKE 4MM</v>
      </c>
    </row>
    <row r="235">
      <c r="A235" s="1">
        <f>IFERROR(__xludf.DUMMYFUNCTION("""COMPUTED_VALUE"""),8.00653074E8)</f>
        <v>800653074</v>
      </c>
      <c r="B235" s="1" t="str">
        <f>IFERROR(__xludf.DUMMYFUNCTION("""COMPUTED_VALUE"""),"THAILAND NMAX OLD ICE BLUE 3MM")</f>
        <v>THAILAND NMAX OLD ICE BLUE 3MM</v>
      </c>
    </row>
    <row r="236">
      <c r="A236" s="1">
        <f>IFERROR(__xludf.DUMMYFUNCTION("""COMPUTED_VALUE"""),5.4974416E8)</f>
        <v>549744160</v>
      </c>
      <c r="B236" s="1" t="str">
        <f>IFERROR(__xludf.DUMMYFUNCTION("""COMPUTED_VALUE"""),"THAILAND NMAX NEW ICE BLUE 4MM")</f>
        <v>THAILAND NMAX NEW ICE BLUE 4MM</v>
      </c>
    </row>
    <row r="237">
      <c r="A237" s="1">
        <f>IFERROR(__xludf.DUMMYFUNCTION("""COMPUTED_VALUE"""),3.74294629E8)</f>
        <v>374294629</v>
      </c>
      <c r="B237" s="1" t="str">
        <f>IFERROR(__xludf.DUMMYFUNCTION("""COMPUTED_VALUE"""),"TOPI FAZZIO BENING 2MM")</f>
        <v>TOPI FAZZIO BENING 2MM</v>
      </c>
    </row>
    <row r="238">
      <c r="A238" s="1">
        <f>IFERROR(__xludf.DUMMYFUNCTION("""COMPUTED_VALUE"""),5.93587382E8)</f>
        <v>593587382</v>
      </c>
      <c r="B238" s="1" t="str">
        <f>IFERROR(__xludf.DUMMYFUNCTION("""COMPUTED_VALUE"""),"TOPI FAZZIO SMOKE 2MM")</f>
        <v>TOPI FAZZIO SMOKE 2MM</v>
      </c>
    </row>
    <row r="239">
      <c r="A239" s="1">
        <f>IFERROR(__xludf.DUMMYFUNCTION("""COMPUTED_VALUE"""),7.23493365E8)</f>
        <v>723493365</v>
      </c>
      <c r="B239" s="1" t="str">
        <f>IFERROR(__xludf.DUMMYFUNCTION("""COMPUTED_VALUE"""),"TOPI FAZZIO PEKAT 2MM")</f>
        <v>TOPI FAZZIO PEKAT 2MM</v>
      </c>
    </row>
    <row r="240">
      <c r="A240" s="1">
        <f>IFERROR(__xludf.DUMMYFUNCTION("""COMPUTED_VALUE"""),1.56148145E8)</f>
        <v>156148145</v>
      </c>
      <c r="B240" s="1" t="str">
        <f>IFERROR(__xludf.DUMMYFUNCTION("""COMPUTED_VALUE"""),"FAZZIO BENING 3MM")</f>
        <v>FAZZIO BENING 3MM</v>
      </c>
    </row>
    <row r="241">
      <c r="A241" s="1">
        <f>IFERROR(__xludf.DUMMYFUNCTION("""COMPUTED_VALUE"""),5.93382224E8)</f>
        <v>593382224</v>
      </c>
      <c r="B241" s="1" t="str">
        <f>IFERROR(__xludf.DUMMYFUNCTION("""COMPUTED_VALUE"""),"FAZZIO SMOKE 3MM")</f>
        <v>FAZZIO SMOKE 3MM</v>
      </c>
    </row>
    <row r="242">
      <c r="A242" s="1">
        <f>IFERROR(__xludf.DUMMYFUNCTION("""COMPUTED_VALUE"""),2.52588124E8)</f>
        <v>252588124</v>
      </c>
      <c r="B242" s="1" t="str">
        <f>IFERROR(__xludf.DUMMYFUNCTION("""COMPUTED_VALUE"""),"FAZZIO ICE BLUE 3MM")</f>
        <v>FAZZIO ICE BLUE 3MM</v>
      </c>
    </row>
    <row r="243">
      <c r="A243" s="1">
        <f>IFERROR(__xludf.DUMMYFUNCTION("""COMPUTED_VALUE"""),3.93647784E8)</f>
        <v>393647784</v>
      </c>
      <c r="B243" s="1" t="str">
        <f>IFERROR(__xludf.DUMMYFUNCTION("""COMPUTED_VALUE"""),"FAZZIO COKLAT 3MM")</f>
        <v>FAZZIO COKLAT 3MM</v>
      </c>
    </row>
    <row r="244">
      <c r="A244" s="1">
        <f>IFERROR(__xludf.DUMMYFUNCTION("""COMPUTED_VALUE"""),5.07476185E8)</f>
        <v>507476185</v>
      </c>
      <c r="B244" s="1" t="str">
        <f>IFERROR(__xludf.DUMMYFUNCTION("""COMPUTED_VALUE"""),"FILANO BENING 3MM")</f>
        <v>FILANO BENING 3MM</v>
      </c>
    </row>
    <row r="245">
      <c r="A245" s="1">
        <f>IFERROR(__xludf.DUMMYFUNCTION("""COMPUTED_VALUE"""),4.82056538E8)</f>
        <v>482056538</v>
      </c>
      <c r="B245" s="1" t="str">
        <f>IFERROR(__xludf.DUMMYFUNCTION("""COMPUTED_VALUE"""),"FILANO COKLAT 3MM")</f>
        <v>FILANO COKLAT 3MM</v>
      </c>
    </row>
    <row r="246">
      <c r="A246" s="1">
        <f>IFERROR(__xludf.DUMMYFUNCTION("""COMPUTED_VALUE"""),5.15517748E8)</f>
        <v>515517748</v>
      </c>
      <c r="B246" s="1" t="str">
        <f>IFERROR(__xludf.DUMMYFUNCTION("""COMPUTED_VALUE"""),"FILANO SMOKE 3MM")</f>
        <v>FILANO SMOKE 3MM</v>
      </c>
    </row>
    <row r="247">
      <c r="A247" s="1">
        <f>IFERROR(__xludf.DUMMYFUNCTION("""COMPUTED_VALUE"""),5.2720707E8)</f>
        <v>527207070</v>
      </c>
      <c r="B247" s="1" t="str">
        <f>IFERROR(__xludf.DUMMYFUNCTION("""COMPUTED_VALUE"""),"VESPA SPRINT BENING 3MM")</f>
        <v>VESPA SPRINT BENING 3MM</v>
      </c>
    </row>
    <row r="248">
      <c r="A248" s="1">
        <f>IFERROR(__xludf.DUMMYFUNCTION("""COMPUTED_VALUE"""),4.19453277E8)</f>
        <v>419453277</v>
      </c>
      <c r="B248" s="1" t="str">
        <f>IFERROR(__xludf.DUMMYFUNCTION("""COMPUTED_VALUE"""),"VESPA SPRINT SMOKE 3MM")</f>
        <v>VESPA SPRINT SMOKE 3MM</v>
      </c>
    </row>
    <row r="249">
      <c r="A249" s="1">
        <f>IFERROR(__xludf.DUMMYFUNCTION("""COMPUTED_VALUE"""),3.49533885E8)</f>
        <v>349533885</v>
      </c>
      <c r="B249" s="1" t="str">
        <f>IFERROR(__xludf.DUMMYFUNCTION("""COMPUTED_VALUE"""),"VESPA SPRINT PEKAT 3MM")</f>
        <v>VESPA SPRINT PEKAT 3MM</v>
      </c>
    </row>
    <row r="250">
      <c r="A250" s="1">
        <f>IFERROR(__xludf.DUMMYFUNCTION("""COMPUTED_VALUE"""),6.32398648E8)</f>
        <v>632398648</v>
      </c>
      <c r="B250" s="1" t="str">
        <f>IFERROR(__xludf.DUMMYFUNCTION("""COMPUTED_VALUE"""),"VESPA GTS BENING 3MM")</f>
        <v>VESPA GTS BENING 3MM</v>
      </c>
    </row>
    <row r="251">
      <c r="A251" s="1">
        <f>IFERROR(__xludf.DUMMYFUNCTION("""COMPUTED_VALUE"""),8.17585159E8)</f>
        <v>817585159</v>
      </c>
      <c r="B251" s="1" t="str">
        <f>IFERROR(__xludf.DUMMYFUNCTION("""COMPUTED_VALUE"""),"VESPA GTS SMOKE 3MM")</f>
        <v>VESPA GTS SMOKE 3MM</v>
      </c>
    </row>
    <row r="252">
      <c r="A252" s="1">
        <f>IFERROR(__xludf.DUMMYFUNCTION("""COMPUTED_VALUE"""),8.57420791E8)</f>
        <v>857420791</v>
      </c>
      <c r="B252" s="1" t="str">
        <f>IFERROR(__xludf.DUMMYFUNCTION("""COMPUTED_VALUE"""),"VESPA GTS PEKAT 3MM")</f>
        <v>VESPA GTS PEKAT 3MM</v>
      </c>
    </row>
    <row r="253">
      <c r="A253" s="1">
        <f>IFERROR(__xludf.DUMMYFUNCTION("""COMPUTED_VALUE"""),5.44605487E8)</f>
        <v>544605487</v>
      </c>
      <c r="B253" s="1" t="str">
        <f>IFERROR(__xludf.DUMMYFUNCTION("""COMPUTED_VALUE"""),"VESPA LX BENING 3MM")</f>
        <v>VESPA LX BENING 3MM</v>
      </c>
    </row>
    <row r="254">
      <c r="A254" s="1">
        <f>IFERROR(__xludf.DUMMYFUNCTION("""COMPUTED_VALUE"""),6.53911438E8)</f>
        <v>653911438</v>
      </c>
      <c r="B254" s="1" t="str">
        <f>IFERROR(__xludf.DUMMYFUNCTION("""COMPUTED_VALUE"""),"VESPA LX SMOKE 3MM")</f>
        <v>VESPA LX SMOKE 3MM</v>
      </c>
    </row>
    <row r="255">
      <c r="A255" s="1">
        <f>IFERROR(__xludf.DUMMYFUNCTION("""COMPUTED_VALUE"""),8.7157344E8)</f>
        <v>871573440</v>
      </c>
      <c r="B255" s="1" t="str">
        <f>IFERROR(__xludf.DUMMYFUNCTION("""COMPUTED_VALUE"""),"VESPA LX PEKAT 3MM")</f>
        <v>VESPA LX PEKAT 3MM</v>
      </c>
    </row>
    <row r="256">
      <c r="A256" s="1">
        <f>IFERROR(__xludf.DUMMYFUNCTION("""COMPUTED_VALUE"""),6.33151791E8)</f>
        <v>633151791</v>
      </c>
      <c r="B256" s="1" t="str">
        <f>IFERROR(__xludf.DUMMYFUNCTION("""COMPUTED_VALUE"""),"VESPA PRIMAVERA BENING 3MM")</f>
        <v>VESPA PRIMAVERA BENING 3MM</v>
      </c>
    </row>
    <row r="257">
      <c r="A257" s="1">
        <f>IFERROR(__xludf.DUMMYFUNCTION("""COMPUTED_VALUE"""),8.08414089E8)</f>
        <v>808414089</v>
      </c>
      <c r="B257" s="1" t="str">
        <f>IFERROR(__xludf.DUMMYFUNCTION("""COMPUTED_VALUE"""),"VESPA PRIMAVERA SMOKE 3MM")</f>
        <v>VESPA PRIMAVERA SMOKE 3MM</v>
      </c>
    </row>
    <row r="258">
      <c r="A258" s="1">
        <f>IFERROR(__xludf.DUMMYFUNCTION("""COMPUTED_VALUE"""),7.04774593E8)</f>
        <v>704774593</v>
      </c>
      <c r="B258" s="1" t="str">
        <f>IFERROR(__xludf.DUMMYFUNCTION("""COMPUTED_VALUE"""),"VESPA PRIMAVERA PEKAT 3MM")</f>
        <v>VESPA PRIMAVERA PEKAT 3MM</v>
      </c>
    </row>
    <row r="259">
      <c r="A259" s="1">
        <f>IFERROR(__xludf.DUMMYFUNCTION("""COMPUTED_VALUE"""),5.65841506E8)</f>
        <v>565841506</v>
      </c>
      <c r="B259" s="1" t="str">
        <f>IFERROR(__xludf.DUMMYFUNCTION("""COMPUTED_VALUE"""),"VESPA S BENING 3MM")</f>
        <v>VESPA S BENING 3MM</v>
      </c>
    </row>
    <row r="260">
      <c r="A260" s="1">
        <f>IFERROR(__xludf.DUMMYFUNCTION("""COMPUTED_VALUE"""),8.4468504E8)</f>
        <v>844685040</v>
      </c>
      <c r="B260" s="1" t="str">
        <f>IFERROR(__xludf.DUMMYFUNCTION("""COMPUTED_VALUE"""),"VESPA S SMOKE 3MM")</f>
        <v>VESPA S SMOKE 3MM</v>
      </c>
    </row>
    <row r="261">
      <c r="A261" s="1">
        <f>IFERROR(__xludf.DUMMYFUNCTION("""COMPUTED_VALUE"""),4.08063096E8)</f>
        <v>408063096</v>
      </c>
      <c r="B261" s="1" t="str">
        <f>IFERROR(__xludf.DUMMYFUNCTION("""COMPUTED_VALUE"""),"VESPA S PEKAT 3MM")</f>
        <v>VESPA S PEKAT 3MM</v>
      </c>
    </row>
    <row r="262">
      <c r="A262" s="1">
        <f>IFERROR(__xludf.DUMMYFUNCTION("""COMPUTED_VALUE"""),7.75182237E8)</f>
        <v>775182237</v>
      </c>
      <c r="B262" s="1" t="str">
        <f>IFERROR(__xludf.DUMMYFUNCTION("""COMPUTED_VALUE"""),"ADV V1 POLOS BENING 3MM")</f>
        <v>ADV V1 POLOS BENING 3MM</v>
      </c>
    </row>
    <row r="263">
      <c r="A263" s="1">
        <f>IFERROR(__xludf.DUMMYFUNCTION("""COMPUTED_VALUE"""),3.10354103E8)</f>
        <v>310354103</v>
      </c>
      <c r="B263" s="1" t="str">
        <f>IFERROR(__xludf.DUMMYFUNCTION("""COMPUTED_VALUE"""),"ADV V1 POLOS SMOKE 3MM")</f>
        <v>ADV V1 POLOS SMOKE 3MM</v>
      </c>
    </row>
    <row r="264">
      <c r="A264" s="1">
        <f>IFERROR(__xludf.DUMMYFUNCTION("""COMPUTED_VALUE"""),5.1151505E8)</f>
        <v>511515050</v>
      </c>
      <c r="B264" s="1" t="str">
        <f>IFERROR(__xludf.DUMMYFUNCTION("""COMPUTED_VALUE"""),"ADV V1 SIRIP BENING 3MM")</f>
        <v>ADV V1 SIRIP BENING 3MM</v>
      </c>
    </row>
    <row r="265">
      <c r="A265" s="1">
        <f>IFERROR(__xludf.DUMMYFUNCTION("""COMPUTED_VALUE"""),4.12973208E8)</f>
        <v>412973208</v>
      </c>
      <c r="B265" s="1" t="str">
        <f>IFERROR(__xludf.DUMMYFUNCTION("""COMPUTED_VALUE"""),"ADV V1 SIRIP SMOKE 3MM")</f>
        <v>ADV V1 SIRIP SMOKE 3MM</v>
      </c>
    </row>
    <row r="266">
      <c r="A266" s="1">
        <f>IFERROR(__xludf.DUMMYFUNCTION("""COMPUTED_VALUE"""),8.85446219E8)</f>
        <v>885446219</v>
      </c>
      <c r="B266" s="1" t="str">
        <f>IFERROR(__xludf.DUMMYFUNCTION("""COMPUTED_VALUE"""),"ADV V2 SIRIP BENING 3MM")</f>
        <v>ADV V2 SIRIP BENING 3MM</v>
      </c>
    </row>
    <row r="267">
      <c r="A267" s="1">
        <f>IFERROR(__xludf.DUMMYFUNCTION("""COMPUTED_VALUE"""),6.45895981E8)</f>
        <v>645895981</v>
      </c>
      <c r="B267" s="1" t="str">
        <f>IFERROR(__xludf.DUMMYFUNCTION("""COMPUTED_VALUE"""),"ADV V2 SIRIP SMOKE 3MM")</f>
        <v>ADV V2 SIRIP SMOKE 3MM</v>
      </c>
    </row>
    <row r="268">
      <c r="A268" s="1">
        <f>IFERROR(__xludf.DUMMYFUNCTION("""COMPUTED_VALUE"""),9.51904333E8)</f>
        <v>951904333</v>
      </c>
      <c r="B268" s="1" t="str">
        <f>IFERROR(__xludf.DUMMYFUNCTION("""COMPUTED_VALUE"""),"ADV V2 SIRIP ICE BLUE 3MM")</f>
        <v>ADV V2 SIRIP ICE BLUE 3MM</v>
      </c>
    </row>
    <row r="269">
      <c r="A269" s="1">
        <f>IFERROR(__xludf.DUMMYFUNCTION("""COMPUTED_VALUE"""),6.58140609E8)</f>
        <v>658140609</v>
      </c>
      <c r="B269" s="1" t="str">
        <f>IFERROR(__xludf.DUMMYFUNCTION("""COMPUTED_VALUE"""),"ADV V2 POLOS BENING 3MM")</f>
        <v>ADV V2 POLOS BENING 3MM</v>
      </c>
    </row>
    <row r="270">
      <c r="A270" s="1">
        <f>IFERROR(__xludf.DUMMYFUNCTION("""COMPUTED_VALUE"""),8.48100525E8)</f>
        <v>848100525</v>
      </c>
      <c r="B270" s="1" t="str">
        <f>IFERROR(__xludf.DUMMYFUNCTION("""COMPUTED_VALUE"""),"ADV V2 POLOS SMOKE 3MM")</f>
        <v>ADV V2 POLOS SMOKE 3MM</v>
      </c>
    </row>
    <row r="271">
      <c r="A271" s="1">
        <f>IFERROR(__xludf.DUMMYFUNCTION("""COMPUTED_VALUE"""),5.10918365E8)</f>
        <v>510918365</v>
      </c>
      <c r="B271" s="1" t="str">
        <f>IFERROR(__xludf.DUMMYFUNCTION("""COMPUTED_VALUE"""),"ADV V5 BENING 3MM")</f>
        <v>ADV V5 BENING 3MM</v>
      </c>
    </row>
    <row r="272">
      <c r="A272" s="1">
        <f>IFERROR(__xludf.DUMMYFUNCTION("""COMPUTED_VALUE"""),2.71205864E8)</f>
        <v>271205864</v>
      </c>
      <c r="B272" s="1" t="str">
        <f>IFERROR(__xludf.DUMMYFUNCTION("""COMPUTED_VALUE"""),"ADV V5 SMOKE 3MMM")</f>
        <v>ADV V5 SMOKE 3MMM</v>
      </c>
    </row>
    <row r="273">
      <c r="A273" s="1">
        <f>IFERROR(__xludf.DUMMYFUNCTION("""COMPUTED_VALUE"""),9.49228363E8)</f>
        <v>949228363</v>
      </c>
      <c r="B273" s="1" t="str">
        <f>IFERROR(__xludf.DUMMYFUNCTION("""COMPUTED_VALUE"""),"ADV V6 BENING 3MM")</f>
        <v>ADV V6 BENING 3MM</v>
      </c>
    </row>
    <row r="274">
      <c r="A274" s="1">
        <f>IFERROR(__xludf.DUMMYFUNCTION("""COMPUTED_VALUE"""),1.77069307E8)</f>
        <v>177069307</v>
      </c>
      <c r="B274" s="1" t="str">
        <f>IFERROR(__xludf.DUMMYFUNCTION("""COMPUTED_VALUE"""),"ADV V6 SMOKE 3MM")</f>
        <v>ADV V6 SMOKE 3MM</v>
      </c>
    </row>
    <row r="275">
      <c r="A275" s="1">
        <f>IFERROR(__xludf.DUMMYFUNCTION("""COMPUTED_VALUE"""),9.36563007E8)</f>
        <v>936563007</v>
      </c>
      <c r="B275" s="1" t="str">
        <f>IFERROR(__xludf.DUMMYFUNCTION("""COMPUTED_VALUE"""),"ADV V6 ICE BLUE 3MM")</f>
        <v>ADV V6 ICE BLUE 3MM</v>
      </c>
    </row>
    <row r="276">
      <c r="A276" s="1">
        <f>IFERROR(__xludf.DUMMYFUNCTION("""COMPUTED_VALUE"""),1.04677733E8)</f>
        <v>104677733</v>
      </c>
      <c r="B276" s="1" t="str">
        <f>IFERROR(__xludf.DUMMYFUNCTION("""COMPUTED_VALUE"""),"ADV V7 BENING 3MM")</f>
        <v>ADV V7 BENING 3MM</v>
      </c>
    </row>
    <row r="277">
      <c r="A277" s="1">
        <f>IFERROR(__xludf.DUMMYFUNCTION("""COMPUTED_VALUE"""),6.35411452E8)</f>
        <v>635411452</v>
      </c>
      <c r="B277" s="1" t="str">
        <f>IFERROR(__xludf.DUMMYFUNCTION("""COMPUTED_VALUE"""),"ADV V7 SMOKE 3MM")</f>
        <v>ADV V7 SMOKE 3MM</v>
      </c>
    </row>
    <row r="278">
      <c r="A278" s="1">
        <f>IFERROR(__xludf.DUMMYFUNCTION("""COMPUTED_VALUE"""),6.68526532E8)</f>
        <v>668526532</v>
      </c>
      <c r="B278" s="1" t="str">
        <f>IFERROR(__xludf.DUMMYFUNCTION("""COMPUTED_VALUE"""),"ADV V7 ICE BLUE 3MM")</f>
        <v>ADV V7 ICE BLUE 3MM</v>
      </c>
    </row>
    <row r="279">
      <c r="A279" s="1">
        <f>IFERROR(__xludf.DUMMYFUNCTION("""COMPUTED_VALUE"""),5.43847085E8)</f>
        <v>543847085</v>
      </c>
      <c r="B279" s="1" t="str">
        <f>IFERROR(__xludf.DUMMYFUNCTION("""COMPUTED_VALUE"""),"ADV OCITO 1 BENING 3MM")</f>
        <v>ADV OCITO 1 BENING 3MM</v>
      </c>
    </row>
    <row r="280">
      <c r="A280" s="1">
        <f>IFERROR(__xludf.DUMMYFUNCTION("""COMPUTED_VALUE"""),3.72586401E8)</f>
        <v>372586401</v>
      </c>
      <c r="B280" s="1" t="str">
        <f>IFERROR(__xludf.DUMMYFUNCTION("""COMPUTED_VALUE"""),"ADV OCITO 1 SMOKE 3MM")</f>
        <v>ADV OCITO 1 SMOKE 3MM</v>
      </c>
    </row>
    <row r="281">
      <c r="A281" s="1">
        <f>IFERROR(__xludf.DUMMYFUNCTION("""COMPUTED_VALUE"""),6.15234135E8)</f>
        <v>615234135</v>
      </c>
      <c r="B281" s="1" t="str">
        <f>IFERROR(__xludf.DUMMYFUNCTION("""COMPUTED_VALUE"""),"ADV OCITO 4 BENING 3MM")</f>
        <v>ADV OCITO 4 BENING 3MM</v>
      </c>
    </row>
    <row r="282">
      <c r="A282" s="1">
        <f>IFERROR(__xludf.DUMMYFUNCTION("""COMPUTED_VALUE"""),4.53181215E8)</f>
        <v>453181215</v>
      </c>
      <c r="B282" s="1" t="str">
        <f>IFERROR(__xludf.DUMMYFUNCTION("""COMPUTED_VALUE"""),"ADV OCITO 4 SMOKE 3MM")</f>
        <v>ADV OCITO 4 SMOKE 3MM</v>
      </c>
    </row>
    <row r="283">
      <c r="A283" s="1">
        <f>IFERROR(__xludf.DUMMYFUNCTION("""COMPUTED_VALUE"""),7.67007755E8)</f>
        <v>767007755</v>
      </c>
      <c r="B283" s="1" t="str">
        <f>IFERROR(__xludf.DUMMYFUNCTION("""COMPUTED_VALUE"""),"ADV OCITO 1 ICE BLUE 4MM")</f>
        <v>ADV OCITO 1 ICE BLUE 4MM</v>
      </c>
    </row>
    <row r="284">
      <c r="A284" s="1">
        <f>IFERROR(__xludf.DUMMYFUNCTION("""COMPUTED_VALUE"""),6.92673713E8)</f>
        <v>692673713</v>
      </c>
      <c r="B284" s="1" t="str">
        <f>IFERROR(__xludf.DUMMYFUNCTION("""COMPUTED_VALUE"""),"ADV OCITO 3 SMOKE 3MM")</f>
        <v>ADV OCITO 3 SMOKE 3MM</v>
      </c>
    </row>
    <row r="285">
      <c r="A285" s="1">
        <f>IFERROR(__xludf.DUMMYFUNCTION("""COMPUTED_VALUE"""),1.24147351E8)</f>
        <v>124147351</v>
      </c>
      <c r="B285" s="1" t="str">
        <f>IFERROR(__xludf.DUMMYFUNCTION("""COMPUTED_VALUE"""),"ADV OCITO 4 PEKAT 4MM")</f>
        <v>ADV OCITO 4 PEKAT 4MM</v>
      </c>
    </row>
    <row r="286">
      <c r="A286" s="1">
        <f>IFERROR(__xludf.DUMMYFUNCTION("""COMPUTED_VALUE"""),8.36836264E8)</f>
        <v>836836264</v>
      </c>
      <c r="B286" s="1" t="str">
        <f>IFERROR(__xludf.DUMMYFUNCTION("""COMPUTED_VALUE"""),"ADV CARBU TARING BENING 4MM")</f>
        <v>ADV CARBU TARING BENING 4MM</v>
      </c>
    </row>
    <row r="287">
      <c r="A287" s="1">
        <f>IFERROR(__xludf.DUMMYFUNCTION("""COMPUTED_VALUE"""),6.97206755E8)</f>
        <v>697206755</v>
      </c>
      <c r="B287" s="1" t="str">
        <f>IFERROR(__xludf.DUMMYFUNCTION("""COMPUTED_VALUE"""),"ADV CARBU BENING 4MM")</f>
        <v>ADV CARBU BENING 4MM</v>
      </c>
    </row>
    <row r="288">
      <c r="A288" s="1">
        <f>IFERROR(__xludf.DUMMYFUNCTION("""COMPUTED_VALUE"""),6.52122427E8)</f>
        <v>652122427</v>
      </c>
      <c r="B288" s="1" t="str">
        <f>IFERROR(__xludf.DUMMYFUNCTION("""COMPUTED_VALUE"""),"ADV CARBU SMOKE 4MM")</f>
        <v>ADV CARBU SMOKE 4MM</v>
      </c>
    </row>
    <row r="289">
      <c r="A289" s="1">
        <f>IFERROR(__xludf.DUMMYFUNCTION("""COMPUTED_VALUE"""),3.44053575E8)</f>
        <v>344053575</v>
      </c>
      <c r="B289" s="1" t="str">
        <f>IFERROR(__xludf.DUMMYFUNCTION("""COMPUTED_VALUE"""),"ADV SPORTY SMOKE 4MM")</f>
        <v>ADV SPORTY SMOKE 4MM</v>
      </c>
    </row>
    <row r="290">
      <c r="A290" s="1">
        <f>IFERROR(__xludf.DUMMYFUNCTION("""COMPUTED_VALUE"""),8.63714512E8)</f>
        <v>863714512</v>
      </c>
      <c r="B290" s="1" t="str">
        <f>IFERROR(__xludf.DUMMYFUNCTION("""COMPUTED_VALUE"""),"ADV STREET BENING 4MM")</f>
        <v>ADV STREET BENING 4MM</v>
      </c>
    </row>
    <row r="291">
      <c r="A291" s="1">
        <f>IFERROR(__xludf.DUMMYFUNCTION("""COMPUTED_VALUE"""),7.68362722E8)</f>
        <v>768362722</v>
      </c>
      <c r="B291" s="1" t="str">
        <f>IFERROR(__xludf.DUMMYFUNCTION("""COMPUTED_VALUE"""),"ADV STREET SMOKE 4MM")</f>
        <v>ADV STREET SMOKE 4MM</v>
      </c>
    </row>
    <row r="292">
      <c r="A292" s="1">
        <f>IFERROR(__xludf.DUMMYFUNCTION("""COMPUTED_VALUE"""),1.61526251E8)</f>
        <v>161526251</v>
      </c>
      <c r="B292" s="1" t="str">
        <f>IFERROR(__xludf.DUMMYFUNCTION("""COMPUTED_VALUE"""),"ADV TDR MINI SMOKE 4MM")</f>
        <v>ADV TDR MINI SMOKE 4MM</v>
      </c>
    </row>
    <row r="293">
      <c r="A293" s="1">
        <f>IFERROR(__xludf.DUMMYFUNCTION("""COMPUTED_VALUE"""),8.51637841E8)</f>
        <v>851637841</v>
      </c>
      <c r="B293" s="1" t="str">
        <f>IFERROR(__xludf.DUMMYFUNCTION("""COMPUTED_VALUE"""),"ADV TDR MINI PEKAT 4MM")</f>
        <v>ADV TDR MINI PEKAT 4MM</v>
      </c>
    </row>
    <row r="294">
      <c r="A294" s="1">
        <f>IFERROR(__xludf.DUMMYFUNCTION("""COMPUTED_VALUE"""),8.29830782E8)</f>
        <v>829830782</v>
      </c>
      <c r="B294" s="1" t="str">
        <f>IFERROR(__xludf.DUMMYFUNCTION("""COMPUTED_VALUE"""),"PCX 150 STANDAR JENONG SMOKE 3MM")</f>
        <v>PCX 150 STANDAR JENONG SMOKE 3MM</v>
      </c>
    </row>
    <row r="295">
      <c r="A295" s="1">
        <f>IFERROR(__xludf.DUMMYFUNCTION("""COMPUTED_VALUE"""),3.86672664E8)</f>
        <v>386672664</v>
      </c>
      <c r="B295" s="1" t="str">
        <f>IFERROR(__xludf.DUMMYFUNCTION("""COMPUTED_VALUE"""),"PCX 150 STANDAR BENING 3MM")</f>
        <v>PCX 150 STANDAR BENING 3MM</v>
      </c>
    </row>
    <row r="296">
      <c r="A296" s="1">
        <f>IFERROR(__xludf.DUMMYFUNCTION("""COMPUTED_VALUE"""),1.31099871E8)</f>
        <v>131099871</v>
      </c>
      <c r="B296" s="1" t="str">
        <f>IFERROR(__xludf.DUMMYFUNCTION("""COMPUTED_VALUE"""),"PCX 150 STANDAR SMOKE 3MM")</f>
        <v>PCX 150 STANDAR SMOKE 3MM</v>
      </c>
    </row>
    <row r="297">
      <c r="A297" s="1">
        <f>IFERROR(__xludf.DUMMYFUNCTION("""COMPUTED_VALUE"""),2.48854574E8)</f>
        <v>248854574</v>
      </c>
      <c r="B297" s="1" t="str">
        <f>IFERROR(__xludf.DUMMYFUNCTION("""COMPUTED_VALUE"""),"PCX 15O STANDAR PEKAT 3MM")</f>
        <v>PCX 15O STANDAR PEKAT 3MM</v>
      </c>
    </row>
    <row r="298">
      <c r="A298" s="1">
        <f>IFERROR(__xludf.DUMMYFUNCTION("""COMPUTED_VALUE"""),1.42814673E8)</f>
        <v>142814673</v>
      </c>
      <c r="B298" s="1" t="str">
        <f>IFERROR(__xludf.DUMMYFUNCTION("""COMPUTED_VALUE"""),"PCX 150 STANDAR ICE BLUE 3MM")</f>
        <v>PCX 150 STANDAR ICE BLUE 3MM</v>
      </c>
    </row>
    <row r="299">
      <c r="A299" s="1">
        <f>IFERROR(__xludf.DUMMYFUNCTION("""COMPUTED_VALUE"""),7.90750051E8)</f>
        <v>790750051</v>
      </c>
      <c r="B299" s="1" t="str">
        <f>IFERROR(__xludf.DUMMYFUNCTION("""COMPUTED_VALUE"""),"PCX 150 THAILAND BENING 3MM")</f>
        <v>PCX 150 THAILAND BENING 3MM</v>
      </c>
    </row>
    <row r="300">
      <c r="A300" s="1">
        <f>IFERROR(__xludf.DUMMYFUNCTION("""COMPUTED_VALUE"""),6.44341746E8)</f>
        <v>644341746</v>
      </c>
      <c r="B300" s="1" t="str">
        <f>IFERROR(__xludf.DUMMYFUNCTION("""COMPUTED_VALUE"""),"PCX 150 THAILAND SMOKE 3MM")</f>
        <v>PCX 150 THAILAND SMOKE 3MM</v>
      </c>
    </row>
    <row r="301">
      <c r="A301" s="1">
        <f>IFERROR(__xludf.DUMMYFUNCTION("""COMPUTED_VALUE"""),6.91751381E8)</f>
        <v>691751381</v>
      </c>
      <c r="B301" s="1" t="str">
        <f>IFERROR(__xludf.DUMMYFUNCTION("""COMPUTED_VALUE"""),"PCX 160 STANDAR BENING 3MM")</f>
        <v>PCX 160 STANDAR BENING 3MM</v>
      </c>
    </row>
    <row r="302">
      <c r="A302" s="1">
        <f>IFERROR(__xludf.DUMMYFUNCTION("""COMPUTED_VALUE"""),4.91895431E8)</f>
        <v>491895431</v>
      </c>
      <c r="B302" s="1" t="str">
        <f>IFERROR(__xludf.DUMMYFUNCTION("""COMPUTED_VALUE"""),"PCX 160 STANDAR SMOKE 3MM")</f>
        <v>PCX 160 STANDAR SMOKE 3MM</v>
      </c>
    </row>
    <row r="303">
      <c r="A303" s="1">
        <f>IFERROR(__xludf.DUMMYFUNCTION("""COMPUTED_VALUE"""),4.91895431E8)</f>
        <v>491895431</v>
      </c>
      <c r="B303" s="1" t="str">
        <f>IFERROR(__xludf.DUMMYFUNCTION("""COMPUTED_VALUE"""),"PCX 160 STANDAR ICE BLUE 3MM")</f>
        <v>PCX 160 STANDAR ICE BLUE 3MM</v>
      </c>
    </row>
    <row r="304">
      <c r="A304" s="1">
        <f>IFERROR(__xludf.DUMMYFUNCTION("""COMPUTED_VALUE"""),6.26121818E8)</f>
        <v>626121818</v>
      </c>
      <c r="B304" s="1" t="str">
        <f>IFERROR(__xludf.DUMMYFUNCTION("""COMPUTED_VALUE"""),"PCX 160 STANDAR PEKAT 3MM")</f>
        <v>PCX 160 STANDAR PEKAT 3MM</v>
      </c>
    </row>
    <row r="305">
      <c r="A305" s="1">
        <f>IFERROR(__xludf.DUMMYFUNCTION("""COMPUTED_VALUE"""),9.09729276E8)</f>
        <v>909729276</v>
      </c>
      <c r="B305" s="1" t="str">
        <f>IFERROR(__xludf.DUMMYFUNCTION("""COMPUTED_VALUE"""),"PCX 160 BATMAN BENING 3MM")</f>
        <v>PCX 160 BATMAN BENING 3MM</v>
      </c>
    </row>
    <row r="306">
      <c r="A306" s="1">
        <f>IFERROR(__xludf.DUMMYFUNCTION("""COMPUTED_VALUE"""),9.46248544E8)</f>
        <v>946248544</v>
      </c>
      <c r="B306" s="1" t="str">
        <f>IFERROR(__xludf.DUMMYFUNCTION("""COMPUTED_VALUE"""),"PCX 160 BATMAN SMOKE 3MM")</f>
        <v>PCX 160 BATMAN SMOKE 3MM</v>
      </c>
    </row>
    <row r="307">
      <c r="A307" s="1">
        <f>IFERROR(__xludf.DUMMYFUNCTION("""COMPUTED_VALUE"""),7.96044688E8)</f>
        <v>796044688</v>
      </c>
      <c r="B307" s="1" t="str">
        <f>IFERROR(__xludf.DUMMYFUNCTION("""COMPUTED_VALUE"""),"PCX 160 JENONG BENING 3MM")</f>
        <v>PCX 160 JENONG BENING 3MM</v>
      </c>
    </row>
    <row r="308">
      <c r="A308" s="1">
        <f>IFERROR(__xludf.DUMMYFUNCTION("""COMPUTED_VALUE"""),4.74299109E8)</f>
        <v>474299109</v>
      </c>
      <c r="B308" s="1" t="str">
        <f>IFERROR(__xludf.DUMMYFUNCTION("""COMPUTED_VALUE"""),"PCX 160 JENONG SMOKE 3MM")</f>
        <v>PCX 160 JENONG SMOKE 3MM</v>
      </c>
    </row>
    <row r="309">
      <c r="A309" s="1">
        <f>IFERROR(__xludf.DUMMYFUNCTION("""COMPUTED_VALUE"""),3.59619156E8)</f>
        <v>359619156</v>
      </c>
      <c r="B309" s="1" t="str">
        <f>IFERROR(__xludf.DUMMYFUNCTION("""COMPUTED_VALUE"""),"PCX 160 TRITON BENING 3MM")</f>
        <v>PCX 160 TRITON BENING 3MM</v>
      </c>
    </row>
    <row r="310">
      <c r="A310" s="1">
        <f>IFERROR(__xludf.DUMMYFUNCTION("""COMPUTED_VALUE"""),4.53204083E8)</f>
        <v>453204083</v>
      </c>
      <c r="B310" s="1" t="str">
        <f>IFERROR(__xludf.DUMMYFUNCTION("""COMPUTED_VALUE"""),"PCX 160 TRITON SMOKE 3MM")</f>
        <v>PCX 160 TRITON SMOKE 3MM</v>
      </c>
    </row>
    <row r="311">
      <c r="A311" s="1">
        <f>IFERROR(__xludf.DUMMYFUNCTION("""COMPUTED_VALUE"""),8.98070486E8)</f>
        <v>898070486</v>
      </c>
      <c r="B311" s="1" t="str">
        <f>IFERROR(__xludf.DUMMYFUNCTION("""COMPUTED_VALUE"""),"PCX 160 THAILAND SMOKE 3MM")</f>
        <v>PCX 160 THAILAND SMOKE 3MM</v>
      </c>
    </row>
    <row r="312">
      <c r="A312" s="1">
        <f>IFERROR(__xludf.DUMMYFUNCTION("""COMPUTED_VALUE"""),4.26104025E8)</f>
        <v>426104025</v>
      </c>
      <c r="B312" s="1" t="str">
        <f>IFERROR(__xludf.DUMMYFUNCTION("""COMPUTED_VALUE"""),"PCX 160 THAILAND BENING 3MM")</f>
        <v>PCX 160 THAILAND BENING 3MM</v>
      </c>
    </row>
    <row r="313">
      <c r="A313" s="1">
        <f>IFERROR(__xludf.DUMMYFUNCTION("""COMPUTED_VALUE"""),2.23009956E8)</f>
        <v>223009956</v>
      </c>
      <c r="B313" s="1" t="str">
        <f>IFERROR(__xludf.DUMMYFUNCTION("""COMPUTED_VALUE"""),"LEXI OCITO 4 PEKAT")</f>
        <v>LEXI OCITO 4 PEKAT</v>
      </c>
    </row>
    <row r="314">
      <c r="A314" s="1">
        <f>IFERROR(__xludf.DUMMYFUNCTION("""COMPUTED_VALUE"""),2.86533813E8)</f>
        <v>286533813</v>
      </c>
      <c r="B314" s="1" t="str">
        <f>IFERROR(__xludf.DUMMYFUNCTION("""COMPUTED_VALUE"""),"LEXI OCITO 3 PEKAT")</f>
        <v>LEXI OCITO 3 PEKAT</v>
      </c>
    </row>
    <row r="315">
      <c r="A315" s="1">
        <f>IFERROR(__xludf.DUMMYFUNCTION("""COMPUTED_VALUE"""),8.23738805E8)</f>
        <v>823738805</v>
      </c>
      <c r="B315" s="1" t="str">
        <f>IFERROR(__xludf.DUMMYFUNCTION("""COMPUTED_VALUE"""),"LEXI TDR MINI SMOKE")</f>
        <v>LEXI TDR MINI SMOKE</v>
      </c>
    </row>
    <row r="316">
      <c r="A316" s="1">
        <f>IFERROR(__xludf.DUMMYFUNCTION("""COMPUTED_VALUE"""),3.65665859E8)</f>
        <v>365665859</v>
      </c>
      <c r="B316" s="1" t="str">
        <f>IFERROR(__xludf.DUMMYFUNCTION("""COMPUTED_VALUE"""),"LEXI TDR MINI PEKAT")</f>
        <v>LEXI TDR MINI PEKAT</v>
      </c>
    </row>
    <row r="317">
      <c r="A317" s="1">
        <f>IFERROR(__xludf.DUMMYFUNCTION("""COMPUTED_VALUE"""),4.52964285E8)</f>
        <v>452964285</v>
      </c>
      <c r="B317" s="1" t="str">
        <f>IFERROR(__xludf.DUMMYFUNCTION("""COMPUTED_VALUE"""),"LEXI STANDAR BENING 3MM")</f>
        <v>LEXI STANDAR BENING 3MM</v>
      </c>
    </row>
    <row r="318">
      <c r="A318" s="1">
        <f>IFERROR(__xludf.DUMMYFUNCTION("""COMPUTED_VALUE"""),9.63625842E8)</f>
        <v>963625842</v>
      </c>
      <c r="B318" s="1" t="str">
        <f>IFERROR(__xludf.DUMMYFUNCTION("""COMPUTED_VALUE"""),"LEXI STANDAR SMOKE 3MM")</f>
        <v>LEXI STANDAR SMOKE 3MM</v>
      </c>
    </row>
    <row r="319">
      <c r="A319" s="1">
        <f>IFERROR(__xludf.DUMMYFUNCTION("""COMPUTED_VALUE"""),9.40624877E8)</f>
        <v>940624877</v>
      </c>
      <c r="B319" s="1" t="str">
        <f>IFERROR(__xludf.DUMMYFUNCTION("""COMPUTED_VALUE"""),"LEXI V2 POLOS BENING 3MM")</f>
        <v>LEXI V2 POLOS BENING 3MM</v>
      </c>
    </row>
    <row r="320">
      <c r="A320" s="1">
        <f>IFERROR(__xludf.DUMMYFUNCTION("""COMPUTED_VALUE"""),5.51056091E8)</f>
        <v>551056091</v>
      </c>
      <c r="B320" s="1" t="str">
        <f>IFERROR(__xludf.DUMMYFUNCTION("""COMPUTED_VALUE"""),"LEXI V2 POLOS SMOKE 3MM")</f>
        <v>LEXI V2 POLOS SMOKE 3MM</v>
      </c>
    </row>
    <row r="321">
      <c r="A321" s="1">
        <f>IFERROR(__xludf.DUMMYFUNCTION("""COMPUTED_VALUE"""),5.23377275E8)</f>
        <v>523377275</v>
      </c>
      <c r="B321" s="1" t="str">
        <f>IFERROR(__xludf.DUMMYFUNCTION("""COMPUTED_VALUE"""),"LEXI V2 SIRIP BENING 3MM")</f>
        <v>LEXI V2 SIRIP BENING 3MM</v>
      </c>
    </row>
    <row r="322">
      <c r="A322" s="1">
        <f>IFERROR(__xludf.DUMMYFUNCTION("""COMPUTED_VALUE"""),7.83327275E8)</f>
        <v>783327275</v>
      </c>
      <c r="B322" s="1" t="str">
        <f>IFERROR(__xludf.DUMMYFUNCTION("""COMPUTED_VALUE"""),"LEXI V2 SIRIP SMOKE 3MM")</f>
        <v>LEXI V2 SIRIP SMOKE 3MM</v>
      </c>
    </row>
    <row r="323">
      <c r="A323" s="1">
        <f>IFERROR(__xludf.DUMMYFUNCTION("""COMPUTED_VALUE"""),9.25959948E8)</f>
        <v>925959948</v>
      </c>
      <c r="B323" s="1" t="str">
        <f>IFERROR(__xludf.DUMMYFUNCTION("""COMPUTED_VALUE"""),"LEXI V2 CYBORG BENING 3MM")</f>
        <v>LEXI V2 CYBORG BENING 3MM</v>
      </c>
    </row>
    <row r="324">
      <c r="A324" s="1">
        <f>IFERROR(__xludf.DUMMYFUNCTION("""COMPUTED_VALUE"""),7.71672978E8)</f>
        <v>771672978</v>
      </c>
      <c r="B324" s="1" t="str">
        <f>IFERROR(__xludf.DUMMYFUNCTION("""COMPUTED_VALUE"""),"LEXI V2 CYBORG SMOKE 3MM")</f>
        <v>LEXI V2 CYBORG SMOKE 3MM</v>
      </c>
    </row>
    <row r="325">
      <c r="A325" s="1">
        <f>IFERROR(__xludf.DUMMYFUNCTION("""COMPUTED_VALUE"""),4.05276883E8)</f>
        <v>405276883</v>
      </c>
      <c r="B325" s="1" t="str">
        <f>IFERROR(__xludf.DUMMYFUNCTION("""COMPUTED_VALUE"""),"LEXI V5 BENING 3MM")</f>
        <v>LEXI V5 BENING 3MM</v>
      </c>
    </row>
    <row r="326">
      <c r="A326" s="1">
        <f>IFERROR(__xludf.DUMMYFUNCTION("""COMPUTED_VALUE"""),1.50047707E8)</f>
        <v>150047707</v>
      </c>
      <c r="B326" s="1" t="str">
        <f>IFERROR(__xludf.DUMMYFUNCTION("""COMPUTED_VALUE"""),"LEXI V5 SMOKE 3MM")</f>
        <v>LEXI V5 SMOKE 3MM</v>
      </c>
    </row>
    <row r="327">
      <c r="A327" s="1">
        <f>IFERROR(__xludf.DUMMYFUNCTION("""COMPUTED_VALUE"""),3.20228848E8)</f>
        <v>320228848</v>
      </c>
      <c r="B327" s="1" t="str">
        <f>IFERROR(__xludf.DUMMYFUNCTION("""COMPUTED_VALUE"""),"LEXI V7 BENING 3MM")</f>
        <v>LEXI V7 BENING 3MM</v>
      </c>
    </row>
    <row r="328">
      <c r="A328" s="1">
        <f>IFERROR(__xludf.DUMMYFUNCTION("""COMPUTED_VALUE"""),6.38763466E8)</f>
        <v>638763466</v>
      </c>
      <c r="B328" s="1" t="str">
        <f>IFERROR(__xludf.DUMMYFUNCTION("""COMPUTED_VALUE"""),"LEXI V7 SMOKE 3MM")</f>
        <v>LEXI V7 SMOKE 3MM</v>
      </c>
    </row>
    <row r="329">
      <c r="A329" s="1">
        <f>IFERROR(__xludf.DUMMYFUNCTION("""COMPUTED_VALUE"""),9.50599354E8)</f>
        <v>950599354</v>
      </c>
      <c r="B329" s="1" t="str">
        <f>IFERROR(__xludf.DUMMYFUNCTION("""COMPUTED_VALUE"""),"LEXI OCITO 1 BENING 3MM")</f>
        <v>LEXI OCITO 1 BENING 3MM</v>
      </c>
    </row>
    <row r="330">
      <c r="A330" s="1">
        <f>IFERROR(__xludf.DUMMYFUNCTION("""COMPUTED_VALUE"""),6.45049052E8)</f>
        <v>645049052</v>
      </c>
      <c r="B330" s="1" t="str">
        <f>IFERROR(__xludf.DUMMYFUNCTION("""COMPUTED_VALUE"""),"LEXI OCITO 1 SMOKE 3MM")</f>
        <v>LEXI OCITO 1 SMOKE 3MM</v>
      </c>
    </row>
    <row r="331">
      <c r="A331" s="1">
        <f>IFERROR(__xludf.DUMMYFUNCTION("""COMPUTED_VALUE"""),8.13938209E8)</f>
        <v>813938209</v>
      </c>
      <c r="B331" s="1" t="str">
        <f>IFERROR(__xludf.DUMMYFUNCTION("""COMPUTED_VALUE"""),"LEXI OCITO 3 BENING 3MM")</f>
        <v>LEXI OCITO 3 BENING 3MM</v>
      </c>
    </row>
    <row r="332">
      <c r="A332" s="1">
        <f>IFERROR(__xludf.DUMMYFUNCTION("""COMPUTED_VALUE"""),4.62978629E8)</f>
        <v>462978629</v>
      </c>
      <c r="B332" s="1" t="str">
        <f>IFERROR(__xludf.DUMMYFUNCTION("""COMPUTED_VALUE"""),"LEXI OCITO 3 SMOKE 3MM")</f>
        <v>LEXI OCITO 3 SMOKE 3MM</v>
      </c>
    </row>
    <row r="333">
      <c r="A333" s="1">
        <f>IFERROR(__xludf.DUMMYFUNCTION("""COMPUTED_VALUE"""),3.53772055E8)</f>
        <v>353772055</v>
      </c>
      <c r="B333" s="1" t="str">
        <f>IFERROR(__xludf.DUMMYFUNCTION("""COMPUTED_VALUE"""),"LEXI OCITO 4  BENING 3MM")</f>
        <v>LEXI OCITO 4  BENING 3MM</v>
      </c>
    </row>
    <row r="334">
      <c r="A334" s="1">
        <f>IFERROR(__xludf.DUMMYFUNCTION("""COMPUTED_VALUE"""),6.55733691E8)</f>
        <v>655733691</v>
      </c>
      <c r="B334" s="1" t="str">
        <f>IFERROR(__xludf.DUMMYFUNCTION("""COMPUTED_VALUE"""),"LEXI OCITO 4 SMOKE 3MM")</f>
        <v>LEXI OCITO 4 SMOKE 3MM</v>
      </c>
    </row>
    <row r="335">
      <c r="A335" s="1">
        <f>IFERROR(__xludf.DUMMYFUNCTION("""COMPUTED_VALUE"""),3.37238912E8)</f>
        <v>337238912</v>
      </c>
      <c r="B335" s="1" t="str">
        <f>IFERROR(__xludf.DUMMYFUNCTION("""COMPUTED_VALUE"""),"LEXI FORTEX BENING 3MM")</f>
        <v>LEXI FORTEX BENING 3MM</v>
      </c>
    </row>
    <row r="336">
      <c r="A336" s="1">
        <f>IFERROR(__xludf.DUMMYFUNCTION("""COMPUTED_VALUE"""),6.82567622E8)</f>
        <v>682567622</v>
      </c>
      <c r="B336" s="1" t="str">
        <f>IFERROR(__xludf.DUMMYFUNCTION("""COMPUTED_VALUE"""),"LEXI FORTEX SMOKE 3MM")</f>
        <v>LEXI FORTEX SMOKE 3MM</v>
      </c>
    </row>
    <row r="337">
      <c r="A337" s="1">
        <f>IFERROR(__xludf.DUMMYFUNCTION("""COMPUTED_VALUE"""),2.85497839E8)</f>
        <v>285497839</v>
      </c>
      <c r="B337" s="1" t="str">
        <f>IFERROR(__xludf.DUMMYFUNCTION("""COMPUTED_VALUE"""),"XMAX STANDARD NEW BENING 4MM")</f>
        <v>XMAX STANDARD NEW BENING 4MM</v>
      </c>
    </row>
    <row r="338">
      <c r="A338" s="1">
        <f>IFERROR(__xludf.DUMMYFUNCTION("""COMPUTED_VALUE"""),6.3049658E8)</f>
        <v>630496580</v>
      </c>
      <c r="B338" s="1" t="str">
        <f>IFERROR(__xludf.DUMMYFUNCTION("""COMPUTED_VALUE"""),"XMAX STANDARD NEW SMOKE 4MM")</f>
        <v>XMAX STANDARD NEW SMOKE 4MM</v>
      </c>
    </row>
    <row r="339">
      <c r="A339" s="1">
        <f>IFERROR(__xludf.DUMMYFUNCTION("""COMPUTED_VALUE"""),2.48618492E8)</f>
        <v>248618492</v>
      </c>
      <c r="B339" s="1" t="str">
        <f>IFERROR(__xludf.DUMMYFUNCTION("""COMPUTED_VALUE"""),"XMAX STANDARD OLD BENING 4MM")</f>
        <v>XMAX STANDARD OLD BENING 4MM</v>
      </c>
    </row>
    <row r="340">
      <c r="A340" s="1">
        <f>IFERROR(__xludf.DUMMYFUNCTION("""COMPUTED_VALUE"""),4.46936142E8)</f>
        <v>446936142</v>
      </c>
      <c r="B340" s="1" t="str">
        <f>IFERROR(__xludf.DUMMYFUNCTION("""COMPUTED_VALUE"""),"XMAX STANDARD OLD SMOKE 4MM")</f>
        <v>XMAX STANDARD OLD SMOKE 4MM</v>
      </c>
    </row>
    <row r="341">
      <c r="A341" s="1">
        <f>IFERROR(__xludf.DUMMYFUNCTION("""COMPUTED_VALUE"""),8.07856931E8)</f>
        <v>807856931</v>
      </c>
      <c r="B341" s="1" t="str">
        <f>IFERROR(__xludf.DUMMYFUNCTION("""COMPUTED_VALUE"""),"XMAX PUIG NEW BENING 4MM")</f>
        <v>XMAX PUIG NEW BENING 4MM</v>
      </c>
    </row>
    <row r="342">
      <c r="A342" s="1">
        <f>IFERROR(__xludf.DUMMYFUNCTION("""COMPUTED_VALUE"""),9.29787821E8)</f>
        <v>929787821</v>
      </c>
      <c r="B342" s="1" t="str">
        <f>IFERROR(__xludf.DUMMYFUNCTION("""COMPUTED_VALUE"""),"XMAX PUIG NEW SMOKE 4MM")</f>
        <v>XMAX PUIG NEW SMOKE 4MM</v>
      </c>
    </row>
    <row r="343">
      <c r="A343" s="1">
        <f>IFERROR(__xludf.DUMMYFUNCTION("""COMPUTED_VALUE"""),6.24903301E8)</f>
        <v>624903301</v>
      </c>
      <c r="B343" s="1" t="str">
        <f>IFERROR(__xludf.DUMMYFUNCTION("""COMPUTED_VALUE"""),"XMAX PUIG OLD BENING 4MM")</f>
        <v>XMAX PUIG OLD BENING 4MM</v>
      </c>
    </row>
    <row r="344">
      <c r="A344" s="1">
        <f>IFERROR(__xludf.DUMMYFUNCTION("""COMPUTED_VALUE"""),4.5891979E8)</f>
        <v>458919790</v>
      </c>
      <c r="B344" s="1" t="str">
        <f>IFERROR(__xludf.DUMMYFUNCTION("""COMPUTED_VALUE"""),"XMAX PUIG OLD SMOKE 4MM")</f>
        <v>XMAX PUIG OLD SMOKE 4MM</v>
      </c>
    </row>
    <row r="345">
      <c r="A345" s="1">
        <f>IFERROR(__xludf.DUMMYFUNCTION("""COMPUTED_VALUE"""),2.19458739E8)</f>
        <v>219458739</v>
      </c>
      <c r="B345" s="1" t="str">
        <f>IFERROR(__xludf.DUMMYFUNCTION("""COMPUTED_VALUE"""),"XMAX PUIG OLD ICE BLUE 4MM")</f>
        <v>XMAX PUIG OLD ICE BLUE 4MM</v>
      </c>
    </row>
    <row r="346">
      <c r="A346" s="1">
        <f>IFERROR(__xludf.DUMMYFUNCTION("""COMPUTED_VALUE"""),8.0756591E8)</f>
        <v>807565910</v>
      </c>
      <c r="B346" s="1" t="str">
        <f>IFERROR(__xludf.DUMMYFUNCTION("""COMPUTED_VALUE"""),"XMAX PUIG OLD PEKAT 4MM")</f>
        <v>XMAX PUIG OLD PEKAT 4MM</v>
      </c>
    </row>
    <row r="347">
      <c r="A347" s="1">
        <f>IFERROR(__xludf.DUMMYFUNCTION("""COMPUTED_VALUE"""),7.30089617E8)</f>
        <v>730089617</v>
      </c>
      <c r="B347" s="1" t="str">
        <f>IFERROR(__xludf.DUMMYFUNCTION("""COMPUTED_VALUE"""),"XMAX TOURING NEW BENING 4MM")</f>
        <v>XMAX TOURING NEW BENING 4MM</v>
      </c>
    </row>
    <row r="348">
      <c r="A348" s="1">
        <f>IFERROR(__xludf.DUMMYFUNCTION("""COMPUTED_VALUE"""),5.37259873E8)</f>
        <v>537259873</v>
      </c>
      <c r="B348" s="1" t="str">
        <f>IFERROR(__xludf.DUMMYFUNCTION("""COMPUTED_VALUE"""),"XMAX TOURING NEW SMOKE 4MM")</f>
        <v>XMAX TOURING NEW SMOKE 4MM</v>
      </c>
    </row>
    <row r="349">
      <c r="A349" s="1">
        <f>IFERROR(__xludf.DUMMYFUNCTION("""COMPUTED_VALUE"""),7.6928266E8)</f>
        <v>769282660</v>
      </c>
      <c r="B349" s="1" t="str">
        <f>IFERROR(__xludf.DUMMYFUNCTION("""COMPUTED_VALUE"""),"XMAX TOURING OLD BENING 4MM")</f>
        <v>XMAX TOURING OLD BENING 4MM</v>
      </c>
    </row>
    <row r="350">
      <c r="A350" s="1">
        <f>IFERROR(__xludf.DUMMYFUNCTION("""COMPUTED_VALUE"""),6.92246273E8)</f>
        <v>692246273</v>
      </c>
      <c r="B350" s="1" t="str">
        <f>IFERROR(__xludf.DUMMYFUNCTION("""COMPUTED_VALUE"""),"XMAX TOURING OLD SMOKE 4MM")</f>
        <v>XMAX TOURING OLD SMOKE 4MM</v>
      </c>
    </row>
    <row r="351">
      <c r="A351" s="1">
        <f>IFERROR(__xludf.DUMMYFUNCTION("""COMPUTED_VALUE"""),1.28837154E8)</f>
        <v>128837154</v>
      </c>
      <c r="B351" s="1" t="str">
        <f>IFERROR(__xludf.DUMMYFUNCTION("""COMPUTED_VALUE"""),"XMAX MALOSSI NEW BENING 3MM")</f>
        <v>XMAX MALOSSI NEW BENING 3MM</v>
      </c>
    </row>
    <row r="352">
      <c r="A352" s="1">
        <f>IFERROR(__xludf.DUMMYFUNCTION("""COMPUTED_VALUE"""),2.27652516E8)</f>
        <v>227652516</v>
      </c>
      <c r="B352" s="1" t="str">
        <f>IFERROR(__xludf.DUMMYFUNCTION("""COMPUTED_VALUE"""),"XMAX MALOSSI NEW SMOKE 3MM")</f>
        <v>XMAX MALOSSI NEW SMOKE 3MM</v>
      </c>
    </row>
    <row r="353">
      <c r="A353" s="1">
        <f>IFERROR(__xludf.DUMMYFUNCTION("""COMPUTED_VALUE"""),7.35317059E8)</f>
        <v>735317059</v>
      </c>
      <c r="B353" s="1" t="str">
        <f>IFERROR(__xludf.DUMMYFUNCTION("""COMPUTED_VALUE"""),"XMAX MALOSSI OLD BENING 3MM")</f>
        <v>XMAX MALOSSI OLD BENING 3MM</v>
      </c>
    </row>
    <row r="354">
      <c r="A354" s="1">
        <f>IFERROR(__xludf.DUMMYFUNCTION("""COMPUTED_VALUE"""),9.98113008E8)</f>
        <v>998113008</v>
      </c>
      <c r="B354" s="1" t="str">
        <f>IFERROR(__xludf.DUMMYFUNCTION("""COMPUTED_VALUE"""),"XMAX MALOSSI OLD SMOKE 3MM")</f>
        <v>XMAX MALOSSI OLD SMOKE 3MM</v>
      </c>
    </row>
    <row r="355">
      <c r="A355" s="1">
        <f>IFERROR(__xludf.DUMMYFUNCTION("""COMPUTED_VALUE"""),9.03712291E8)</f>
        <v>903712291</v>
      </c>
      <c r="B355" s="1" t="str">
        <f>IFERROR(__xludf.DUMMYFUNCTION("""COMPUTED_VALUE"""),"XMAX MALOSSI OLD ICE BLUE 4MM")</f>
        <v>XMAX MALOSSI OLD ICE BLUE 4MM</v>
      </c>
    </row>
    <row r="356">
      <c r="A356" s="1">
        <f>IFERROR(__xludf.DUMMYFUNCTION("""COMPUTED_VALUE"""),3.26614901E8)</f>
        <v>326614901</v>
      </c>
      <c r="B356" s="1" t="str">
        <f>IFERROR(__xludf.DUMMYFUNCTION("""COMPUTED_VALUE"""),"XMAX BUBBLE NEW BENING 4MM")</f>
        <v>XMAX BUBBLE NEW BENING 4MM</v>
      </c>
    </row>
    <row r="357">
      <c r="A357" s="1">
        <f>IFERROR(__xludf.DUMMYFUNCTION("""COMPUTED_VALUE"""),5.96261868E8)</f>
        <v>596261868</v>
      </c>
      <c r="B357" s="1" t="str">
        <f>IFERROR(__xludf.DUMMYFUNCTION("""COMPUTED_VALUE"""),"XMAX BUBBLE NEW SMOKE 4MM")</f>
        <v>XMAX BUBBLE NEW SMOKE 4MM</v>
      </c>
    </row>
    <row r="358">
      <c r="A358" s="1">
        <f>IFERROR(__xludf.DUMMYFUNCTION("""COMPUTED_VALUE"""),4.64129395E8)</f>
        <v>464129395</v>
      </c>
      <c r="B358" s="1" t="str">
        <f>IFERROR(__xludf.DUMMYFUNCTION("""COMPUTED_VALUE"""),"XMAX BUBBLE OLD BENING 4MM")</f>
        <v>XMAX BUBBLE OLD BENING 4MM</v>
      </c>
    </row>
    <row r="359">
      <c r="A359" s="1">
        <f>IFERROR(__xludf.DUMMYFUNCTION("""COMPUTED_VALUE"""),1.504766E8)</f>
        <v>150476600</v>
      </c>
      <c r="B359" s="1" t="str">
        <f>IFERROR(__xludf.DUMMYFUNCTION("""COMPUTED_VALUE"""),"XMAX BUBBLE OLD SMOKE 4MM")</f>
        <v>XMAX BUBBLE OLD SMOKE 4MM</v>
      </c>
    </row>
    <row r="360">
      <c r="A360" s="1">
        <f>IFERROR(__xludf.DUMMYFUNCTION("""COMPUTED_VALUE"""),3.38542595E8)</f>
        <v>338542595</v>
      </c>
      <c r="B360" s="1" t="str">
        <f>IFERROR(__xludf.DUMMYFUNCTION("""COMPUTED_VALUE"""),"XMAX BUBBBLE OLD ICE BLUE 4MM")</f>
        <v>XMAX BUBBBLE OLD ICE BLUE 4MM</v>
      </c>
    </row>
    <row r="361">
      <c r="A361" s="1">
        <f>IFERROR(__xludf.DUMMYFUNCTION("""COMPUTED_VALUE"""),8.87034463E8)</f>
        <v>887034463</v>
      </c>
      <c r="B361" s="1" t="str">
        <f>IFERROR(__xludf.DUMMYFUNCTION("""COMPUTED_VALUE"""),"XMAX DIAMOND NEW BENING 3MM")</f>
        <v>XMAX DIAMOND NEW BENING 3MM</v>
      </c>
    </row>
    <row r="362">
      <c r="A362" s="1">
        <f>IFERROR(__xludf.DUMMYFUNCTION("""COMPUTED_VALUE"""),3.66982698E8)</f>
        <v>366982698</v>
      </c>
      <c r="B362" s="1" t="str">
        <f>IFERROR(__xludf.DUMMYFUNCTION("""COMPUTED_VALUE"""),"XMAX DIAMOND NEW SMOKE 3MM")</f>
        <v>XMAX DIAMOND NEW SMOKE 3MM</v>
      </c>
    </row>
    <row r="363">
      <c r="A363" s="1">
        <f>IFERROR(__xludf.DUMMYFUNCTION("""COMPUTED_VALUE"""),7.0426356E8)</f>
        <v>704263560</v>
      </c>
      <c r="B363" s="1" t="str">
        <f>IFERROR(__xludf.DUMMYFUNCTION("""COMPUTED_VALUE"""),"XMAX DIAMOND OLD BENING 3MM")</f>
        <v>XMAX DIAMOND OLD BENING 3MM</v>
      </c>
    </row>
    <row r="364">
      <c r="A364" s="1">
        <f>IFERROR(__xludf.DUMMYFUNCTION("""COMPUTED_VALUE"""),5.34596518E8)</f>
        <v>534596518</v>
      </c>
      <c r="B364" s="1" t="str">
        <f>IFERROR(__xludf.DUMMYFUNCTION("""COMPUTED_VALUE"""),"XMAX DIAMOND OLD SMOKE 3MM")</f>
        <v>XMAX DIAMOND OLD SMOKE 3MM</v>
      </c>
    </row>
    <row r="365">
      <c r="A365" s="1">
        <f>IFERROR(__xludf.DUMMYFUNCTION("""COMPUTED_VALUE"""),8.94720628E8)</f>
        <v>894720628</v>
      </c>
      <c r="B365" s="1" t="str">
        <f>IFERROR(__xludf.DUMMYFUNCTION("""COMPUTED_VALUE"""),"XMAX V2 NEW BENING 4MM")</f>
        <v>XMAX V2 NEW BENING 4MM</v>
      </c>
    </row>
    <row r="366">
      <c r="A366" s="1">
        <f>IFERROR(__xludf.DUMMYFUNCTION("""COMPUTED_VALUE"""),1.48920336E8)</f>
        <v>148920336</v>
      </c>
      <c r="B366" s="1" t="str">
        <f>IFERROR(__xludf.DUMMYFUNCTION("""COMPUTED_VALUE"""),"XMAX V2 NEW SMOKE 4MM")</f>
        <v>XMAX V2 NEW SMOKE 4MM</v>
      </c>
    </row>
    <row r="367">
      <c r="A367" s="1">
        <f>IFERROR(__xludf.DUMMYFUNCTION("""COMPUTED_VALUE"""),9.23178937E8)</f>
        <v>923178937</v>
      </c>
      <c r="B367" s="1" t="str">
        <f>IFERROR(__xludf.DUMMYFUNCTION("""COMPUTED_VALUE"""),"XMAX V2 OLD BENING 4MM")</f>
        <v>XMAX V2 OLD BENING 4MM</v>
      </c>
    </row>
    <row r="368">
      <c r="A368" s="1">
        <f>IFERROR(__xludf.DUMMYFUNCTION("""COMPUTED_VALUE"""),3.26929146E8)</f>
        <v>326929146</v>
      </c>
      <c r="B368" s="1" t="str">
        <f>IFERROR(__xludf.DUMMYFUNCTION("""COMPUTED_VALUE"""),"XMAX V2 OLD SMOKE 4MM")</f>
        <v>XMAX V2 OLD SMOKE 4MM</v>
      </c>
    </row>
    <row r="369">
      <c r="A369" s="1">
        <f>IFERROR(__xludf.DUMMYFUNCTION("""COMPUTED_VALUE"""),7.44916015E8)</f>
        <v>744916015</v>
      </c>
      <c r="B369" s="1" t="str">
        <f>IFERROR(__xludf.DUMMYFUNCTION("""COMPUTED_VALUE"""),"XMAX V2 OLD ICE BLUE 4MM")</f>
        <v>XMAX V2 OLD ICE BLUE 4MM</v>
      </c>
    </row>
    <row r="370">
      <c r="A370" s="1">
        <f>IFERROR(__xludf.DUMMYFUNCTION("""COMPUTED_VALUE"""),9.95750523E8)</f>
        <v>995750523</v>
      </c>
      <c r="B370" s="1" t="str">
        <f>IFERROR(__xludf.DUMMYFUNCTION("""COMPUTED_VALUE"""),"XMAX EROPA NEW BENING 3MM")</f>
        <v>XMAX EROPA NEW BENING 3MM</v>
      </c>
    </row>
    <row r="371">
      <c r="A371" s="1">
        <f>IFERROR(__xludf.DUMMYFUNCTION("""COMPUTED_VALUE"""),3.75371245E8)</f>
        <v>375371245</v>
      </c>
      <c r="B371" s="1" t="str">
        <f>IFERROR(__xludf.DUMMYFUNCTION("""COMPUTED_VALUE"""),"XMAX EROPA NEW SMOKE 3MM")</f>
        <v>XMAX EROPA NEW SMOKE 3MM</v>
      </c>
    </row>
    <row r="372">
      <c r="A372" s="1">
        <f>IFERROR(__xludf.DUMMYFUNCTION("""COMPUTED_VALUE"""),8.45859547E8)</f>
        <v>845859547</v>
      </c>
      <c r="B372" s="1" t="str">
        <f>IFERROR(__xludf.DUMMYFUNCTION("""COMPUTED_VALUE"""),"XMAX EROPA OLD BENING 3MM")</f>
        <v>XMAX EROPA OLD BENING 3MM</v>
      </c>
    </row>
    <row r="373">
      <c r="A373" s="1">
        <f>IFERROR(__xludf.DUMMYFUNCTION("""COMPUTED_VALUE"""),8.53426808E8)</f>
        <v>853426808</v>
      </c>
      <c r="B373" s="1" t="str">
        <f>IFERROR(__xludf.DUMMYFUNCTION("""COMPUTED_VALUE"""),"XMAX EROPA OLD SMOKE 3MM")</f>
        <v>XMAX EROPA OLD SMOKE 3MM</v>
      </c>
    </row>
    <row r="374">
      <c r="A374" s="1">
        <f>IFERROR(__xludf.DUMMYFUNCTION("""COMPUTED_VALUE"""),8.95447595E8)</f>
        <v>895447595</v>
      </c>
      <c r="B374" s="1" t="str">
        <f>IFERROR(__xludf.DUMMYFUNCTION("""COMPUTED_VALUE"""),"XMAX MINI DIAMOND NEW BENING 4MM")</f>
        <v>XMAX MINI DIAMOND NEW BENING 4MM</v>
      </c>
    </row>
    <row r="375">
      <c r="A375" s="1">
        <f>IFERROR(__xludf.DUMMYFUNCTION("""COMPUTED_VALUE"""),6.54663676E8)</f>
        <v>654663676</v>
      </c>
      <c r="B375" s="1" t="str">
        <f>IFERROR(__xludf.DUMMYFUNCTION("""COMPUTED_VALUE"""),"XMAX MINI DIAMOND NEW SMOKE 4MM")</f>
        <v>XMAX MINI DIAMOND NEW SMOKE 4MM</v>
      </c>
    </row>
    <row r="376">
      <c r="A376" s="1">
        <f>IFERROR(__xludf.DUMMYFUNCTION("""COMPUTED_VALUE"""),2.18791678E8)</f>
        <v>218791678</v>
      </c>
      <c r="B376" s="1" t="str">
        <f>IFERROR(__xludf.DUMMYFUNCTION("""COMPUTED_VALUE"""),"XMAX STANDAR MINI NEW BENING 4MM")</f>
        <v>XMAX STANDAR MINI NEW BENING 4MM</v>
      </c>
    </row>
    <row r="377">
      <c r="A377" s="1">
        <f>IFERROR(__xludf.DUMMYFUNCTION("""COMPUTED_VALUE"""),2.59060448E8)</f>
        <v>259060448</v>
      </c>
      <c r="B377" s="1" t="str">
        <f>IFERROR(__xludf.DUMMYFUNCTION("""COMPUTED_VALUE"""),"XMAX STANDAR MINI NEW SMOKE 4MM")</f>
        <v>XMAX STANDAR MINI NEW SMOKE 4MM</v>
      </c>
    </row>
    <row r="378">
      <c r="A378" s="1">
        <f>IFERROR(__xludf.DUMMYFUNCTION("""COMPUTED_VALUE"""),3.52500919E8)</f>
        <v>352500919</v>
      </c>
      <c r="B378" s="1" t="str">
        <f>IFERROR(__xludf.DUMMYFUNCTION("""COMPUTED_VALUE"""),"XMAX STANDAR MINI OLD BENING 4MM")</f>
        <v>XMAX STANDAR MINI OLD BENING 4MM</v>
      </c>
    </row>
    <row r="379">
      <c r="A379" s="1">
        <f>IFERROR(__xludf.DUMMYFUNCTION("""COMPUTED_VALUE"""),9.22750713E8)</f>
        <v>922750713</v>
      </c>
      <c r="B379" s="1" t="str">
        <f>IFERROR(__xludf.DUMMYFUNCTION("""COMPUTED_VALUE"""),"XMAX STANDAR MINI OLD SMOKE 4MM")</f>
        <v>XMAX STANDAR MINI OLD SMOKE 4MM</v>
      </c>
    </row>
    <row r="380">
      <c r="A380" s="1">
        <f>IFERROR(__xludf.DUMMYFUNCTION("""COMPUTED_VALUE"""),2.36302587E8)</f>
        <v>236302587</v>
      </c>
      <c r="B380" s="1" t="str">
        <f>IFERROR(__xludf.DUMMYFUNCTION("""COMPUTED_VALUE"""),"XMAX X2 NEW BENING 3MM")</f>
        <v>XMAX X2 NEW BENING 3MM</v>
      </c>
    </row>
    <row r="381">
      <c r="A381" s="1">
        <f>IFERROR(__xludf.DUMMYFUNCTION("""COMPUTED_VALUE"""),6.17518801E8)</f>
        <v>617518801</v>
      </c>
      <c r="B381" s="1" t="str">
        <f>IFERROR(__xludf.DUMMYFUNCTION("""COMPUTED_VALUE"""),"XMAX X2 COVER NEW BENING 3MM")</f>
        <v>XMAX X2 COVER NEW BENING 3MM</v>
      </c>
    </row>
    <row r="382">
      <c r="A382" s="1">
        <f>IFERROR(__xludf.DUMMYFUNCTION("""COMPUTED_VALUE"""),6.86199273E8)</f>
        <v>686199273</v>
      </c>
      <c r="B382" s="1" t="str">
        <f>IFERROR(__xludf.DUMMYFUNCTION("""COMPUTED_VALUE"""),"XMAX X2 OLD BENING 3MM")</f>
        <v>XMAX X2 OLD BENING 3MM</v>
      </c>
    </row>
    <row r="383">
      <c r="A383" s="1">
        <f>IFERROR(__xludf.DUMMYFUNCTION("""COMPUTED_VALUE"""),9.53344973E8)</f>
        <v>953344973</v>
      </c>
      <c r="B383" s="1" t="str">
        <f>IFERROR(__xludf.DUMMYFUNCTION("""COMPUTED_VALUE"""),"XMAX X2 COVER OLD BENING 3MM")</f>
        <v>XMAX X2 COVER OLD BENING 3MM</v>
      </c>
    </row>
    <row r="384">
      <c r="A384" s="1">
        <f>IFERROR(__xludf.DUMMYFUNCTION("""COMPUTED_VALUE"""),5.26328052E8)</f>
        <v>526328052</v>
      </c>
      <c r="B384" s="1" t="str">
        <f>IFERROR(__xludf.DUMMYFUNCTION("""COMPUTED_VALUE"""),"XMAX X2 NEW SMOKE 3MM")</f>
        <v>XMAX X2 NEW SMOKE 3MM</v>
      </c>
    </row>
    <row r="385">
      <c r="A385" s="1">
        <f>IFERROR(__xludf.DUMMYFUNCTION("""COMPUTED_VALUE"""),8.47057528E8)</f>
        <v>847057528</v>
      </c>
      <c r="B385" s="1" t="str">
        <f>IFERROR(__xludf.DUMMYFUNCTION("""COMPUTED_VALUE"""),"XMAX X2 COVER NEW SMOKE 3MM")</f>
        <v>XMAX X2 COVER NEW SMOKE 3MM</v>
      </c>
    </row>
    <row r="386">
      <c r="A386" s="1">
        <f>IFERROR(__xludf.DUMMYFUNCTION("""COMPUTED_VALUE"""),4.18653471E8)</f>
        <v>418653471</v>
      </c>
      <c r="B386" s="1" t="str">
        <f>IFERROR(__xludf.DUMMYFUNCTION("""COMPUTED_VALUE"""),"XMAX X2 OLD SMOKE 3MM")</f>
        <v>XMAX X2 OLD SMOKE 3MM</v>
      </c>
    </row>
    <row r="387">
      <c r="A387" s="1">
        <f>IFERROR(__xludf.DUMMYFUNCTION("""COMPUTED_VALUE"""),7.49862437E8)</f>
        <v>749862437</v>
      </c>
      <c r="B387" s="1" t="str">
        <f>IFERROR(__xludf.DUMMYFUNCTION("""COMPUTED_VALUE"""),"XMAX X2 COVER OLD SMOKE 3MM")</f>
        <v>XMAX X2 COVER OLD SMOKE 3MM</v>
      </c>
    </row>
    <row r="388">
      <c r="A388" s="1">
        <f>IFERROR(__xludf.DUMMYFUNCTION("""COMPUTED_VALUE"""),4.34118027E8)</f>
        <v>434118027</v>
      </c>
      <c r="B388" s="1" t="str">
        <f>IFERROR(__xludf.DUMMYFUNCTION("""COMPUTED_VALUE"""),"XMAX X2 NEW PEKAT 3MM")</f>
        <v>XMAX X2 NEW PEKAT 3MM</v>
      </c>
    </row>
    <row r="389">
      <c r="A389" s="1">
        <f>IFERROR(__xludf.DUMMYFUNCTION("""COMPUTED_VALUE"""),3.15334965E8)</f>
        <v>315334965</v>
      </c>
      <c r="B389" s="1" t="str">
        <f>IFERROR(__xludf.DUMMYFUNCTION("""COMPUTED_VALUE"""),"XMAX X2 COVER NEW PEKAT 3MM")</f>
        <v>XMAX X2 COVER NEW PEKAT 3MM</v>
      </c>
    </row>
    <row r="390">
      <c r="A390" s="1">
        <f>IFERROR(__xludf.DUMMYFUNCTION("""COMPUTED_VALUE"""),4.05087946E8)</f>
        <v>405087946</v>
      </c>
      <c r="B390" s="1" t="str">
        <f>IFERROR(__xludf.DUMMYFUNCTION("""COMPUTED_VALUE"""),"XMAX X2 OLD PEKAT 3MM")</f>
        <v>XMAX X2 OLD PEKAT 3MM</v>
      </c>
    </row>
    <row r="391">
      <c r="A391" s="1">
        <f>IFERROR(__xludf.DUMMYFUNCTION("""COMPUTED_VALUE"""),5.52092027E8)</f>
        <v>552092027</v>
      </c>
      <c r="B391" s="1" t="str">
        <f>IFERROR(__xludf.DUMMYFUNCTION("""COMPUTED_VALUE"""),"XMAX X2 COVER OLD PEKAT 3MM")</f>
        <v>XMAX X2 COVER OLD PEKAT 3MM</v>
      </c>
    </row>
    <row r="392">
      <c r="A392" s="1">
        <f>IFERROR(__xludf.DUMMYFUNCTION("""COMPUTED_VALUE"""),1.4560436E8)</f>
        <v>145604360</v>
      </c>
      <c r="B392" s="1" t="str">
        <f>IFERROR(__xludf.DUMMYFUNCTION("""COMPUTED_VALUE"""),"XMAX X3 OLD SMOKE 3MM")</f>
        <v>XMAX X3 OLD SMOKE 3MM</v>
      </c>
    </row>
    <row r="393">
      <c r="A393" s="1">
        <f>IFERROR(__xludf.DUMMYFUNCTION("""COMPUTED_VALUE"""),8.31066449E8)</f>
        <v>831066449</v>
      </c>
      <c r="B393" s="1" t="str">
        <f>IFERROR(__xludf.DUMMYFUNCTION("""COMPUTED_VALUE"""),"XMAX MALOSSI NEW PEKAT 3MM")</f>
        <v>XMAX MALOSSI NEW PEKAT 3MM</v>
      </c>
    </row>
    <row r="394">
      <c r="A394" s="1">
        <f>IFERROR(__xludf.DUMMYFUNCTION("""COMPUTED_VALUE"""),5.78436393E8)</f>
        <v>578436393</v>
      </c>
      <c r="B394" s="1" t="str">
        <f>IFERROR(__xludf.DUMMYFUNCTION("""COMPUTED_VALUE"""),"XMAX MALOSSI OLD PEKAT 3MM")</f>
        <v>XMAX MALOSSI OLD PEKAT 3MM</v>
      </c>
    </row>
    <row r="395">
      <c r="A395" s="1">
        <f>IFERROR(__xludf.DUMMYFUNCTION("""COMPUTED_VALUE"""),8.43314462E8)</f>
        <v>843314462</v>
      </c>
      <c r="B395" s="1" t="str">
        <f>IFERROR(__xludf.DUMMYFUNCTION("""COMPUTED_VALUE"""),"XMAX DIAMOND NEW PEKAT 3MM")</f>
        <v>XMAX DIAMOND NEW PEKAT 3MM</v>
      </c>
    </row>
    <row r="396">
      <c r="A396" s="1">
        <f>IFERROR(__xludf.DUMMYFUNCTION("""COMPUTED_VALUE"""),9.77365657E8)</f>
        <v>977365657</v>
      </c>
      <c r="B396" s="1" t="str">
        <f>IFERROR(__xludf.DUMMYFUNCTION("""COMPUTED_VALUE"""),"XMAX DIAMOND OLD PEKAT 3MM")</f>
        <v>XMAX DIAMOND OLD PEKAT 3MM</v>
      </c>
    </row>
    <row r="397">
      <c r="A397" s="1">
        <f>IFERROR(__xludf.DUMMYFUNCTION("""COMPUTED_VALUE"""),4.90860135E8)</f>
        <v>490860135</v>
      </c>
      <c r="B397" s="1" t="str">
        <f>IFERROR(__xludf.DUMMYFUNCTION("""COMPUTED_VALUE"""),"XMAX EROPA NEW PEKAT 3MM")</f>
        <v>XMAX EROPA NEW PEKAT 3MM</v>
      </c>
    </row>
    <row r="398">
      <c r="A398" s="1">
        <f>IFERROR(__xludf.DUMMYFUNCTION("""COMPUTED_VALUE"""),6.07924699E8)</f>
        <v>607924699</v>
      </c>
      <c r="B398" s="1" t="str">
        <f>IFERROR(__xludf.DUMMYFUNCTION("""COMPUTED_VALUE"""),"XMAX EROPA OLD PEKAT 3MM")</f>
        <v>XMAX EROPA OLD PEKAT 3MM</v>
      </c>
    </row>
    <row r="399">
      <c r="A399" s="1">
        <f>IFERROR(__xludf.DUMMYFUNCTION("""COMPUTED_VALUE"""),7.15839231E8)</f>
        <v>715839231</v>
      </c>
      <c r="B399" s="1" t="str">
        <f>IFERROR(__xludf.DUMMYFUNCTION("""COMPUTED_VALUE"""),"XMAX CORTEX NEW BENING 3MM")</f>
        <v>XMAX CORTEX NEW BENING 3MM</v>
      </c>
    </row>
    <row r="400">
      <c r="A400" s="1">
        <f>IFERROR(__xludf.DUMMYFUNCTION("""COMPUTED_VALUE"""),5.16964106E8)</f>
        <v>516964106</v>
      </c>
      <c r="B400" s="1" t="str">
        <f>IFERROR(__xludf.DUMMYFUNCTION("""COMPUTED_VALUE"""),"XMAX CORTEX NEW SMOKE 3MM")</f>
        <v>XMAX CORTEX NEW SMOKE 3MM</v>
      </c>
    </row>
    <row r="401">
      <c r="A401" s="1">
        <f>IFERROR(__xludf.DUMMYFUNCTION("""COMPUTED_VALUE"""),4.52210598E8)</f>
        <v>452210598</v>
      </c>
      <c r="B401" s="1" t="str">
        <f>IFERROR(__xludf.DUMMYFUNCTION("""COMPUTED_VALUE"""),"XMAX CORTEX NEW PEKAT 3MM")</f>
        <v>XMAX CORTEX NEW PEKAT 3MM</v>
      </c>
    </row>
    <row r="402">
      <c r="A402" s="1">
        <f>IFERROR(__xludf.DUMMYFUNCTION("""COMPUTED_VALUE"""),5.05600668E8)</f>
        <v>505600668</v>
      </c>
      <c r="B402" s="1" t="str">
        <f>IFERROR(__xludf.DUMMYFUNCTION("""COMPUTED_VALUE"""),"XMAX CORTEX OLD BENING 3MM")</f>
        <v>XMAX CORTEX OLD BENING 3MM</v>
      </c>
    </row>
    <row r="403">
      <c r="A403" s="1">
        <f>IFERROR(__xludf.DUMMYFUNCTION("""COMPUTED_VALUE"""),7.52329519E8)</f>
        <v>752329519</v>
      </c>
      <c r="B403" s="1" t="str">
        <f>IFERROR(__xludf.DUMMYFUNCTION("""COMPUTED_VALUE"""),"XMAX CORTEX OLD SMOKE 3MM")</f>
        <v>XMAX CORTEX OLD SMOKE 3MM</v>
      </c>
    </row>
    <row r="404">
      <c r="A404" s="1">
        <f>IFERROR(__xludf.DUMMYFUNCTION("""COMPUTED_VALUE"""),5.26835421E8)</f>
        <v>526835421</v>
      </c>
      <c r="B404" s="1" t="str">
        <f>IFERROR(__xludf.DUMMYFUNCTION("""COMPUTED_VALUE"""),"XMAX CORTEX OLD PEKAT 3MM")</f>
        <v>XMAX CORTEX OLD PEKAT 3MM</v>
      </c>
    </row>
    <row r="405">
      <c r="A405" s="1">
        <f>IFERROR(__xludf.DUMMYFUNCTION("""COMPUTED_VALUE"""),6.38388075E8)</f>
        <v>638388075</v>
      </c>
      <c r="B405" s="1" t="str">
        <f>IFERROR(__xludf.DUMMYFUNCTION("""COMPUTED_VALUE"""),"XMAX FALCON NEW BENING 3MM")</f>
        <v>XMAX FALCON NEW BENING 3MM</v>
      </c>
    </row>
    <row r="406">
      <c r="A406" s="1">
        <f>IFERROR(__xludf.DUMMYFUNCTION("""COMPUTED_VALUE"""),9.08158405E8)</f>
        <v>908158405</v>
      </c>
      <c r="B406" s="1" t="str">
        <f>IFERROR(__xludf.DUMMYFUNCTION("""COMPUTED_VALUE"""),"XMAX FALCON NEW SMOKE 3MM")</f>
        <v>XMAX FALCON NEW SMOKE 3MM</v>
      </c>
    </row>
    <row r="407">
      <c r="A407" s="1">
        <f>IFERROR(__xludf.DUMMYFUNCTION("""COMPUTED_VALUE"""),2.63104457E8)</f>
        <v>263104457</v>
      </c>
      <c r="B407" s="1" t="str">
        <f>IFERROR(__xludf.DUMMYFUNCTION("""COMPUTED_VALUE"""),"XMAX FALCON OLD BENING 3MM")</f>
        <v>XMAX FALCON OLD BENING 3MM</v>
      </c>
    </row>
    <row r="408">
      <c r="A408" s="1">
        <f>IFERROR(__xludf.DUMMYFUNCTION("""COMPUTED_VALUE"""),4.97865552E8)</f>
        <v>497865552</v>
      </c>
      <c r="B408" s="1" t="str">
        <f>IFERROR(__xludf.DUMMYFUNCTION("""COMPUTED_VALUE"""),"XMAX FALCON OLD SMOKE 3MM")</f>
        <v>XMAX FALCON OLD SMOKE 3MM</v>
      </c>
    </row>
    <row r="409">
      <c r="A409" s="1">
        <f>IFERROR(__xludf.DUMMYFUNCTION("""COMPUTED_VALUE"""),9.37999492E8)</f>
        <v>937999492</v>
      </c>
      <c r="B409" s="1" t="str">
        <f>IFERROR(__xludf.DUMMYFUNCTION("""COMPUTED_VALUE"""),"R15 V3 BENING 3MM DS")</f>
        <v>R15 V3 BENING 3MM DS</v>
      </c>
    </row>
    <row r="410">
      <c r="A410" s="1">
        <f>IFERROR(__xludf.DUMMYFUNCTION("""COMPUTED_VALUE"""),4.46061712E8)</f>
        <v>446061712</v>
      </c>
      <c r="B410" s="1" t="str">
        <f>IFERROR(__xludf.DUMMYFUNCTION("""COMPUTED_VALUE"""),"R15 V3 SMOKE 3MM DS")</f>
        <v>R15 V3 SMOKE 3MM DS</v>
      </c>
    </row>
    <row r="411">
      <c r="A411" s="1">
        <f>IFERROR(__xludf.DUMMYFUNCTION("""COMPUTED_VALUE"""),6.80737089E8)</f>
        <v>680737089</v>
      </c>
      <c r="B411" s="1" t="str">
        <f>IFERROR(__xludf.DUMMYFUNCTION("""COMPUTED_VALUE"""),"R15 V3 EROPA SMOKE")</f>
        <v>R15 V3 EROPA SMOKE</v>
      </c>
    </row>
    <row r="412">
      <c r="A412" s="1">
        <f>IFERROR(__xludf.DUMMYFUNCTION("""COMPUTED_VALUE"""),5.83209882E8)</f>
        <v>583209882</v>
      </c>
      <c r="B412" s="1" t="str">
        <f>IFERROR(__xludf.DUMMYFUNCTION("""COMPUTED_VALUE"""),"R15 V3 EROPA BENING")</f>
        <v>R15 V3 EROPA BENING</v>
      </c>
    </row>
    <row r="413">
      <c r="A413" s="1">
        <f>IFERROR(__xludf.DUMMYFUNCTION("""COMPUTED_VALUE"""),2.22299808E8)</f>
        <v>222299808</v>
      </c>
      <c r="B413" s="1" t="str">
        <f>IFERROR(__xludf.DUMMYFUNCTION("""COMPUTED_VALUE"""),"R15 V3 BENING O")</f>
        <v>R15 V3 BENING O</v>
      </c>
    </row>
    <row r="414">
      <c r="A414" s="1">
        <f>IFERROR(__xludf.DUMMYFUNCTION("""COMPUTED_VALUE"""),5.39866281E8)</f>
        <v>539866281</v>
      </c>
      <c r="B414" s="1" t="str">
        <f>IFERROR(__xludf.DUMMYFUNCTION("""COMPUTED_VALUE"""),"R15 V3 SMOKE O")</f>
        <v>R15 V3 SMOKE O</v>
      </c>
    </row>
    <row r="415">
      <c r="A415" s="1">
        <f>IFERROR(__xludf.DUMMYFUNCTION("""COMPUTED_VALUE"""),1.93686968E8)</f>
        <v>193686968</v>
      </c>
      <c r="B415" s="1" t="str">
        <f>IFERROR(__xludf.DUMMYFUNCTION("""COMPUTED_VALUE"""),"R15 V3 ICE BLUE")</f>
        <v>R15 V3 ICE BLUE</v>
      </c>
    </row>
    <row r="416">
      <c r="A416" s="1">
        <f>IFERROR(__xludf.DUMMYFUNCTION("""COMPUTED_VALUE"""),2.63595086E8)</f>
        <v>263595086</v>
      </c>
      <c r="B416" s="1" t="str">
        <f>IFERROR(__xludf.DUMMYFUNCTION("""COMPUTED_VALUE"""),"R15 V3 PEKAT")</f>
        <v>R15 V3 PEKAT</v>
      </c>
    </row>
    <row r="417">
      <c r="A417" s="1">
        <f>IFERROR(__xludf.DUMMYFUNCTION("""COMPUTED_VALUE"""),9.08511258E8)</f>
        <v>908511258</v>
      </c>
      <c r="B417" s="1" t="str">
        <f>IFERROR(__xludf.DUMMYFUNCTION("""COMPUTED_VALUE"""),"R15 V3 PEKAT O")</f>
        <v>R15 V3 PEKAT O</v>
      </c>
    </row>
    <row r="418">
      <c r="A418" s="1">
        <f>IFERROR(__xludf.DUMMYFUNCTION("""COMPUTED_VALUE"""),3.14900195E8)</f>
        <v>314900195</v>
      </c>
      <c r="B418" s="1" t="str">
        <f>IFERROR(__xludf.DUMMYFUNCTION("""COMPUTED_VALUE"""),"R15 V3 ICE BLUE O")</f>
        <v>R15 V3 ICE BLUE O</v>
      </c>
    </row>
    <row r="419">
      <c r="A419" s="1">
        <f>IFERROR(__xludf.DUMMYFUNCTION("""COMPUTED_VALUE"""),6.98569048E8)</f>
        <v>698569048</v>
      </c>
      <c r="B419" s="1" t="str">
        <f>IFERROR(__xludf.DUMMYFUNCTION("""COMPUTED_VALUE"""),"R15 V4 GT SMOKE")</f>
        <v>R15 V4 GT SMOKE</v>
      </c>
    </row>
    <row r="420">
      <c r="A420" s="1">
        <f>IFERROR(__xludf.DUMMYFUNCTION("""COMPUTED_VALUE"""),9.42505087E8)</f>
        <v>942505087</v>
      </c>
      <c r="B420" s="1" t="str">
        <f>IFERROR(__xludf.DUMMYFUNCTION("""COMPUTED_VALUE"""),"R15 V4 GT BENING")</f>
        <v>R15 V4 GT BENING</v>
      </c>
    </row>
    <row r="421">
      <c r="A421" s="1">
        <f>IFERROR(__xludf.DUMMYFUNCTION("""COMPUTED_VALUE"""),9.03512782E8)</f>
        <v>903512782</v>
      </c>
      <c r="B421" s="1" t="str">
        <f>IFERROR(__xludf.DUMMYFUNCTION("""COMPUTED_VALUE"""),"GSX 150 R BENING O")</f>
        <v>GSX 150 R BENING O</v>
      </c>
    </row>
    <row r="422">
      <c r="A422" s="1">
        <f>IFERROR(__xludf.DUMMYFUNCTION("""COMPUTED_VALUE"""),3.39641318E8)</f>
        <v>339641318</v>
      </c>
      <c r="B422" s="1" t="str">
        <f>IFERROR(__xludf.DUMMYFUNCTION("""COMPUTED_VALUE"""),"GSX 150 R SMOKE 0")</f>
        <v>GSX 150 R SMOKE 0</v>
      </c>
    </row>
    <row r="423">
      <c r="A423" s="1">
        <f>IFERROR(__xludf.DUMMYFUNCTION("""COMPUTED_VALUE"""),3.62573082E8)</f>
        <v>362573082</v>
      </c>
      <c r="B423" s="1" t="str">
        <f>IFERROR(__xludf.DUMMYFUNCTION("""COMPUTED_VALUE"""),"GSX 150 R SMOKE D")</f>
        <v>GSX 150 R SMOKE D</v>
      </c>
    </row>
    <row r="424">
      <c r="A424" s="1">
        <f>IFERROR(__xludf.DUMMYFUNCTION("""COMPUTED_VALUE"""),3.0483313E8)</f>
        <v>304833130</v>
      </c>
      <c r="B424" s="1" t="str">
        <f>IFERROR(__xludf.DUMMYFUNCTION("""COMPUTED_VALUE"""),"GSX 150 R BENING D")</f>
        <v>GSX 150 R BENING D</v>
      </c>
    </row>
    <row r="425">
      <c r="A425" s="1">
        <f>IFERROR(__xludf.DUMMYFUNCTION("""COMPUTED_VALUE"""),5.62019919E8)</f>
        <v>562019919</v>
      </c>
      <c r="B425" s="1" t="str">
        <f>IFERROR(__xludf.DUMMYFUNCTION("""COMPUTED_VALUE"""),"GSX 150 R PEKAT O")</f>
        <v>GSX 150 R PEKAT O</v>
      </c>
    </row>
    <row r="426">
      <c r="A426" s="1">
        <f>IFERROR(__xludf.DUMMYFUNCTION("""COMPUTED_VALUE"""),3.00996726E8)</f>
        <v>300996726</v>
      </c>
      <c r="B426" s="1" t="str">
        <f>IFERROR(__xludf.DUMMYFUNCTION("""COMPUTED_VALUE"""),"GSX 150 R ICE BLUE O")</f>
        <v>GSX 150 R ICE BLUE O</v>
      </c>
    </row>
    <row r="427">
      <c r="A427" s="1">
        <f>IFERROR(__xludf.DUMMYFUNCTION("""COMPUTED_VALUE"""),7.82269576E8)</f>
        <v>782269576</v>
      </c>
      <c r="B427" s="1" t="str">
        <f>IFERROR(__xludf.DUMMYFUNCTION("""COMPUTED_VALUE"""),"CBR K45R SMOKE O")</f>
        <v>CBR K45R SMOKE O</v>
      </c>
    </row>
    <row r="428">
      <c r="A428" s="1">
        <f>IFERROR(__xludf.DUMMYFUNCTION("""COMPUTED_VALUE"""),5.47115709E8)</f>
        <v>547115709</v>
      </c>
      <c r="B428" s="1" t="str">
        <f>IFERROR(__xludf.DUMMYFUNCTION("""COMPUTED_VALUE"""),"CBR K45R PEKAT O")</f>
        <v>CBR K45R PEKAT O</v>
      </c>
    </row>
    <row r="429">
      <c r="A429" s="1">
        <f>IFERROR(__xludf.DUMMYFUNCTION("""COMPUTED_VALUE"""),6.57232874E8)</f>
        <v>657232874</v>
      </c>
      <c r="B429" s="1" t="str">
        <f>IFERROR(__xludf.DUMMYFUNCTION("""COMPUTED_VALUE"""),"CBR K45R BENING O")</f>
        <v>CBR K45R BENING O</v>
      </c>
    </row>
    <row r="430">
      <c r="A430" s="1">
        <f>IFERROR(__xludf.DUMMYFUNCTION("""COMPUTED_VALUE"""),5.42559846E8)</f>
        <v>542559846</v>
      </c>
      <c r="B430" s="1" t="str">
        <f>IFERROR(__xludf.DUMMYFUNCTION("""COMPUTED_VALUE"""),"CBR K45N SMOKE")</f>
        <v>CBR K45N SMOKE</v>
      </c>
    </row>
    <row r="431">
      <c r="A431" s="1">
        <f>IFERROR(__xludf.DUMMYFUNCTION("""COMPUTED_VALUE"""),5.43253014E8)</f>
        <v>543253014</v>
      </c>
      <c r="B431" s="1" t="str">
        <f>IFERROR(__xludf.DUMMYFUNCTION("""COMPUTED_VALUE"""),"CBR K45N PEKAT")</f>
        <v>CBR K45N PEKAT</v>
      </c>
    </row>
    <row r="432">
      <c r="A432" s="1">
        <f>IFERROR(__xludf.DUMMYFUNCTION("""COMPUTED_VALUE"""),5.79284919E8)</f>
        <v>579284919</v>
      </c>
      <c r="B432" s="1" t="str">
        <f>IFERROR(__xludf.DUMMYFUNCTION("""COMPUTED_VALUE"""),"CBR K45N BENING")</f>
        <v>CBR K45N BENING</v>
      </c>
    </row>
    <row r="433">
      <c r="A433" s="1">
        <f>IFERROR(__xludf.DUMMYFUNCTION("""COMPUTED_VALUE"""),6.18520296E8)</f>
        <v>618520296</v>
      </c>
      <c r="B433" s="1" t="str">
        <f>IFERROR(__xludf.DUMMYFUNCTION("""COMPUTED_VALUE"""),"CBR K45G SMOKE")</f>
        <v>CBR K45G SMOKE</v>
      </c>
    </row>
    <row r="434">
      <c r="A434" s="1">
        <f>IFERROR(__xludf.DUMMYFUNCTION("""COMPUTED_VALUE"""),1.29247953E8)</f>
        <v>129247953</v>
      </c>
      <c r="B434" s="1" t="str">
        <f>IFERROR(__xludf.DUMMYFUNCTION("""COMPUTED_VALUE"""),"CBR K45G PEKAT")</f>
        <v>CBR K45G PEKAT</v>
      </c>
    </row>
    <row r="435">
      <c r="A435" s="1">
        <f>IFERROR(__xludf.DUMMYFUNCTION("""COMPUTED_VALUE"""),7.56284331E8)</f>
        <v>756284331</v>
      </c>
      <c r="B435" s="1" t="str">
        <f>IFERROR(__xludf.DUMMYFUNCTION("""COMPUTED_VALUE"""),"CBR K45G BENING")</f>
        <v>CBR K45G BENING</v>
      </c>
    </row>
    <row r="436">
      <c r="A436" s="1">
        <f>IFERROR(__xludf.DUMMYFUNCTION("""COMPUTED_VALUE"""),3.83156873E8)</f>
        <v>383156873</v>
      </c>
      <c r="B436" s="1" t="str">
        <f>IFERROR(__xludf.DUMMYFUNCTION("""COMPUTED_VALUE"""),"R25 MRA BENING")</f>
        <v>R25 MRA BENING</v>
      </c>
    </row>
    <row r="437">
      <c r="A437" s="1">
        <f>IFERROR(__xludf.DUMMYFUNCTION("""COMPUTED_VALUE"""),5.0243278E8)</f>
        <v>502432780</v>
      </c>
      <c r="B437" s="1" t="str">
        <f>IFERROR(__xludf.DUMMYFUNCTION("""COMPUTED_VALUE"""),"R25 MRA SMOKE")</f>
        <v>R25 MRA SMOKE</v>
      </c>
    </row>
    <row r="438">
      <c r="A438" s="1">
        <f>IFERROR(__xludf.DUMMYFUNCTION("""COMPUTED_VALUE"""),7.06317243E8)</f>
        <v>706317243</v>
      </c>
      <c r="B438" s="1" t="str">
        <f>IFERROR(__xludf.DUMMYFUNCTION("""COMPUTED_VALUE"""),"R25 MRA PEKAT")</f>
        <v>R25 MRA PEKAT</v>
      </c>
    </row>
    <row r="439">
      <c r="A439" s="1">
        <f>IFERROR(__xludf.DUMMYFUNCTION("""COMPUTED_VALUE"""),4.79289682E8)</f>
        <v>479289682</v>
      </c>
      <c r="B439" s="1" t="str">
        <f>IFERROR(__xludf.DUMMYFUNCTION("""COMPUTED_VALUE"""),"R25 MRA ICE BLUE")</f>
        <v>R25 MRA ICE BLUE</v>
      </c>
    </row>
    <row r="440">
      <c r="A440" s="1">
        <f>IFERROR(__xludf.DUMMYFUNCTION("""COMPUTED_VALUE"""),1.79537474E8)</f>
        <v>179537474</v>
      </c>
      <c r="B440" s="1" t="str">
        <f>IFERROR(__xludf.DUMMYFUNCTION("""COMPUTED_VALUE"""),"R25 OLD ZERO BENING")</f>
        <v>R25 OLD ZERO BENING</v>
      </c>
    </row>
    <row r="441">
      <c r="A441" s="1">
        <f>IFERROR(__xludf.DUMMYFUNCTION("""COMPUTED_VALUE"""),7.52894425E8)</f>
        <v>752894425</v>
      </c>
      <c r="B441" s="1" t="str">
        <f>IFERROR(__xludf.DUMMYFUNCTION("""COMPUTED_VALUE"""),"R25 OLD ZERO PEKAT")</f>
        <v>R25 OLD ZERO PEKAT</v>
      </c>
    </row>
    <row r="442">
      <c r="A442" s="1">
        <f>IFERROR(__xludf.DUMMYFUNCTION("""COMPUTED_VALUE"""),8.75180726E8)</f>
        <v>875180726</v>
      </c>
      <c r="B442" s="1" t="str">
        <f>IFERROR(__xludf.DUMMYFUNCTION("""COMPUTED_VALUE"""),"R25 OLD ZERO ICE BLUE")</f>
        <v>R25 OLD ZERO ICE BLUE</v>
      </c>
    </row>
    <row r="443">
      <c r="A443" s="1">
        <f>IFERROR(__xludf.DUMMYFUNCTION("""COMPUTED_VALUE"""),7.19849266E8)</f>
        <v>719849266</v>
      </c>
      <c r="B443" s="1" t="str">
        <f>IFERROR(__xludf.DUMMYFUNCTION("""COMPUTED_VALUE"""),"R25 OLD ZERO SMOKE")</f>
        <v>R25 OLD ZERO SMOKE</v>
      </c>
    </row>
    <row r="444">
      <c r="A444" s="1">
        <f>IFERROR(__xludf.DUMMYFUNCTION("""COMPUTED_VALUE"""),4.56794151E8)</f>
        <v>456794151</v>
      </c>
      <c r="B444" s="1" t="str">
        <f>IFERROR(__xludf.DUMMYFUNCTION("""COMPUTED_VALUE"""),"CBR 250 RR ZERO BENING 2023")</f>
        <v>CBR 250 RR ZERO BENING 2023</v>
      </c>
    </row>
    <row r="445">
      <c r="A445" s="1">
        <f>IFERROR(__xludf.DUMMYFUNCTION("""COMPUTED_VALUE"""),8.57627035E8)</f>
        <v>857627035</v>
      </c>
      <c r="B445" s="1" t="str">
        <f>IFERROR(__xludf.DUMMYFUNCTION("""COMPUTED_VALUE"""),"CBR 250 RR ZERO SMOKE 2023")</f>
        <v>CBR 250 RR ZERO SMOKE 2023</v>
      </c>
    </row>
    <row r="446">
      <c r="A446" s="1">
        <f>IFERROR(__xludf.DUMMYFUNCTION("""COMPUTED_VALUE"""),7.65418531E8)</f>
        <v>765418531</v>
      </c>
      <c r="B446" s="1" t="str">
        <f>IFERROR(__xludf.DUMMYFUNCTION("""COMPUTED_VALUE"""),"CBR 250 RR ZERO PEKAT 2023")</f>
        <v>CBR 250 RR ZERO PEKAT 2023</v>
      </c>
    </row>
    <row r="447">
      <c r="A447" s="1">
        <f>IFERROR(__xludf.DUMMYFUNCTION("""COMPUTED_VALUE"""),5.85765153E8)</f>
        <v>585765153</v>
      </c>
      <c r="B447" s="1" t="str">
        <f>IFERROR(__xludf.DUMMYFUNCTION("""COMPUTED_VALUE"""),"CBR 250 RR ZERO ICE BLUE 2023")</f>
        <v>CBR 250 RR ZERO ICE BLUE 2023</v>
      </c>
    </row>
    <row r="448">
      <c r="A448" s="1">
        <f>IFERROR(__xludf.DUMMYFUNCTION("""COMPUTED_VALUE"""),5.43529542E8)</f>
        <v>543529542</v>
      </c>
      <c r="B448" s="1" t="str">
        <f>IFERROR(__xludf.DUMMYFUNCTION("""COMPUTED_VALUE"""),"CBR 250 RR ZERO BENING")</f>
        <v>CBR 250 RR ZERO BENING</v>
      </c>
    </row>
    <row r="449">
      <c r="A449" s="1">
        <f>IFERROR(__xludf.DUMMYFUNCTION("""COMPUTED_VALUE"""),8.62572129E8)</f>
        <v>862572129</v>
      </c>
      <c r="B449" s="1" t="str">
        <f>IFERROR(__xludf.DUMMYFUNCTION("""COMPUTED_VALUE"""),"CBR 250 RR ZERO SMOKE")</f>
        <v>CBR 250 RR ZERO SMOKE</v>
      </c>
    </row>
    <row r="450">
      <c r="A450" s="1">
        <f>IFERROR(__xludf.DUMMYFUNCTION("""COMPUTED_VALUE"""),3.86786914E8)</f>
        <v>386786914</v>
      </c>
      <c r="B450" s="1" t="str">
        <f>IFERROR(__xludf.DUMMYFUNCTION("""COMPUTED_VALUE"""),"CBR 250 RR ZERO PEKAT")</f>
        <v>CBR 250 RR ZERO PEKAT</v>
      </c>
    </row>
    <row r="451">
      <c r="A451" s="1">
        <f>IFERROR(__xludf.DUMMYFUNCTION("""COMPUTED_VALUE"""),1.51098673E8)</f>
        <v>151098673</v>
      </c>
      <c r="B451" s="1" t="str">
        <f>IFERROR(__xludf.DUMMYFUNCTION("""COMPUTED_VALUE"""),"CBR 250 RR ZERO ICE BLUE")</f>
        <v>CBR 250 RR ZERO ICE BLUE</v>
      </c>
    </row>
    <row r="452">
      <c r="A452" s="1">
        <f>IFERROR(__xludf.DUMMYFUNCTION("""COMPUTED_VALUE"""),3.65325666E8)</f>
        <v>365325666</v>
      </c>
      <c r="B452" s="1" t="str">
        <f>IFERROR(__xludf.DUMMYFUNCTION("""COMPUTED_VALUE"""),"CBR 250 HOT BODIES PEKAT")</f>
        <v>CBR 250 HOT BODIES PEKAT</v>
      </c>
    </row>
    <row r="453">
      <c r="A453" s="1">
        <f>IFERROR(__xludf.DUMMYFUNCTION("""COMPUTED_VALUE"""),2.67843582E8)</f>
        <v>267843582</v>
      </c>
      <c r="B453" s="1" t="str">
        <f>IFERROR(__xludf.DUMMYFUNCTION("""COMPUTED_VALUE"""),"CBR 250 HOT BODIES SMOKE")</f>
        <v>CBR 250 HOT BODIES SMOKE</v>
      </c>
    </row>
    <row r="454">
      <c r="A454" s="1">
        <f>IFERROR(__xludf.DUMMYFUNCTION("""COMPUTED_VALUE"""),7.71071216E8)</f>
        <v>771071216</v>
      </c>
      <c r="B454" s="1" t="str">
        <f>IFERROR(__xludf.DUMMYFUNCTION("""COMPUTED_VALUE"""),"CBR 250 HOT BODIES BENING")</f>
        <v>CBR 250 HOT BODIES BENING</v>
      </c>
    </row>
    <row r="455">
      <c r="A455" s="1">
        <f>IFERROR(__xludf.DUMMYFUNCTION("""COMPUTED_VALUE"""),2.25088761E8)</f>
        <v>225088761</v>
      </c>
      <c r="B455" s="1" t="str">
        <f>IFERROR(__xludf.DUMMYFUNCTION("""COMPUTED_VALUE"""),"CBR 250 RR PENDEK SMOKE")</f>
        <v>CBR 250 RR PENDEK SMOKE</v>
      </c>
    </row>
    <row r="456">
      <c r="A456" s="1">
        <f>IFERROR(__xludf.DUMMYFUNCTION("""COMPUTED_VALUE"""),5.93376598E8)</f>
        <v>593376598</v>
      </c>
      <c r="B456" s="1" t="str">
        <f>IFERROR(__xludf.DUMMYFUNCTION("""COMPUTED_VALUE"""),"CBR 250 RR PENDEK BENING")</f>
        <v>CBR 250 RR PENDEK BENING</v>
      </c>
    </row>
    <row r="457">
      <c r="A457" s="1">
        <f>IFERROR(__xludf.DUMMYFUNCTION("""COMPUTED_VALUE"""),8.36305131E8)</f>
        <v>836305131</v>
      </c>
      <c r="B457" s="1" t="str">
        <f>IFERROR(__xludf.DUMMYFUNCTION("""COMPUTED_VALUE"""),"CBR 250 RR TINGGI SMOKE")</f>
        <v>CBR 250 RR TINGGI SMOKE</v>
      </c>
    </row>
    <row r="458">
      <c r="A458" s="1">
        <f>IFERROR(__xludf.DUMMYFUNCTION("""COMPUTED_VALUE"""),5.70965383E8)</f>
        <v>570965383</v>
      </c>
      <c r="B458" s="1" t="str">
        <f>IFERROR(__xludf.DUMMYFUNCTION("""COMPUTED_VALUE"""),"CBR 250 RR TINGGI BENING")</f>
        <v>CBR 250 RR TINGGI BENING</v>
      </c>
    </row>
    <row r="459">
      <c r="A459" s="1">
        <f>IFERROR(__xludf.DUMMYFUNCTION("""COMPUTED_VALUE"""),1.67184793E8)</f>
        <v>167184793</v>
      </c>
      <c r="B459" s="1" t="str">
        <f>IFERROR(__xludf.DUMMYFUNCTION("""COMPUTED_VALUE"""),"CBR 250 RR V3 SMOKE")</f>
        <v>CBR 250 RR V3 SMOKE</v>
      </c>
    </row>
    <row r="460">
      <c r="A460" s="1">
        <f>IFERROR(__xludf.DUMMYFUNCTION("""COMPUTED_VALUE"""),9.84999772E8)</f>
        <v>984999772</v>
      </c>
      <c r="B460" s="1" t="str">
        <f>IFERROR(__xludf.DUMMYFUNCTION("""COMPUTED_VALUE"""),"CBR 250 RR V3 BENING")</f>
        <v>CBR 250 RR V3 BENING</v>
      </c>
    </row>
    <row r="461">
      <c r="A461" s="1">
        <f>IFERROR(__xludf.DUMMYFUNCTION("""COMPUTED_VALUE"""),1.0039444E8)</f>
        <v>100394440</v>
      </c>
      <c r="B461" s="1" t="str">
        <f>IFERROR(__xludf.DUMMYFUNCTION("""COMPUTED_VALUE"""),"CBR NEW V3 SMOKE")</f>
        <v>CBR NEW V3 SMOKE</v>
      </c>
    </row>
    <row r="462">
      <c r="A462" s="1">
        <f>IFERROR(__xludf.DUMMYFUNCTION("""COMPUTED_VALUE"""),3.72427874E8)</f>
        <v>372427874</v>
      </c>
      <c r="B462" s="1" t="str">
        <f>IFERROR(__xludf.DUMMYFUNCTION("""COMPUTED_VALUE"""),"CBR NEW V3 BENING ")</f>
        <v>CBR NEW V3 BENING </v>
      </c>
    </row>
    <row r="463">
      <c r="A463" s="1">
        <f>IFERROR(__xludf.DUMMYFUNCTION("""COMPUTED_VALUE"""),2.4500953E8)</f>
        <v>245009530</v>
      </c>
      <c r="B463" s="1" t="str">
        <f>IFERROR(__xludf.DUMMYFUNCTION("""COMPUTED_VALUE"""),"CBR 250 HOT BODIES ICE BLUE")</f>
        <v>CBR 250 HOT BODIES ICE BLUE</v>
      </c>
    </row>
    <row r="464">
      <c r="A464" s="1">
        <f>IFERROR(__xludf.DUMMYFUNCTION("""COMPUTED_VALUE"""),7.30855348E8)</f>
        <v>730855348</v>
      </c>
      <c r="B464" s="1" t="str">
        <f>IFERROR(__xludf.DUMMYFUNCTION("""COMPUTED_VALUE"""),"CBR 250 OLD V2 SMOE")</f>
        <v>CBR 250 OLD V2 SMOE</v>
      </c>
    </row>
    <row r="465">
      <c r="A465" s="1">
        <f>IFERROR(__xludf.DUMMYFUNCTION("""COMPUTED_VALUE"""),6.95186006E8)</f>
        <v>695186006</v>
      </c>
      <c r="B465" s="1" t="str">
        <f>IFERROR(__xludf.DUMMYFUNCTION("""COMPUTED_VALUE"""),"CBR 250 OLD V2 BENING")</f>
        <v>CBR 250 OLD V2 BENING</v>
      </c>
    </row>
    <row r="466">
      <c r="A466" s="1">
        <f>IFERROR(__xludf.DUMMYFUNCTION("""COMPUTED_VALUE"""),4.78148811E8)</f>
        <v>478148811</v>
      </c>
      <c r="B466" s="1" t="str">
        <f>IFERROR(__xludf.DUMMYFUNCTION("""COMPUTED_VALUE"""),"NINJA 250 FI NEW ZERO BENING")</f>
        <v>NINJA 250 FI NEW ZERO BENING</v>
      </c>
    </row>
    <row r="467">
      <c r="A467" s="1">
        <f>IFERROR(__xludf.DUMMYFUNCTION("""COMPUTED_VALUE"""),3.65875257E8)</f>
        <v>365875257</v>
      </c>
      <c r="B467" s="1" t="str">
        <f>IFERROR(__xludf.DUMMYFUNCTION("""COMPUTED_VALUE"""),"NINJA 250 FI NEW ZERO SMOKE")</f>
        <v>NINJA 250 FI NEW ZERO SMOKE</v>
      </c>
    </row>
    <row r="468">
      <c r="A468" s="1">
        <f>IFERROR(__xludf.DUMMYFUNCTION("""COMPUTED_VALUE"""),9.43732971E8)</f>
        <v>943732971</v>
      </c>
      <c r="B468" s="1" t="str">
        <f>IFERROR(__xludf.DUMMYFUNCTION("""COMPUTED_VALUE"""),"NINJA 250 FI NEW ZERO ICE BLUE")</f>
        <v>NINJA 250 FI NEW ZERO ICE BLUE</v>
      </c>
    </row>
    <row r="469">
      <c r="A469" s="1">
        <f>IFERROR(__xludf.DUMMYFUNCTION("""COMPUTED_VALUE"""),7.89154748E8)</f>
        <v>789154748</v>
      </c>
      <c r="B469" s="1" t="str">
        <f>IFERROR(__xludf.DUMMYFUNCTION("""COMPUTED_VALUE"""),"NINJA 250 FI NEW ZERO PEKAT")</f>
        <v>NINJA 250 FI NEW ZERO PEKAT</v>
      </c>
    </row>
    <row r="470">
      <c r="A470" s="1">
        <f>IFERROR(__xludf.DUMMYFUNCTION("""COMPUTED_VALUE"""),3.50469158E8)</f>
        <v>350469158</v>
      </c>
      <c r="B470" s="1" t="str">
        <f>IFERROR(__xludf.DUMMYFUNCTION("""COMPUTED_VALUE"""),"NINJA 250 FI OLD ZERO BENING")</f>
        <v>NINJA 250 FI OLD ZERO BENING</v>
      </c>
    </row>
    <row r="471">
      <c r="A471" s="1">
        <f>IFERROR(__xludf.DUMMYFUNCTION("""COMPUTED_VALUE"""),6.97309344E8)</f>
        <v>697309344</v>
      </c>
      <c r="B471" s="1" t="str">
        <f>IFERROR(__xludf.DUMMYFUNCTION("""COMPUTED_VALUE"""),"NINJA 250 FI OLD ZERO SMOKE")</f>
        <v>NINJA 250 FI OLD ZERO SMOKE</v>
      </c>
    </row>
    <row r="472">
      <c r="A472" s="1">
        <f>IFERROR(__xludf.DUMMYFUNCTION("""COMPUTED_VALUE"""),5.55473226E8)</f>
        <v>555473226</v>
      </c>
      <c r="B472" s="1" t="str">
        <f>IFERROR(__xludf.DUMMYFUNCTION("""COMPUTED_VALUE"""),"NINJA 250 FI OLD ZERO PEKAT")</f>
        <v>NINJA 250 FI OLD ZERO PEKAT</v>
      </c>
    </row>
    <row r="473">
      <c r="A473" s="1">
        <f>IFERROR(__xludf.DUMMYFUNCTION("""COMPUTED_VALUE"""),5.96710961E8)</f>
        <v>596710961</v>
      </c>
      <c r="B473" s="1" t="str">
        <f>IFERROR(__xludf.DUMMYFUNCTION("""COMPUTED_VALUE"""),"NINJA 250 FI OLD ZERO ICE BLUE")</f>
        <v>NINJA 250 FI OLD ZERO ICE BLUE</v>
      </c>
    </row>
    <row r="474">
      <c r="A474" s="1">
        <f>IFERROR(__xludf.DUMMYFUNCTION("""COMPUTED_VALUE"""),9.08015196E8)</f>
        <v>908015196</v>
      </c>
      <c r="B474" s="1" t="str">
        <f>IFERROR(__xludf.DUMMYFUNCTION("""COMPUTED_VALUE"""),"NINJA 250 OLD FI ORANGE")</f>
        <v>NINJA 250 OLD FI ORANGE</v>
      </c>
    </row>
    <row r="475">
      <c r="A475" s="1">
        <f>IFERROR(__xludf.DUMMYFUNCTION("""COMPUTED_VALUE"""),8.56447041E8)</f>
        <v>856447041</v>
      </c>
      <c r="B475" s="1" t="str">
        <f>IFERROR(__xludf.DUMMYFUNCTION("""COMPUTED_VALUE"""),"NINJA 250 FI NEW MRA BENING")</f>
        <v>NINJA 250 FI NEW MRA BENING</v>
      </c>
    </row>
    <row r="476">
      <c r="A476" s="1">
        <f>IFERROR(__xludf.DUMMYFUNCTION("""COMPUTED_VALUE"""),5.45647089E8)</f>
        <v>545647089</v>
      </c>
      <c r="B476" s="1" t="str">
        <f>IFERROR(__xludf.DUMMYFUNCTION("""COMPUTED_VALUE"""),"NINJA 250 FI NEW MRA SMOKE")</f>
        <v>NINJA 250 FI NEW MRA SMOKE</v>
      </c>
    </row>
    <row r="477">
      <c r="A477" s="1">
        <f>IFERROR(__xludf.DUMMYFUNCTION("""COMPUTED_VALUE"""),1.62170209E8)</f>
        <v>162170209</v>
      </c>
      <c r="B477" s="1" t="str">
        <f>IFERROR(__xludf.DUMMYFUNCTION("""COMPUTED_VALUE"""),"NINJA 250 FI NEW MRA ICE BLUE")</f>
        <v>NINJA 250 FI NEW MRA ICE BLUE</v>
      </c>
    </row>
    <row r="478">
      <c r="A478" s="1">
        <f>IFERROR(__xludf.DUMMYFUNCTION("""COMPUTED_VALUE"""),8.02779725E8)</f>
        <v>802779725</v>
      </c>
      <c r="B478" s="1" t="str">
        <f>IFERROR(__xludf.DUMMYFUNCTION("""COMPUTED_VALUE"""),"NINJA 250 FI NEW MRA PEKAT")</f>
        <v>NINJA 250 FI NEW MRA PEKAT</v>
      </c>
    </row>
    <row r="479">
      <c r="A479" s="1">
        <f>IFERROR(__xludf.DUMMYFUNCTION("""COMPUTED_VALUE"""),3.93880564E8)</f>
        <v>393880564</v>
      </c>
      <c r="B479" s="1" t="str">
        <f>IFERROR(__xludf.DUMMYFUNCTION("""COMPUTED_VALUE"""),"NINJA 250 FI OLD MRA BENING")</f>
        <v>NINJA 250 FI OLD MRA BENING</v>
      </c>
    </row>
    <row r="480">
      <c r="A480" s="1">
        <f>IFERROR(__xludf.DUMMYFUNCTION("""COMPUTED_VALUE"""),4.9964924E8)</f>
        <v>499649240</v>
      </c>
      <c r="B480" s="1" t="str">
        <f>IFERROR(__xludf.DUMMYFUNCTION("""COMPUTED_VALUE"""),"NINJA 250 FI OLD MRA SMOKE")</f>
        <v>NINJA 250 FI OLD MRA SMOKE</v>
      </c>
    </row>
    <row r="481">
      <c r="A481" s="1">
        <f>IFERROR(__xludf.DUMMYFUNCTION("""COMPUTED_VALUE"""),5.88122928E8)</f>
        <v>588122928</v>
      </c>
      <c r="B481" s="1" t="str">
        <f>IFERROR(__xludf.DUMMYFUNCTION("""COMPUTED_VALUE"""),"NINJA 250 FI OLD MRA PEKAT")</f>
        <v>NINJA 250 FI OLD MRA PEKAT</v>
      </c>
    </row>
    <row r="482">
      <c r="A482" s="1">
        <f>IFERROR(__xludf.DUMMYFUNCTION("""COMPUTED_VALUE"""),5.28362643E8)</f>
        <v>528362643</v>
      </c>
      <c r="B482" s="1" t="str">
        <f>IFERROR(__xludf.DUMMYFUNCTION("""COMPUTED_VALUE"""),"NINJA 250 FI OLD MRA ICE BLUE")</f>
        <v>NINJA 250 FI OLD MRA ICE BLUE</v>
      </c>
    </row>
    <row r="483">
      <c r="A483" s="1">
        <f>IFERROR(__xludf.DUMMYFUNCTION("""COMPUTED_VALUE"""),1.26813768E8)</f>
        <v>126813768</v>
      </c>
      <c r="B483" s="1" t="str">
        <f>IFERROR(__xludf.DUMMYFUNCTION("""COMPUTED_VALUE"""),"NINJA 250 FI NEW SE BENING")</f>
        <v>NINJA 250 FI NEW SE BENING</v>
      </c>
    </row>
    <row r="484">
      <c r="A484" s="1">
        <f>IFERROR(__xludf.DUMMYFUNCTION("""COMPUTED_VALUE"""),4.21783311E8)</f>
        <v>421783311</v>
      </c>
      <c r="B484" s="1" t="str">
        <f>IFERROR(__xludf.DUMMYFUNCTION("""COMPUTED_VALUE"""),"NINJA 250 FI NEW SE SMOKE")</f>
        <v>NINJA 250 FI NEW SE SMOKE</v>
      </c>
    </row>
    <row r="485">
      <c r="A485" s="1">
        <f>IFERROR(__xludf.DUMMYFUNCTION("""COMPUTED_VALUE"""),8.4766581E8)</f>
        <v>847665810</v>
      </c>
      <c r="B485" s="1" t="str">
        <f>IFERROR(__xludf.DUMMYFUNCTION("""COMPUTED_VALUE"""),"NINJA 250 FI OLD SE BENING")</f>
        <v>NINJA 250 FI OLD SE BENING</v>
      </c>
    </row>
    <row r="486">
      <c r="A486" s="1">
        <f>IFERROR(__xludf.DUMMYFUNCTION("""COMPUTED_VALUE"""),1.35331243E8)</f>
        <v>135331243</v>
      </c>
      <c r="B486" s="1" t="str">
        <f>IFERROR(__xludf.DUMMYFUNCTION("""COMPUTED_VALUE"""),"NINJA 250 FI OLD SE SMOKE")</f>
        <v>NINJA 250 FI OLD SE SMOKE</v>
      </c>
    </row>
    <row r="487">
      <c r="A487" s="1">
        <f>IFERROR(__xludf.DUMMYFUNCTION("""COMPUTED_VALUE"""),9.1531898E8)</f>
        <v>915318980</v>
      </c>
      <c r="B487" s="1" t="str">
        <f>IFERROR(__xludf.DUMMYFUNCTION("""COMPUTED_VALUE"""),"NINJA 250 FI NEW V1 BENING")</f>
        <v>NINJA 250 FI NEW V1 BENING</v>
      </c>
    </row>
    <row r="488">
      <c r="A488" s="1">
        <f>IFERROR(__xludf.DUMMYFUNCTION("""COMPUTED_VALUE"""),7.36229729E8)</f>
        <v>736229729</v>
      </c>
      <c r="B488" s="1" t="str">
        <f>IFERROR(__xludf.DUMMYFUNCTION("""COMPUTED_VALUE"""),"NINJA 250 FI NEW V1 SMOKE")</f>
        <v>NINJA 250 FI NEW V1 SMOKE</v>
      </c>
    </row>
    <row r="489">
      <c r="A489" s="1">
        <f>IFERROR(__xludf.DUMMYFUNCTION("""COMPUTED_VALUE"""),1.03306792E8)</f>
        <v>103306792</v>
      </c>
      <c r="B489" s="1" t="str">
        <f>IFERROR(__xludf.DUMMYFUNCTION("""COMPUTED_VALUE"""),"NINJA 250 FI NEW HOT BODIES BENING")</f>
        <v>NINJA 250 FI NEW HOT BODIES BENING</v>
      </c>
    </row>
    <row r="490">
      <c r="A490" s="1">
        <f>IFERROR(__xludf.DUMMYFUNCTION("""COMPUTED_VALUE"""),8.6667307E8)</f>
        <v>866673070</v>
      </c>
      <c r="B490" s="1" t="str">
        <f>IFERROR(__xludf.DUMMYFUNCTION("""COMPUTED_VALUE"""),"NINJA 250 FI NEW HOT BODIES SMOKE")</f>
        <v>NINJA 250 FI NEW HOT BODIES SMOKE</v>
      </c>
    </row>
    <row r="491">
      <c r="A491" s="1">
        <f>IFERROR(__xludf.DUMMYFUNCTION("""COMPUTED_VALUE"""),4.88242108E8)</f>
        <v>488242108</v>
      </c>
      <c r="B491" s="1" t="str">
        <f>IFERROR(__xludf.DUMMYFUNCTION("""COMPUTED_VALUE"""),"NINJA OLD V3 SMOKE")</f>
        <v>NINJA OLD V3 SMOKE</v>
      </c>
    </row>
    <row r="492">
      <c r="A492" s="1">
        <f>IFERROR(__xludf.DUMMYFUNCTION("""COMPUTED_VALUE"""),2.73222306E8)</f>
        <v>273222306</v>
      </c>
      <c r="B492" s="1" t="str">
        <f>IFERROR(__xludf.DUMMYFUNCTION("""COMPUTED_VALUE"""),"NINJA NEW V3 SMOKE")</f>
        <v>NINJA NEW V3 SMOKE</v>
      </c>
    </row>
    <row r="493">
      <c r="A493" s="1">
        <f>IFERROR(__xludf.DUMMYFUNCTION("""COMPUTED_VALUE"""),7.8691126E8)</f>
        <v>786911260</v>
      </c>
      <c r="B493" s="1" t="str">
        <f>IFERROR(__xludf.DUMMYFUNCTION("""COMPUTED_VALUE"""),"NINJA NEW V3 BENING")</f>
        <v>NINJA NEW V3 BENING</v>
      </c>
    </row>
    <row r="494">
      <c r="A494" s="1">
        <f>IFERROR(__xludf.DUMMYFUNCTION("""COMPUTED_VALUE"""),4.27414085E8)</f>
        <v>427414085</v>
      </c>
      <c r="B494" s="1" t="str">
        <f>IFERROR(__xludf.DUMMYFUNCTION("""COMPUTED_VALUE"""),"ZX25R TINGGI SMOKE")</f>
        <v>ZX25R TINGGI SMOKE</v>
      </c>
    </row>
    <row r="495">
      <c r="A495" s="1">
        <f>IFERROR(__xludf.DUMMYFUNCTION("""COMPUTED_VALUE"""),4.74353829E8)</f>
        <v>474353829</v>
      </c>
      <c r="B495" s="1" t="str">
        <f>IFERROR(__xludf.DUMMYFUNCTION("""COMPUTED_VALUE"""),"ZX25R TINGGI BENING")</f>
        <v>ZX25R TINGGI BENING</v>
      </c>
    </row>
    <row r="496">
      <c r="A496" s="1">
        <f>IFERROR(__xludf.DUMMYFUNCTION("""COMPUTED_VALUE"""),5.74221692E8)</f>
        <v>574221692</v>
      </c>
      <c r="B496" s="1" t="str">
        <f>IFERROR(__xludf.DUMMYFUNCTION("""COMPUTED_VALUE"""),"ZX25R ZERO BENING")</f>
        <v>ZX25R ZERO BENING</v>
      </c>
    </row>
    <row r="497">
      <c r="A497" s="1">
        <f>IFERROR(__xludf.DUMMYFUNCTION("""COMPUTED_VALUE"""),5.65277123E8)</f>
        <v>565277123</v>
      </c>
      <c r="B497" s="1" t="str">
        <f>IFERROR(__xludf.DUMMYFUNCTION("""COMPUTED_VALUE"""),"ZX25R ZERO SMOKE")</f>
        <v>ZX25R ZERO SMOKE</v>
      </c>
    </row>
    <row r="498">
      <c r="A498" s="1">
        <f>IFERROR(__xludf.DUMMYFUNCTION("""COMPUTED_VALUE"""),2.05828422E8)</f>
        <v>205828422</v>
      </c>
      <c r="B498" s="1" t="str">
        <f>IFERROR(__xludf.DUMMYFUNCTION("""COMPUTED_VALUE"""),"ZX25R ZERO PEKAT ")</f>
        <v>ZX25R ZERO PEKAT </v>
      </c>
    </row>
    <row r="499">
      <c r="A499" s="1">
        <f>IFERROR(__xludf.DUMMYFUNCTION("""COMPUTED_VALUE"""),9.81442469E8)</f>
        <v>981442469</v>
      </c>
      <c r="B499" s="1" t="str">
        <f>IFERROR(__xludf.DUMMYFUNCTION("""COMPUTED_VALUE"""),"ZX25R VECTOR SMOKE")</f>
        <v>ZX25R VECTOR SMOKE</v>
      </c>
    </row>
    <row r="500">
      <c r="A500" s="1">
        <f>IFERROR(__xludf.DUMMYFUNCTION("""COMPUTED_VALUE"""),2.54846001E8)</f>
        <v>254846001</v>
      </c>
      <c r="B500" s="1" t="str">
        <f>IFERROR(__xludf.DUMMYFUNCTION("""COMPUTED_VALUE"""),"ZX25R VECTOR BENING")</f>
        <v>ZX25R VECTOR BENING</v>
      </c>
    </row>
    <row r="501">
      <c r="A501" s="1">
        <f>IFERROR(__xludf.DUMMYFUNCTION("""COMPUTED_VALUE"""),6.56303906E8)</f>
        <v>656303906</v>
      </c>
      <c r="B501" s="1" t="str">
        <f>IFERROR(__xludf.DUMMYFUNCTION("""COMPUTED_VALUE"""),"ZX25R ZERO V2 BENING")</f>
        <v>ZX25R ZERO V2 BENING</v>
      </c>
    </row>
    <row r="502">
      <c r="A502" s="1">
        <f>IFERROR(__xludf.DUMMYFUNCTION("""COMPUTED_VALUE"""),1.29217615E8)</f>
        <v>129217615</v>
      </c>
      <c r="B502" s="1" t="str">
        <f>IFERROR(__xludf.DUMMYFUNCTION("""COMPUTED_VALUE"""),"ZX25R ZERO V2 SMOKE")</f>
        <v>ZX25R ZERO V2 SMOKE</v>
      </c>
    </row>
    <row r="503">
      <c r="A503" s="1">
        <f>IFERROR(__xludf.DUMMYFUNCTION("""COMPUTED_VALUE"""),4.55479399E8)</f>
        <v>455479399</v>
      </c>
      <c r="B503" s="1" t="str">
        <f>IFERROR(__xludf.DUMMYFUNCTION("""COMPUTED_VALUE"""),"ZX25R PENDEK SMOKE")</f>
        <v>ZX25R PENDEK SMOKE</v>
      </c>
    </row>
    <row r="504">
      <c r="A504" s="1">
        <f>IFERROR(__xludf.DUMMYFUNCTION("""COMPUTED_VALUE"""),4.30486943E8)</f>
        <v>430486943</v>
      </c>
      <c r="B504" s="1" t="str">
        <f>IFERROR(__xludf.DUMMYFUNCTION("""COMPUTED_VALUE"""),"ZX25R PENDEK BENING")</f>
        <v>ZX25R PENDEK BENING</v>
      </c>
    </row>
    <row r="505">
      <c r="A505" s="1">
        <f>IFERROR(__xludf.DUMMYFUNCTION("""COMPUTED_VALUE"""),9.90359983E8)</f>
        <v>990359983</v>
      </c>
      <c r="B505" s="1" t="str">
        <f>IFERROR(__xludf.DUMMYFUNCTION("""COMPUTED_VALUE"""),"ZX25R RATA BENING")</f>
        <v>ZX25R RATA BENING</v>
      </c>
    </row>
    <row r="506">
      <c r="A506" s="1">
        <f>IFERROR(__xludf.DUMMYFUNCTION("""COMPUTED_VALUE"""),8.93324959E8)</f>
        <v>893324959</v>
      </c>
      <c r="B506" s="1" t="str">
        <f>IFERROR(__xludf.DUMMYFUNCTION("""COMPUTED_VALUE"""),"ZX25R RATA SMOKE")</f>
        <v>ZX25R RATA SMOKE</v>
      </c>
    </row>
    <row r="507">
      <c r="A507" s="1">
        <f>IFERROR(__xludf.DUMMYFUNCTION("""COMPUTED_VALUE"""),2.3812495E8)</f>
        <v>238124950</v>
      </c>
      <c r="B507" s="1" t="str">
        <f>IFERROR(__xludf.DUMMYFUNCTION("""COMPUTED_VALUE"""),"OCITO 1 NEW BENING")</f>
        <v>OCITO 1 NEW BENING</v>
      </c>
    </row>
    <row r="508">
      <c r="A508" s="1">
        <f>IFERROR(__xludf.DUMMYFUNCTION("""COMPUTED_VALUE"""),5.28931816E8)</f>
        <v>528931816</v>
      </c>
      <c r="B508" s="1" t="str">
        <f>IFERROR(__xludf.DUMMYFUNCTION("""COMPUTED_VALUE"""),"OCITO 1 NEW SMOKE")</f>
        <v>OCITO 1 NEW SMOKE</v>
      </c>
    </row>
    <row r="509">
      <c r="A509" s="1">
        <f>IFERROR(__xludf.DUMMYFUNCTION("""COMPUTED_VALUE"""),9.67759993E8)</f>
        <v>967759993</v>
      </c>
      <c r="B509" s="1" t="str">
        <f>IFERROR(__xludf.DUMMYFUNCTION("""COMPUTED_VALUE"""),"OCITO 1 NEW PEKAT")</f>
        <v>OCITO 1 NEW PEKAT</v>
      </c>
    </row>
    <row r="510">
      <c r="A510" s="1">
        <f>IFERROR(__xludf.DUMMYFUNCTION("""COMPUTED_VALUE"""),1.24124477E8)</f>
        <v>124124477</v>
      </c>
      <c r="B510" s="1" t="str">
        <f>IFERROR(__xludf.DUMMYFUNCTION("""COMPUTED_VALUE"""),"OCITO 1 NEW ICE BLUE")</f>
        <v>OCITO 1 NEW ICE BLUE</v>
      </c>
    </row>
    <row r="511">
      <c r="A511" s="1">
        <f>IFERROR(__xludf.DUMMYFUNCTION("""COMPUTED_VALUE"""),2.50577639E8)</f>
        <v>250577639</v>
      </c>
      <c r="B511" s="1" t="str">
        <f>IFERROR(__xludf.DUMMYFUNCTION("""COMPUTED_VALUE"""),"OCITO 1 OLD BENING")</f>
        <v>OCITO 1 OLD BENING</v>
      </c>
    </row>
    <row r="512">
      <c r="A512" s="1">
        <f>IFERROR(__xludf.DUMMYFUNCTION("""COMPUTED_VALUE"""),7.72130862E8)</f>
        <v>772130862</v>
      </c>
      <c r="B512" s="1" t="str">
        <f>IFERROR(__xludf.DUMMYFUNCTION("""COMPUTED_VALUE"""),"OCITO 1 OLD SMOKE")</f>
        <v>OCITO 1 OLD SMOKE</v>
      </c>
    </row>
    <row r="513">
      <c r="A513" s="1">
        <f>IFERROR(__xludf.DUMMYFUNCTION("""COMPUTED_VALUE"""),1.40718051E8)</f>
        <v>140718051</v>
      </c>
      <c r="B513" s="1" t="str">
        <f>IFERROR(__xludf.DUMMYFUNCTION("""COMPUTED_VALUE"""),"OCITO 1 OLD PEKAT")</f>
        <v>OCITO 1 OLD PEKAT</v>
      </c>
    </row>
    <row r="514">
      <c r="A514" s="1">
        <f>IFERROR(__xludf.DUMMYFUNCTION("""COMPUTED_VALUE"""),7.012714E8)</f>
        <v>701271400</v>
      </c>
      <c r="B514" s="1" t="str">
        <f>IFERROR(__xludf.DUMMYFUNCTION("""COMPUTED_VALUE"""),"OCITO 1 OLD ICE BLUE")</f>
        <v>OCITO 1 OLD ICE BLUE</v>
      </c>
    </row>
    <row r="515">
      <c r="A515" s="1">
        <f>IFERROR(__xludf.DUMMYFUNCTION("""COMPUTED_VALUE"""),6.91148058E8)</f>
        <v>691148058</v>
      </c>
      <c r="B515" s="1" t="str">
        <f>IFERROR(__xludf.DUMMYFUNCTION("""COMPUTED_VALUE"""),"OCITO 3 NEW BENING")</f>
        <v>OCITO 3 NEW BENING</v>
      </c>
    </row>
    <row r="516">
      <c r="A516" s="1">
        <f>IFERROR(__xludf.DUMMYFUNCTION("""COMPUTED_VALUE"""),6.64066474E8)</f>
        <v>664066474</v>
      </c>
      <c r="B516" s="1" t="str">
        <f>IFERROR(__xludf.DUMMYFUNCTION("""COMPUTED_VALUE"""),"OCITO 3 NEW PEKAT")</f>
        <v>OCITO 3 NEW PEKAT</v>
      </c>
    </row>
    <row r="517">
      <c r="A517" s="1">
        <f>IFERROR(__xludf.DUMMYFUNCTION("""COMPUTED_VALUE"""),4.82714608E8)</f>
        <v>482714608</v>
      </c>
      <c r="B517" s="1" t="str">
        <f>IFERROR(__xludf.DUMMYFUNCTION("""COMPUTED_VALUE"""),"OCITO 4 NEW BENING TINGGI")</f>
        <v>OCITO 4 NEW BENING TINGGI</v>
      </c>
    </row>
    <row r="518">
      <c r="A518" s="1">
        <f>IFERROR(__xludf.DUMMYFUNCTION("""COMPUTED_VALUE"""),1.12457578E8)</f>
        <v>112457578</v>
      </c>
      <c r="B518" s="1" t="str">
        <f>IFERROR(__xludf.DUMMYFUNCTION("""COMPUTED_VALUE"""),"OCITO 4 NEW SMOKE TINGGI")</f>
        <v>OCITO 4 NEW SMOKE TINGGI</v>
      </c>
    </row>
    <row r="519">
      <c r="A519" s="1">
        <f>IFERROR(__xludf.DUMMYFUNCTION("""COMPUTED_VALUE"""),6.32333395E8)</f>
        <v>632333395</v>
      </c>
      <c r="B519" s="1" t="str">
        <f>IFERROR(__xludf.DUMMYFUNCTION("""COMPUTED_VALUE"""),"OCITO 4 NEW PEKAT TINGGI")</f>
        <v>OCITO 4 NEW PEKAT TINGGI</v>
      </c>
    </row>
    <row r="520">
      <c r="A520" s="1">
        <f>IFERROR(__xludf.DUMMYFUNCTION("""COMPUTED_VALUE"""),1.20723568E8)</f>
        <v>120723568</v>
      </c>
      <c r="B520" s="1" t="str">
        <f>IFERROR(__xludf.DUMMYFUNCTION("""COMPUTED_VALUE"""),"OCITO 4 NEW ICE BLUE TINGGI")</f>
        <v>OCITO 4 NEW ICE BLUE TINGGI</v>
      </c>
    </row>
    <row r="521">
      <c r="A521" s="1">
        <f>IFERROR(__xludf.DUMMYFUNCTION("""COMPUTED_VALUE"""),9.61903005E8)</f>
        <v>961903005</v>
      </c>
      <c r="B521" s="1" t="str">
        <f>IFERROR(__xludf.DUMMYFUNCTION("""COMPUTED_VALUE"""),"OCITO 4 OLD BENING TINGGI")</f>
        <v>OCITO 4 OLD BENING TINGGI</v>
      </c>
    </row>
    <row r="522">
      <c r="A522" s="1">
        <f>IFERROR(__xludf.DUMMYFUNCTION("""COMPUTED_VALUE"""),4.35401383E8)</f>
        <v>435401383</v>
      </c>
      <c r="B522" s="1" t="str">
        <f>IFERROR(__xludf.DUMMYFUNCTION("""COMPUTED_VALUE"""),"OCITO 4 OLD SMOKE TINGGI")</f>
        <v>OCITO 4 OLD SMOKE TINGGI</v>
      </c>
    </row>
    <row r="523">
      <c r="A523" s="1">
        <f>IFERROR(__xludf.DUMMYFUNCTION("""COMPUTED_VALUE"""),6.10002536E8)</f>
        <v>610002536</v>
      </c>
      <c r="B523" s="1" t="str">
        <f>IFERROR(__xludf.DUMMYFUNCTION("""COMPUTED_VALUE"""),"OCITO 4 OLD PEKAT TINGGI")</f>
        <v>OCITO 4 OLD PEKAT TINGGI</v>
      </c>
    </row>
    <row r="524">
      <c r="A524" s="1">
        <f>IFERROR(__xludf.DUMMYFUNCTION("""COMPUTED_VALUE"""),8.94331756E8)</f>
        <v>894331756</v>
      </c>
      <c r="B524" s="1" t="str">
        <f>IFERROR(__xludf.DUMMYFUNCTION("""COMPUTED_VALUE"""),"OCITO 4 OLD ICE BLUE TINGGI")</f>
        <v>OCITO 4 OLD ICE BLUE TINGGI</v>
      </c>
    </row>
    <row r="525">
      <c r="A525" s="1">
        <f>IFERROR(__xludf.DUMMYFUNCTION("""COMPUTED_VALUE"""),5.29875561E8)</f>
        <v>529875561</v>
      </c>
      <c r="B525" s="1" t="str">
        <f>IFERROR(__xludf.DUMMYFUNCTION("""COMPUTED_VALUE"""),"OCITO 4 NEW BENING PENDEK")</f>
        <v>OCITO 4 NEW BENING PENDEK</v>
      </c>
    </row>
    <row r="526">
      <c r="A526" s="1">
        <f>IFERROR(__xludf.DUMMYFUNCTION("""COMPUTED_VALUE"""),2.44937493E8)</f>
        <v>244937493</v>
      </c>
      <c r="B526" s="1" t="str">
        <f>IFERROR(__xludf.DUMMYFUNCTION("""COMPUTED_VALUE"""),"OCITO 4 NEW SMOKE PENDEK")</f>
        <v>OCITO 4 NEW SMOKE PENDEK</v>
      </c>
    </row>
    <row r="527">
      <c r="A527" s="1">
        <f>IFERROR(__xludf.DUMMYFUNCTION("""COMPUTED_VALUE"""),6.32829848E8)</f>
        <v>632829848</v>
      </c>
      <c r="B527" s="1" t="str">
        <f>IFERROR(__xludf.DUMMYFUNCTION("""COMPUTED_VALUE"""),"OCITO 4 NEW PEKAT PENDEK")</f>
        <v>OCITO 4 NEW PEKAT PENDEK</v>
      </c>
    </row>
    <row r="528">
      <c r="A528" s="1">
        <f>IFERROR(__xludf.DUMMYFUNCTION("""COMPUTED_VALUE"""),8.47811975E8)</f>
        <v>847811975</v>
      </c>
      <c r="B528" s="1" t="str">
        <f>IFERROR(__xludf.DUMMYFUNCTION("""COMPUTED_VALUE"""),"OCITO 4 NEW ICE BLUE PENDEK")</f>
        <v>OCITO 4 NEW ICE BLUE PENDEK</v>
      </c>
    </row>
    <row r="529">
      <c r="A529" s="1">
        <f>IFERROR(__xludf.DUMMYFUNCTION("""COMPUTED_VALUE"""),4.19359592E8)</f>
        <v>419359592</v>
      </c>
      <c r="B529" s="1" t="str">
        <f>IFERROR(__xludf.DUMMYFUNCTION("""COMPUTED_VALUE"""),"OCITO 4 OLD BENING PENDEK")</f>
        <v>OCITO 4 OLD BENING PENDEK</v>
      </c>
    </row>
    <row r="530">
      <c r="A530" s="1">
        <f>IFERROR(__xludf.DUMMYFUNCTION("""COMPUTED_VALUE"""),6.47841574E8)</f>
        <v>647841574</v>
      </c>
      <c r="B530" s="1" t="str">
        <f>IFERROR(__xludf.DUMMYFUNCTION("""COMPUTED_VALUE"""),"OCITO 4 OLD SMOKE PENDEK")</f>
        <v>OCITO 4 OLD SMOKE PENDEK</v>
      </c>
    </row>
    <row r="531">
      <c r="A531" s="1">
        <f>IFERROR(__xludf.DUMMYFUNCTION("""COMPUTED_VALUE"""),7.48137886E8)</f>
        <v>748137886</v>
      </c>
      <c r="B531" s="1" t="str">
        <f>IFERROR(__xludf.DUMMYFUNCTION("""COMPUTED_VALUE"""),"OCITO 4 OLD PEKAT PENDEK")</f>
        <v>OCITO 4 OLD PEKAT PENDEK</v>
      </c>
    </row>
    <row r="532">
      <c r="A532" s="1">
        <f>IFERROR(__xludf.DUMMYFUNCTION("""COMPUTED_VALUE"""),7.39258169E8)</f>
        <v>739258169</v>
      </c>
      <c r="B532" s="1" t="str">
        <f>IFERROR(__xludf.DUMMYFUNCTION("""COMPUTED_VALUE"""),"OCITO 4 OLD ICE BLUE PENDEK")</f>
        <v>OCITO 4 OLD ICE BLUE PENDEK</v>
      </c>
    </row>
    <row r="533">
      <c r="A533" s="1">
        <f>IFERROR(__xludf.DUMMYFUNCTION("""COMPUTED_VALUE"""),2.67586997E8)</f>
        <v>267586997</v>
      </c>
      <c r="B533" s="1" t="str">
        <f>IFERROR(__xludf.DUMMYFUNCTION("""COMPUTED_VALUE"""),"TDR SPORTY NEW BENING")</f>
        <v>TDR SPORTY NEW BENING</v>
      </c>
    </row>
    <row r="534">
      <c r="A534" s="1">
        <f>IFERROR(__xludf.DUMMYFUNCTION("""COMPUTED_VALUE"""),1.80648783E8)</f>
        <v>180648783</v>
      </c>
      <c r="B534" s="1" t="str">
        <f>IFERROR(__xludf.DUMMYFUNCTION("""COMPUTED_VALUE"""),"TDR SPORTY NEW SMOKE")</f>
        <v>TDR SPORTY NEW SMOKE</v>
      </c>
    </row>
    <row r="535">
      <c r="A535" s="1">
        <f>IFERROR(__xludf.DUMMYFUNCTION("""COMPUTED_VALUE"""),6.51994792E8)</f>
        <v>651994792</v>
      </c>
      <c r="B535" s="1" t="str">
        <f>IFERROR(__xludf.DUMMYFUNCTION("""COMPUTED_VALUE"""),"TDR SPORTY NEW ICE BLUE")</f>
        <v>TDR SPORTY NEW ICE BLUE</v>
      </c>
    </row>
    <row r="536">
      <c r="A536" s="1">
        <f>IFERROR(__xludf.DUMMYFUNCTION("""COMPUTED_VALUE"""),6.21638022E8)</f>
        <v>621638022</v>
      </c>
      <c r="B536" s="1" t="str">
        <f>IFERROR(__xludf.DUMMYFUNCTION("""COMPUTED_VALUE"""),"TDR SPORTY NEW PEKAT")</f>
        <v>TDR SPORTY NEW PEKAT</v>
      </c>
    </row>
    <row r="537">
      <c r="A537" s="1">
        <f>IFERROR(__xludf.DUMMYFUNCTION("""COMPUTED_VALUE"""),9.05376794E8)</f>
        <v>905376794</v>
      </c>
      <c r="B537" s="1" t="str">
        <f>IFERROR(__xludf.DUMMYFUNCTION("""COMPUTED_VALUE"""),"TDR SPORTY OLD BENING")</f>
        <v>TDR SPORTY OLD BENING</v>
      </c>
    </row>
    <row r="538">
      <c r="A538" s="1">
        <f>IFERROR(__xludf.DUMMYFUNCTION("""COMPUTED_VALUE"""),7.49781159E8)</f>
        <v>749781159</v>
      </c>
      <c r="B538" s="1" t="str">
        <f>IFERROR(__xludf.DUMMYFUNCTION("""COMPUTED_VALUE"""),"TDR SPORTY OLD SMOKE")</f>
        <v>TDR SPORTY OLD SMOKE</v>
      </c>
    </row>
    <row r="539">
      <c r="A539" s="1">
        <f>IFERROR(__xludf.DUMMYFUNCTION("""COMPUTED_VALUE"""),2.35370635E8)</f>
        <v>235370635</v>
      </c>
      <c r="B539" s="1" t="str">
        <f>IFERROR(__xludf.DUMMYFUNCTION("""COMPUTED_VALUE"""),"TDR SPORTY OLD PEKAT")</f>
        <v>TDR SPORTY OLD PEKAT</v>
      </c>
    </row>
    <row r="540">
      <c r="A540" s="1">
        <f>IFERROR(__xludf.DUMMYFUNCTION("""COMPUTED_VALUE"""),4.51930356E8)</f>
        <v>451930356</v>
      </c>
      <c r="B540" s="1" t="str">
        <f>IFERROR(__xludf.DUMMYFUNCTION("""COMPUTED_VALUE"""),"TDR SPORTY OLD ICE BLUE")</f>
        <v>TDR SPORTY OLD ICE BLUE</v>
      </c>
    </row>
    <row r="541">
      <c r="A541" s="1">
        <f>IFERROR(__xludf.DUMMYFUNCTION("""COMPUTED_VALUE"""),3.59722614E8)</f>
        <v>359722614</v>
      </c>
      <c r="B541" s="1" t="str">
        <f>IFERROR(__xludf.DUMMYFUNCTION("""COMPUTED_VALUE"""),"TDR MINI NEW BENING")</f>
        <v>TDR MINI NEW BENING</v>
      </c>
    </row>
    <row r="542">
      <c r="A542" s="1">
        <f>IFERROR(__xludf.DUMMYFUNCTION("""COMPUTED_VALUE"""),6.23356123E8)</f>
        <v>623356123</v>
      </c>
      <c r="B542" s="1" t="str">
        <f>IFERROR(__xludf.DUMMYFUNCTION("""COMPUTED_VALUE"""),"TDR MINI NEW SMOKE")</f>
        <v>TDR MINI NEW SMOKE</v>
      </c>
    </row>
    <row r="543">
      <c r="A543" s="1">
        <f>IFERROR(__xludf.DUMMYFUNCTION("""COMPUTED_VALUE"""),6.03466564E8)</f>
        <v>603466564</v>
      </c>
      <c r="B543" s="1" t="str">
        <f>IFERROR(__xludf.DUMMYFUNCTION("""COMPUTED_VALUE"""),"TDR MINI NEW ICE BLUE 4MM")</f>
        <v>TDR MINI NEW ICE BLUE 4MM</v>
      </c>
    </row>
    <row r="544">
      <c r="A544" s="1">
        <f>IFERROR(__xludf.DUMMYFUNCTION("""COMPUTED_VALUE"""),5.83683086E8)</f>
        <v>583683086</v>
      </c>
      <c r="B544" s="1" t="str">
        <f>IFERROR(__xludf.DUMMYFUNCTION("""COMPUTED_VALUE"""),"TDR MINI NEW PEKAT")</f>
        <v>TDR MINI NEW PEKAT</v>
      </c>
    </row>
    <row r="545">
      <c r="A545" s="1">
        <f>IFERROR(__xludf.DUMMYFUNCTION("""COMPUTED_VALUE"""),4.2321794E8)</f>
        <v>423217940</v>
      </c>
      <c r="B545" s="1" t="str">
        <f>IFERROR(__xludf.DUMMYFUNCTION("""COMPUTED_VALUE"""),"TDR MINI OLD SMOKE")</f>
        <v>TDR MINI OLD SMOKE</v>
      </c>
    </row>
    <row r="546">
      <c r="A546" s="1">
        <f>IFERROR(__xludf.DUMMYFUNCTION("""COMPUTED_VALUE"""),4.86611078E8)</f>
        <v>486611078</v>
      </c>
      <c r="B546" s="1" t="str">
        <f>IFERROR(__xludf.DUMMYFUNCTION("""COMPUTED_VALUE"""),"TDR MINI OLD PEKAT")</f>
        <v>TDR MINI OLD PEKAT</v>
      </c>
    </row>
    <row r="547">
      <c r="A547" s="1">
        <f>IFERROR(__xludf.DUMMYFUNCTION("""COMPUTED_VALUE"""),8.66262004E8)</f>
        <v>866262004</v>
      </c>
      <c r="B547" s="1" t="str">
        <f>IFERROR(__xludf.DUMMYFUNCTION("""COMPUTED_VALUE"""),"TDR MINI OLD ICE BLUE")</f>
        <v>TDR MINI OLD ICE BLUE</v>
      </c>
    </row>
    <row r="548">
      <c r="A548" s="1">
        <f>IFERROR(__xludf.DUMMYFUNCTION("""COMPUTED_VALUE"""),3.14121681E8)</f>
        <v>314121681</v>
      </c>
      <c r="B548" s="1" t="str">
        <f>IFERROR(__xludf.DUMMYFUNCTION("""COMPUTED_VALUE"""),"TDR SIRIP NEW PEKAT 4MM")</f>
        <v>TDR SIRIP NEW PEKAT 4MM</v>
      </c>
    </row>
    <row r="549">
      <c r="A549" s="1">
        <f>IFERROR(__xludf.DUMMYFUNCTION("""COMPUTED_VALUE"""),7.51583018E8)</f>
        <v>751583018</v>
      </c>
      <c r="B549" s="1" t="str">
        <f>IFERROR(__xludf.DUMMYFUNCTION("""COMPUTED_VALUE"""),"TDR SIRIP OLD SMOKE 4MM")</f>
        <v>TDR SIRIP OLD SMOKE 4MM</v>
      </c>
    </row>
    <row r="550">
      <c r="A550" s="1">
        <f>IFERROR(__xludf.DUMMYFUNCTION("""COMPUTED_VALUE"""),6.47497499E8)</f>
        <v>647497499</v>
      </c>
      <c r="B550" s="1" t="str">
        <f>IFERROR(__xludf.DUMMYFUNCTION("""COMPUTED_VALUE"""),"TDR SIRIP OLD ICE BLUE 4MM")</f>
        <v>TDR SIRIP OLD ICE BLUE 4MM</v>
      </c>
    </row>
    <row r="551">
      <c r="A551" s="1">
        <f>IFERROR(__xludf.DUMMYFUNCTION("""COMPUTED_VALUE"""),4.78707573E8)</f>
        <v>478707573</v>
      </c>
      <c r="B551" s="1" t="str">
        <f>IFERROR(__xludf.DUMMYFUNCTION("""COMPUTED_VALUE"""),"Cover Cvt Aerox/Nmax New Bening 3MM")</f>
        <v>Cover Cvt Aerox/Nmax New Bening 3MM</v>
      </c>
    </row>
    <row r="552">
      <c r="A552" s="1">
        <f>IFERROR(__xludf.DUMMYFUNCTION("""COMPUTED_VALUE"""),6.78904157E8)</f>
        <v>678904157</v>
      </c>
      <c r="B552" s="1" t="str">
        <f>IFERROR(__xludf.DUMMYFUNCTION("""COMPUTED_VALUE"""),"Cover Cvt Aerox/Nmax New Smoke 3 MM")</f>
        <v>Cover Cvt Aerox/Nmax New Smoke 3 MM</v>
      </c>
    </row>
    <row r="553">
      <c r="A553" s="1">
        <f>IFERROR(__xludf.DUMMYFUNCTION("""COMPUTED_VALUE"""),4.40236903E8)</f>
        <v>440236903</v>
      </c>
      <c r="B553" s="1" t="str">
        <f>IFERROR(__xludf.DUMMYFUNCTION("""COMPUTED_VALUE"""),"Cover Cvt Aerox Old Bening 3MM")</f>
        <v>Cover Cvt Aerox Old Bening 3MM</v>
      </c>
    </row>
    <row r="554">
      <c r="A554" s="1">
        <f>IFERROR(__xludf.DUMMYFUNCTION("""COMPUTED_VALUE"""),7.78463531E8)</f>
        <v>778463531</v>
      </c>
      <c r="B554" s="1" t="str">
        <f>IFERROR(__xludf.DUMMYFUNCTION("""COMPUTED_VALUE"""),"Cover Cvt Aerox Old Smoke 3MM")</f>
        <v>Cover Cvt Aerox Old Smoke 3MM</v>
      </c>
    </row>
    <row r="555">
      <c r="A555" s="1">
        <f>IFERROR(__xludf.DUMMYFUNCTION("""COMPUTED_VALUE"""),4.84127273E8)</f>
        <v>484127273</v>
      </c>
      <c r="B555" s="1" t="str">
        <f>IFERROR(__xludf.DUMMYFUNCTION("""COMPUTED_VALUE"""),"Cover Cvt Aerox/New Bening 5MM")</f>
        <v>Cover Cvt Aerox/New Bening 5MM</v>
      </c>
    </row>
    <row r="556">
      <c r="A556" s="1">
        <f>IFERROR(__xludf.DUMMYFUNCTION("""COMPUTED_VALUE"""),3.93007388E8)</f>
        <v>393007388</v>
      </c>
      <c r="B556" s="1" t="str">
        <f>IFERROR(__xludf.DUMMYFUNCTION("""COMPUTED_VALUE"""),"Cover Cvt Aerox Old Bening 5MM")</f>
        <v>Cover Cvt Aerox Old Bening 5MM</v>
      </c>
    </row>
    <row r="557">
      <c r="A557" s="1">
        <f>IFERROR(__xludf.DUMMYFUNCTION("""COMPUTED_VALUE"""),1.38030245E8)</f>
        <v>138030245</v>
      </c>
      <c r="B557" s="1" t="str">
        <f>IFERROR(__xludf.DUMMYFUNCTION("""COMPUTED_VALUE"""),"Cover Cvt Nmax Old Bening 5MM")</f>
        <v>Cover Cvt Nmax Old Bening 5MM</v>
      </c>
    </row>
    <row r="558">
      <c r="A558" s="1">
        <f>IFERROR(__xludf.DUMMYFUNCTION("""COMPUTED_VALUE"""),8.01325482E8)</f>
        <v>801325482</v>
      </c>
      <c r="B558" s="1" t="str">
        <f>IFERROR(__xludf.DUMMYFUNCTION("""COMPUTED_VALUE"""),"Cover Cvt Nmax Old Bening 3MM")</f>
        <v>Cover Cvt Nmax Old Bening 3MM</v>
      </c>
    </row>
    <row r="559">
      <c r="A559" s="1">
        <f>IFERROR(__xludf.DUMMYFUNCTION("""COMPUTED_VALUE"""),8.71124003E8)</f>
        <v>871124003</v>
      </c>
      <c r="B559" s="1" t="str">
        <f>IFERROR(__xludf.DUMMYFUNCTION("""COMPUTED_VALUE"""),"Cover Cvt Nmax Old Smoke 3MM")</f>
        <v>Cover Cvt Nmax Old Smoke 3MM</v>
      </c>
    </row>
    <row r="560">
      <c r="A560" s="1">
        <f>IFERROR(__xludf.DUMMYFUNCTION("""COMPUTED_VALUE"""),3.7887607E8)</f>
        <v>378876070</v>
      </c>
      <c r="B560" s="1" t="str">
        <f>IFERROR(__xludf.DUMMYFUNCTION("""COMPUTED_VALUE"""),"Cover Radiator Yamaha FULL Smoke")</f>
        <v>Cover Radiator Yamaha FULL Smoke</v>
      </c>
    </row>
    <row r="561">
      <c r="A561" s="1">
        <f>IFERROR(__xludf.DUMMYFUNCTION("""COMPUTED_VALUE"""),4.93848563E8)</f>
        <v>493848563</v>
      </c>
      <c r="B561" s="1" t="str">
        <f>IFERROR(__xludf.DUMMYFUNCTION("""COMPUTED_VALUE"""),"Cover Radiator Yamaha Bening Smoke")</f>
        <v>Cover Radiator Yamaha Bening Smoke</v>
      </c>
    </row>
    <row r="562">
      <c r="A562" s="1">
        <f>IFERROR(__xludf.DUMMYFUNCTION("""COMPUTED_VALUE"""),4.72488987E8)</f>
        <v>472488987</v>
      </c>
      <c r="B562" s="1" t="str">
        <f>IFERROR(__xludf.DUMMYFUNCTION("""COMPUTED_VALUE"""),"Cover Radiator Yamaha FULL Bening")</f>
        <v>Cover Radiator Yamaha FULL Bening</v>
      </c>
    </row>
    <row r="563">
      <c r="A563" s="1">
        <f>IFERROR(__xludf.DUMMYFUNCTION("""COMPUTED_VALUE"""),7.21848438E8)</f>
        <v>721848438</v>
      </c>
      <c r="B563" s="1" t="str">
        <f>IFERROR(__xludf.DUMMYFUNCTION("""COMPUTED_VALUE"""),"Cover Radiator Yamaha Smoke Bening")</f>
        <v>Cover Radiator Yamaha Smoke Bening</v>
      </c>
    </row>
    <row r="564">
      <c r="A564" s="1">
        <f>IFERROR(__xludf.DUMMYFUNCTION("""COMPUTED_VALUE"""),9.36441508E8)</f>
        <v>936441508</v>
      </c>
      <c r="B564" s="1" t="str">
        <f>IFERROR(__xludf.DUMMYFUNCTION("""COMPUTED_VALUE"""),"Cover Radiator Honda Bening Smoke")</f>
        <v>Cover Radiator Honda Bening Smoke</v>
      </c>
    </row>
    <row r="565">
      <c r="A565" s="1">
        <f>IFERROR(__xludf.DUMMYFUNCTION("""COMPUTED_VALUE"""),1.32787013E8)</f>
        <v>132787013</v>
      </c>
      <c r="B565" s="1" t="str">
        <f>IFERROR(__xludf.DUMMYFUNCTION("""COMPUTED_VALUE"""),"Cover Radiator Honda FULL Smoke")</f>
        <v>Cover Radiator Honda FULL Smoke</v>
      </c>
    </row>
    <row r="566">
      <c r="A566" s="1">
        <f>IFERROR(__xludf.DUMMYFUNCTION("""COMPUTED_VALUE"""),9.88633639E8)</f>
        <v>988633639</v>
      </c>
      <c r="B566" s="1" t="str">
        <f>IFERROR(__xludf.DUMMYFUNCTION("""COMPUTED_VALUE"""),"Cover Radiator Honda Smoke Bening")</f>
        <v>Cover Radiator Honda Smoke Bening</v>
      </c>
    </row>
    <row r="567">
      <c r="A567" s="1">
        <f>IFERROR(__xludf.DUMMYFUNCTION("""COMPUTED_VALUE"""),5.92907318E8)</f>
        <v>592907318</v>
      </c>
      <c r="B567" s="1" t="str">
        <f>IFERROR(__xludf.DUMMYFUNCTION("""COMPUTED_VALUE"""),"Cover Radiator Honda FULL Bening")</f>
        <v>Cover Radiator Honda FULL Bening</v>
      </c>
    </row>
    <row r="568">
      <c r="A568" s="1">
        <f>IFERROR(__xludf.DUMMYFUNCTION("""COMPUTED_VALUE"""),4.85507226E8)</f>
        <v>485507226</v>
      </c>
      <c r="B568" s="1" t="str">
        <f>IFERROR(__xludf.DUMMYFUNCTION("""COMPUTED_VALUE"""),"Cover CVT DCW Aerox Old Merah")</f>
        <v>Cover CVT DCW Aerox Old Merah</v>
      </c>
    </row>
    <row r="569">
      <c r="A569" s="1">
        <f>IFERROR(__xludf.DUMMYFUNCTION("""COMPUTED_VALUE"""),4.44317805E8)</f>
        <v>444317805</v>
      </c>
      <c r="B569" s="1" t="str">
        <f>IFERROR(__xludf.DUMMYFUNCTION("""COMPUTED_VALUE"""),"Cover CVT DCW Aerox Old Biru")</f>
        <v>Cover CVT DCW Aerox Old Biru</v>
      </c>
    </row>
    <row r="570">
      <c r="A570" s="1">
        <f>IFERROR(__xludf.DUMMYFUNCTION("""COMPUTED_VALUE"""),1.55500876E8)</f>
        <v>155500876</v>
      </c>
      <c r="B570" s="1" t="str">
        <f>IFERROR(__xludf.DUMMYFUNCTION("""COMPUTED_VALUE"""),"Cover CVT DCW Aerox Old Silver")</f>
        <v>Cover CVT DCW Aerox Old Silver</v>
      </c>
    </row>
    <row r="571">
      <c r="A571" s="1">
        <f>IFERROR(__xludf.DUMMYFUNCTION("""COMPUTED_VALUE"""),8.6155758E8)</f>
        <v>861557580</v>
      </c>
      <c r="B571" s="1" t="str">
        <f>IFERROR(__xludf.DUMMYFUNCTION("""COMPUTED_VALUE"""),"Cover CVT DCW Aerox Old Gold")</f>
        <v>Cover CVT DCW Aerox Old Gold</v>
      </c>
    </row>
    <row r="572">
      <c r="A572" s="1">
        <f>IFERROR(__xludf.DUMMYFUNCTION("""COMPUTED_VALUE"""),9.47440358E8)</f>
        <v>947440358</v>
      </c>
      <c r="B572" s="1" t="str">
        <f>IFERROR(__xludf.DUMMYFUNCTION("""COMPUTED_VALUE"""),"Cover CVT DCW Aerox Old Rosegold")</f>
        <v>Cover CVT DCW Aerox Old Rosegold</v>
      </c>
    </row>
    <row r="573">
      <c r="A573" s="1">
        <f>IFERROR(__xludf.DUMMYFUNCTION("""COMPUTED_VALUE"""),3.06594875E8)</f>
        <v>306594875</v>
      </c>
      <c r="B573" s="1" t="str">
        <f>IFERROR(__xludf.DUMMYFUNCTION("""COMPUTED_VALUE"""),"Cover CVT DCW Aerox/Nmax New Merah")</f>
        <v>Cover CVT DCW Aerox/Nmax New Merah</v>
      </c>
    </row>
    <row r="574">
      <c r="A574" s="1">
        <f>IFERROR(__xludf.DUMMYFUNCTION("""COMPUTED_VALUE"""),1.80110093E8)</f>
        <v>180110093</v>
      </c>
      <c r="B574" s="1" t="str">
        <f>IFERROR(__xludf.DUMMYFUNCTION("""COMPUTED_VALUE"""),"Cover CVT DCW Aerox/Nmax New Biru")</f>
        <v>Cover CVT DCW Aerox/Nmax New Biru</v>
      </c>
    </row>
    <row r="575">
      <c r="A575" s="1">
        <f>IFERROR(__xludf.DUMMYFUNCTION("""COMPUTED_VALUE"""),1.80110093E8)</f>
        <v>180110093</v>
      </c>
      <c r="B575" s="1" t="str">
        <f>IFERROR(__xludf.DUMMYFUNCTION("""COMPUTED_VALUE"""),"Cover CVT DCW Aerox/Nmax New Silver")</f>
        <v>Cover CVT DCW Aerox/Nmax New Silver</v>
      </c>
    </row>
    <row r="576">
      <c r="A576" s="1">
        <f>IFERROR(__xludf.DUMMYFUNCTION("""COMPUTED_VALUE"""),5.11665219E8)</f>
        <v>511665219</v>
      </c>
      <c r="B576" s="1" t="str">
        <f>IFERROR(__xludf.DUMMYFUNCTION("""COMPUTED_VALUE"""),"Cover CVT DCW Aerox/Nmax New Gold")</f>
        <v>Cover CVT DCW Aerox/Nmax New Gold</v>
      </c>
    </row>
    <row r="577">
      <c r="A577" s="1">
        <f>IFERROR(__xludf.DUMMYFUNCTION("""COMPUTED_VALUE"""),2.35944464E8)</f>
        <v>235944464</v>
      </c>
      <c r="B577" s="1" t="str">
        <f>IFERROR(__xludf.DUMMYFUNCTION("""COMPUTED_VALUE"""),"Cover CVT DCW Aerox/Nmax New Rosegold")</f>
        <v>Cover CVT DCW Aerox/Nmax New Rosegold</v>
      </c>
    </row>
    <row r="578">
      <c r="A578" s="1">
        <f>IFERROR(__xludf.DUMMYFUNCTION("""COMPUTED_VALUE"""),8.69540787E8)</f>
        <v>869540787</v>
      </c>
      <c r="B578" s="1" t="str">
        <f>IFERROR(__xludf.DUMMYFUNCTION("""COMPUTED_VALUE"""),"Cover CVT DCW Nmax Old Merah")</f>
        <v>Cover CVT DCW Nmax Old Merah</v>
      </c>
    </row>
    <row r="579">
      <c r="A579" s="1">
        <f>IFERROR(__xludf.DUMMYFUNCTION("""COMPUTED_VALUE"""),4.3914754E8)</f>
        <v>439147540</v>
      </c>
      <c r="B579" s="1" t="str">
        <f>IFERROR(__xludf.DUMMYFUNCTION("""COMPUTED_VALUE"""),"Cover CVT DCW Nmax Old Biru")</f>
        <v>Cover CVT DCW Nmax Old Biru</v>
      </c>
    </row>
    <row r="580">
      <c r="A580" s="1">
        <f>IFERROR(__xludf.DUMMYFUNCTION("""COMPUTED_VALUE"""),6.81779372E8)</f>
        <v>681779372</v>
      </c>
      <c r="B580" s="1" t="str">
        <f>IFERROR(__xludf.DUMMYFUNCTION("""COMPUTED_VALUE"""),"Cover CVT DCW Nmax Old Silver")</f>
        <v>Cover CVT DCW Nmax Old Silver</v>
      </c>
    </row>
    <row r="581">
      <c r="A581" s="1">
        <f>IFERROR(__xludf.DUMMYFUNCTION("""COMPUTED_VALUE"""),7.21995993E8)</f>
        <v>721995993</v>
      </c>
      <c r="B581" s="1" t="str">
        <f>IFERROR(__xludf.DUMMYFUNCTION("""COMPUTED_VALUE"""),"Cover CVT DCW Nmax Old Gold")</f>
        <v>Cover CVT DCW Nmax Old Gold</v>
      </c>
    </row>
    <row r="582">
      <c r="A582" s="1">
        <f>IFERROR(__xludf.DUMMYFUNCTION("""COMPUTED_VALUE"""),5.18965314E8)</f>
        <v>518965314</v>
      </c>
      <c r="B582" s="1" t="str">
        <f>IFERROR(__xludf.DUMMYFUNCTION("""COMPUTED_VALUE"""),"Cover CVT DCW Nmax Old Rosegold")</f>
        <v>Cover CVT DCW Nmax Old Rosegold</v>
      </c>
    </row>
    <row r="583">
      <c r="A583" s="1">
        <f>IFERROR(__xludf.DUMMYFUNCTION("""COMPUTED_VALUE"""),7.07151297E8)</f>
        <v>707151297</v>
      </c>
      <c r="B583" s="1" t="str">
        <f>IFERROR(__xludf.DUMMYFUNCTION("""COMPUTED_VALUE"""),"Cover Radiator Yamaha DCW APEX Merah")</f>
        <v>Cover Radiator Yamaha DCW APEX Merah</v>
      </c>
    </row>
    <row r="584">
      <c r="A584" s="1">
        <f>IFERROR(__xludf.DUMMYFUNCTION("""COMPUTED_VALUE"""),1.50366717E8)</f>
        <v>150366717</v>
      </c>
      <c r="B584" s="1" t="str">
        <f>IFERROR(__xludf.DUMMYFUNCTION("""COMPUTED_VALUE"""),"Cover Radiator Yamaha DCW APEX Biru")</f>
        <v>Cover Radiator Yamaha DCW APEX Biru</v>
      </c>
    </row>
    <row r="585">
      <c r="A585" s="1">
        <f>IFERROR(__xludf.DUMMYFUNCTION("""COMPUTED_VALUE"""),3.46075161E8)</f>
        <v>346075161</v>
      </c>
      <c r="B585" s="1" t="str">
        <f>IFERROR(__xludf.DUMMYFUNCTION("""COMPUTED_VALUE"""),"Cover Radiator Yamaha DCW APEX Silver")</f>
        <v>Cover Radiator Yamaha DCW APEX Silver</v>
      </c>
    </row>
    <row r="586">
      <c r="A586" s="1">
        <f>IFERROR(__xludf.DUMMYFUNCTION("""COMPUTED_VALUE"""),3.4693136E8)</f>
        <v>346931360</v>
      </c>
      <c r="B586" s="1" t="str">
        <f>IFERROR(__xludf.DUMMYFUNCTION("""COMPUTED_VALUE"""),"Cover Radiator Yamaha DCW APEX Gold")</f>
        <v>Cover Radiator Yamaha DCW APEX Gold</v>
      </c>
    </row>
    <row r="587">
      <c r="A587" s="1">
        <f>IFERROR(__xludf.DUMMYFUNCTION("""COMPUTED_VALUE"""),1.89831569E8)</f>
        <v>189831569</v>
      </c>
      <c r="B587" s="1" t="str">
        <f>IFERROR(__xludf.DUMMYFUNCTION("""COMPUTED_VALUE"""),"Cover Radiator Yamaha DCW APEX Rosegold")</f>
        <v>Cover Radiator Yamaha DCW APEX Rosegold</v>
      </c>
    </row>
    <row r="588">
      <c r="A588" s="1">
        <f>IFERROR(__xludf.DUMMYFUNCTION("""COMPUTED_VALUE"""),7.15933942E8)</f>
        <v>715933942</v>
      </c>
      <c r="B588" s="1" t="str">
        <f>IFERROR(__xludf.DUMMYFUNCTION("""COMPUTED_VALUE"""),"Cover Radiator Yamaha DCW HEXA Merah")</f>
        <v>Cover Radiator Yamaha DCW HEXA Merah</v>
      </c>
    </row>
    <row r="589">
      <c r="A589" s="1">
        <f>IFERROR(__xludf.DUMMYFUNCTION("""COMPUTED_VALUE"""),1.04918257E8)</f>
        <v>104918257</v>
      </c>
      <c r="B589" s="1" t="str">
        <f>IFERROR(__xludf.DUMMYFUNCTION("""COMPUTED_VALUE"""),"Cover Radiator Yamaha DCW HEXA Biru")</f>
        <v>Cover Radiator Yamaha DCW HEXA Biru</v>
      </c>
    </row>
    <row r="590">
      <c r="A590" s="1">
        <f>IFERROR(__xludf.DUMMYFUNCTION("""COMPUTED_VALUE"""),3.81434409E8)</f>
        <v>381434409</v>
      </c>
      <c r="B590" s="1" t="str">
        <f>IFERROR(__xludf.DUMMYFUNCTION("""COMPUTED_VALUE"""),"Cover Radiator Yamaha DCW HEXA Silver")</f>
        <v>Cover Radiator Yamaha DCW HEXA Silver</v>
      </c>
    </row>
    <row r="591">
      <c r="A591" s="1">
        <f>IFERROR(__xludf.DUMMYFUNCTION("""COMPUTED_VALUE"""),6.69545295E8)</f>
        <v>669545295</v>
      </c>
      <c r="B591" s="1" t="str">
        <f>IFERROR(__xludf.DUMMYFUNCTION("""COMPUTED_VALUE"""),"Cover Radiator Yamaha DCW HEXA Gold")</f>
        <v>Cover Radiator Yamaha DCW HEXA Gold</v>
      </c>
    </row>
    <row r="592">
      <c r="A592" s="1">
        <f>IFERROR(__xludf.DUMMYFUNCTION("""COMPUTED_VALUE"""),4.0100496E8)</f>
        <v>401004960</v>
      </c>
      <c r="B592" s="1" t="str">
        <f>IFERROR(__xludf.DUMMYFUNCTION("""COMPUTED_VALUE"""),"Cover Radiator Yamaha DCW HEXA Rosegold")</f>
        <v>Cover Radiator Yamaha DCW HEXA Rosegold</v>
      </c>
    </row>
    <row r="593">
      <c r="A593" s="1">
        <f>IFERROR(__xludf.DUMMYFUNCTION("""COMPUTED_VALUE"""),8.19310234E8)</f>
        <v>819310234</v>
      </c>
      <c r="B593" s="1" t="str">
        <f>IFERROR(__xludf.DUMMYFUNCTION("""COMPUTED_VALUE"""),"Cover Radiator Honda 150 DCW APEX Merah")</f>
        <v>Cover Radiator Honda 150 DCW APEX Merah</v>
      </c>
    </row>
    <row r="594">
      <c r="A594" s="1">
        <f>IFERROR(__xludf.DUMMYFUNCTION("""COMPUTED_VALUE"""),6.67768331E8)</f>
        <v>667768331</v>
      </c>
      <c r="B594" s="1" t="str">
        <f>IFERROR(__xludf.DUMMYFUNCTION("""COMPUTED_VALUE"""),"Cover Radiator Honda 150 DCW APEX Biru")</f>
        <v>Cover Radiator Honda 150 DCW APEX Biru</v>
      </c>
    </row>
    <row r="595">
      <c r="A595" s="1">
        <f>IFERROR(__xludf.DUMMYFUNCTION("""COMPUTED_VALUE"""),4.4119695E8)</f>
        <v>441196950</v>
      </c>
      <c r="B595" s="1" t="str">
        <f>IFERROR(__xludf.DUMMYFUNCTION("""COMPUTED_VALUE"""),"Cover Radiator Honda 150 DCW APEX Silver")</f>
        <v>Cover Radiator Honda 150 DCW APEX Silver</v>
      </c>
    </row>
    <row r="596">
      <c r="A596" s="1">
        <f>IFERROR(__xludf.DUMMYFUNCTION("""COMPUTED_VALUE"""),4.38639472E8)</f>
        <v>438639472</v>
      </c>
      <c r="B596" s="1" t="str">
        <f>IFERROR(__xludf.DUMMYFUNCTION("""COMPUTED_VALUE"""),"Cover Radiator Honda 150 DCW APEX Gold")</f>
        <v>Cover Radiator Honda 150 DCW APEX Gold</v>
      </c>
    </row>
    <row r="597">
      <c r="A597" s="1">
        <f>IFERROR(__xludf.DUMMYFUNCTION("""COMPUTED_VALUE"""),8.93790155E8)</f>
        <v>893790155</v>
      </c>
      <c r="B597" s="1" t="str">
        <f>IFERROR(__xludf.DUMMYFUNCTION("""COMPUTED_VALUE"""),"Cover Radiator Honda 150 DCW APEX Rosegold")</f>
        <v>Cover Radiator Honda 150 DCW APEX Rosegold</v>
      </c>
    </row>
    <row r="598">
      <c r="A598" s="1">
        <f>IFERROR(__xludf.DUMMYFUNCTION("""COMPUTED_VALUE"""),4.16448202E8)</f>
        <v>416448202</v>
      </c>
      <c r="B598" s="1" t="str">
        <f>IFERROR(__xludf.DUMMYFUNCTION("""COMPUTED_VALUE"""),"Cover Radiator Honda 150 DCW HEXA Merah")</f>
        <v>Cover Radiator Honda 150 DCW HEXA Merah</v>
      </c>
    </row>
    <row r="599">
      <c r="A599" s="1">
        <f>IFERROR(__xludf.DUMMYFUNCTION("""COMPUTED_VALUE"""),6.02713866E8)</f>
        <v>602713866</v>
      </c>
      <c r="B599" s="1" t="str">
        <f>IFERROR(__xludf.DUMMYFUNCTION("""COMPUTED_VALUE"""),"Cover Radiator Honda 150 DCW HEXA Biru")</f>
        <v>Cover Radiator Honda 150 DCW HEXA Biru</v>
      </c>
    </row>
    <row r="600">
      <c r="A600" s="1">
        <f>IFERROR(__xludf.DUMMYFUNCTION("""COMPUTED_VALUE"""),5.76869402E8)</f>
        <v>576869402</v>
      </c>
      <c r="B600" s="1" t="str">
        <f>IFERROR(__xludf.DUMMYFUNCTION("""COMPUTED_VALUE"""),"Cover Radiator Honda 150 DCW HEXA Silver")</f>
        <v>Cover Radiator Honda 150 DCW HEXA Silver</v>
      </c>
    </row>
    <row r="601">
      <c r="A601" s="1">
        <f>IFERROR(__xludf.DUMMYFUNCTION("""COMPUTED_VALUE"""),3.27357312E8)</f>
        <v>327357312</v>
      </c>
      <c r="B601" s="1" t="str">
        <f>IFERROR(__xludf.DUMMYFUNCTION("""COMPUTED_VALUE"""),"Cover Radiator Honda 150 DCW HEXA Gold")</f>
        <v>Cover Radiator Honda 150 DCW HEXA Gold</v>
      </c>
    </row>
    <row r="602">
      <c r="A602" s="1">
        <f>IFERROR(__xludf.DUMMYFUNCTION("""COMPUTED_VALUE"""),9.96791938E8)</f>
        <v>996791938</v>
      </c>
      <c r="B602" s="1" t="str">
        <f>IFERROR(__xludf.DUMMYFUNCTION("""COMPUTED_VALUE"""),"Cover Radiator Honda 150 DCW HEXA Rosegold")</f>
        <v>Cover Radiator Honda 150 DCW HEXA Rosegold</v>
      </c>
    </row>
    <row r="603">
      <c r="A603" s="1">
        <f>IFERROR(__xludf.DUMMYFUNCTION("""COMPUTED_VALUE"""),6.92362527E8)</f>
        <v>692362527</v>
      </c>
      <c r="B603" s="1" t="str">
        <f>IFERROR(__xludf.DUMMYFUNCTION("""COMPUTED_VALUE"""),"Cover Radiator Honda 160 DCW APEX Merah")</f>
        <v>Cover Radiator Honda 160 DCW APEX Merah</v>
      </c>
    </row>
    <row r="604">
      <c r="A604" s="1">
        <f>IFERROR(__xludf.DUMMYFUNCTION("""COMPUTED_VALUE"""),7.14023274E8)</f>
        <v>714023274</v>
      </c>
      <c r="B604" s="1" t="str">
        <f>IFERROR(__xludf.DUMMYFUNCTION("""COMPUTED_VALUE"""),"Cover Radiator Honda 160 DCW APEX Biru")</f>
        <v>Cover Radiator Honda 160 DCW APEX Biru</v>
      </c>
    </row>
    <row r="605">
      <c r="A605" s="1">
        <f>IFERROR(__xludf.DUMMYFUNCTION("""COMPUTED_VALUE"""),5.40149436E8)</f>
        <v>540149436</v>
      </c>
      <c r="B605" s="1" t="str">
        <f>IFERROR(__xludf.DUMMYFUNCTION("""COMPUTED_VALUE"""),"Cover Radiator Honda 160 DCW APEX Silver")</f>
        <v>Cover Radiator Honda 160 DCW APEX Silver</v>
      </c>
    </row>
    <row r="606">
      <c r="A606" s="1">
        <f>IFERROR(__xludf.DUMMYFUNCTION("""COMPUTED_VALUE"""),6.72802994E8)</f>
        <v>672802994</v>
      </c>
      <c r="B606" s="1" t="str">
        <f>IFERROR(__xludf.DUMMYFUNCTION("""COMPUTED_VALUE"""),"Cover Radiator Honda 160 DCW APEX Gold")</f>
        <v>Cover Radiator Honda 160 DCW APEX Gold</v>
      </c>
    </row>
    <row r="607">
      <c r="A607" s="1">
        <f>IFERROR(__xludf.DUMMYFUNCTION("""COMPUTED_VALUE"""),3.9461587E8)</f>
        <v>394615870</v>
      </c>
      <c r="B607" s="1" t="str">
        <f>IFERROR(__xludf.DUMMYFUNCTION("""COMPUTED_VALUE"""),"Cover Radiator Honda 160 DCW APEX Rosegold")</f>
        <v>Cover Radiator Honda 160 DCW APEX Rosegold</v>
      </c>
    </row>
    <row r="608">
      <c r="A608" s="1">
        <f>IFERROR(__xludf.DUMMYFUNCTION("""COMPUTED_VALUE"""),2.22634707E8)</f>
        <v>222634707</v>
      </c>
      <c r="B608" s="1" t="str">
        <f>IFERROR(__xludf.DUMMYFUNCTION("""COMPUTED_VALUE"""),"Cover Radiator Honda 160 DCW HEXA Merah")</f>
        <v>Cover Radiator Honda 160 DCW HEXA Merah</v>
      </c>
    </row>
    <row r="609">
      <c r="A609" s="1">
        <f>IFERROR(__xludf.DUMMYFUNCTION("""COMPUTED_VALUE"""),2.77354383E8)</f>
        <v>277354383</v>
      </c>
      <c r="B609" s="1" t="str">
        <f>IFERROR(__xludf.DUMMYFUNCTION("""COMPUTED_VALUE"""),"Cover Radiator Honda 160 DCW HEXA Biru")</f>
        <v>Cover Radiator Honda 160 DCW HEXA Biru</v>
      </c>
    </row>
    <row r="610">
      <c r="A610" s="1">
        <f>IFERROR(__xludf.DUMMYFUNCTION("""COMPUTED_VALUE"""),2.64441138E8)</f>
        <v>264441138</v>
      </c>
      <c r="B610" s="1" t="str">
        <f>IFERROR(__xludf.DUMMYFUNCTION("""COMPUTED_VALUE"""),"Cover Radiator Honda 160 DCW HEXA Silver")</f>
        <v>Cover Radiator Honda 160 DCW HEXA Silver</v>
      </c>
    </row>
    <row r="611">
      <c r="A611" s="1">
        <f>IFERROR(__xludf.DUMMYFUNCTION("""COMPUTED_VALUE"""),6.23195976E8)</f>
        <v>623195976</v>
      </c>
      <c r="B611" s="1" t="str">
        <f>IFERROR(__xludf.DUMMYFUNCTION("""COMPUTED_VALUE"""),"Cover Radiator Honda 160 DCW HEXA Gold")</f>
        <v>Cover Radiator Honda 160 DCW HEXA Gold</v>
      </c>
    </row>
    <row r="612">
      <c r="A612" s="1">
        <f>IFERROR(__xludf.DUMMYFUNCTION("""COMPUTED_VALUE"""),4.45608482E8)</f>
        <v>445608482</v>
      </c>
      <c r="B612" s="1" t="str">
        <f>IFERROR(__xludf.DUMMYFUNCTION("""COMPUTED_VALUE"""),"Cover Radiator Honda 160 DCW HEXA Rosegold")</f>
        <v>Cover Radiator Honda 160 DCW HEXA Rosegold</v>
      </c>
    </row>
    <row r="613">
      <c r="A613" s="1">
        <f>IFERROR(__xludf.DUMMYFUNCTION("""COMPUTED_VALUE"""),8.52704134E8)</f>
        <v>852704134</v>
      </c>
      <c r="B613" s="1" t="str">
        <f>IFERROR(__xludf.DUMMYFUNCTION("""COMPUTED_VALUE"""),"TUTUP COVER KUNCI KARBON")</f>
        <v>TUTUP COVER KUNCI KARBON</v>
      </c>
    </row>
    <row r="614">
      <c r="A614" s="1">
        <f>IFERROR(__xludf.DUMMYFUNCTION("""COMPUTED_VALUE"""),2.27687878E8)</f>
        <v>227687878</v>
      </c>
      <c r="B614" s="1" t="str">
        <f>IFERROR(__xludf.DUMMYFUNCTION("""COMPUTED_VALUE"""),"TUTUP SAKU LACI POLOS CARBON")</f>
        <v>TUTUP SAKU LACI POLOS CARBON</v>
      </c>
    </row>
    <row r="615">
      <c r="A615" s="1">
        <f>IFERROR(__xludf.DUMMYFUNCTION("""COMPUTED_VALUE"""),1.42451043E8)</f>
        <v>142451043</v>
      </c>
      <c r="B615" s="1" t="str">
        <f>IFERROR(__xludf.DUMMYFUNCTION("""COMPUTED_VALUE"""),"TUTUP SAKU LACI POLOS")</f>
        <v>TUTUP SAKU LACI POLOS</v>
      </c>
    </row>
    <row r="616">
      <c r="A616" s="1">
        <f>IFERROR(__xludf.DUMMYFUNCTION("""COMPUTED_VALUE"""),5.24144209E8)</f>
        <v>524144209</v>
      </c>
      <c r="B616" s="1" t="str">
        <f>IFERROR(__xludf.DUMMYFUNCTION("""COMPUTED_VALUE"""),"TUTUP SAKU LACI FULL CARBON")</f>
        <v>TUTUP SAKU LACI FULL CARBON</v>
      </c>
    </row>
    <row r="617">
      <c r="A617" s="1">
        <f>IFERROR(__xludf.DUMMYFUNCTION("""COMPUTED_VALUE"""),9.81860614E8)</f>
        <v>981860614</v>
      </c>
      <c r="B617" s="1" t="str">
        <f>IFERROR(__xludf.DUMMYFUNCTION("""COMPUTED_VALUE"""),"MUDFLAP NMAX NEW BENING")</f>
        <v>MUDFLAP NMAX NEW BENING</v>
      </c>
    </row>
    <row r="618">
      <c r="A618" s="1">
        <f>IFERROR(__xludf.DUMMYFUNCTION("""COMPUTED_VALUE"""),7.56355666E8)</f>
        <v>756355666</v>
      </c>
      <c r="B618" s="1" t="str">
        <f>IFERROR(__xludf.DUMMYFUNCTION("""COMPUTED_VALUE"""),"MUDFLAP NMAX NEW SMOKE")</f>
        <v>MUDFLAP NMAX NEW SMOKE</v>
      </c>
    </row>
    <row r="619">
      <c r="A619" s="1">
        <f>IFERROR(__xludf.DUMMYFUNCTION("""COMPUTED_VALUE"""),7.49478251E8)</f>
        <v>749478251</v>
      </c>
      <c r="B619" s="1" t="str">
        <f>IFERROR(__xludf.DUMMYFUNCTION("""COMPUTED_VALUE"""),"MUDFLAP NMAX OLD SMOKE")</f>
        <v>MUDFLAP NMAX OLD SMOKE</v>
      </c>
    </row>
    <row r="620">
      <c r="A620" s="1">
        <f>IFERROR(__xludf.DUMMYFUNCTION("""COMPUTED_VALUE"""),1.72312151E8)</f>
        <v>172312151</v>
      </c>
      <c r="B620" s="1" t="str">
        <f>IFERROR(__xludf.DUMMYFUNCTION("""COMPUTED_VALUE"""),"MUDFLAP NMAX OLD BENING")</f>
        <v>MUDFLAP NMAX OLD BENING</v>
      </c>
    </row>
    <row r="621">
      <c r="A621" s="1">
        <f>IFERROR(__xludf.DUMMYFUNCTION("""COMPUTED_VALUE"""),6.51908641E8)</f>
        <v>651908641</v>
      </c>
      <c r="B621" s="1" t="str">
        <f>IFERROR(__xludf.DUMMYFUNCTION("""COMPUTED_VALUE"""),"MUDFLAP AEROX NEW/OLD BENING")</f>
        <v>MUDFLAP AEROX NEW/OLD BENING</v>
      </c>
    </row>
    <row r="622">
      <c r="A622" s="1">
        <f>IFERROR(__xludf.DUMMYFUNCTION("""COMPUTED_VALUE"""),7.22399956E8)</f>
        <v>722399956</v>
      </c>
      <c r="B622" s="1" t="str">
        <f>IFERROR(__xludf.DUMMYFUNCTION("""COMPUTED_VALUE"""),"MUDFLAP AEROX NEW/OLD SMOKE")</f>
        <v>MUDFLAP AEROX NEW/OLD SMOKE</v>
      </c>
    </row>
    <row r="623">
      <c r="A623" s="1">
        <f>IFERROR(__xludf.DUMMYFUNCTION("""COMPUTED_VALUE"""),6.46535932E8)</f>
        <v>646535932</v>
      </c>
      <c r="B623" s="1" t="str">
        <f>IFERROR(__xludf.DUMMYFUNCTION("""COMPUTED_VALUE"""),"Mirror Blanking R15 V3 BASIC")</f>
        <v>Mirror Blanking R15 V3 BASIC</v>
      </c>
    </row>
    <row r="624">
      <c r="A624" s="1">
        <f>IFERROR(__xludf.DUMMYFUNCTION("""COMPUTED_VALUE"""),9.09053931E8)</f>
        <v>909053931</v>
      </c>
      <c r="B624" s="1" t="str">
        <f>IFERROR(__xludf.DUMMYFUNCTION("""COMPUTED_VALUE"""),"Mirror Blanking R25 BASIC")</f>
        <v>Mirror Blanking R25 BASIC</v>
      </c>
    </row>
    <row r="625">
      <c r="A625" s="1">
        <f>IFERROR(__xludf.DUMMYFUNCTION("""COMPUTED_VALUE"""),6.75381118E8)</f>
        <v>675381118</v>
      </c>
      <c r="B625" s="1" t="str">
        <f>IFERROR(__xludf.DUMMYFUNCTION("""COMPUTED_VALUE"""),"Mirror Blanking Ninja BASIC")</f>
        <v>Mirror Blanking Ninja BASIC</v>
      </c>
    </row>
    <row r="626">
      <c r="A626" s="1">
        <f>IFERROR(__xludf.DUMMYFUNCTION("""COMPUTED_VALUE"""),4.40527998E8)</f>
        <v>440527998</v>
      </c>
      <c r="B626" s="1" t="str">
        <f>IFERROR(__xludf.DUMMYFUNCTION("""COMPUTED_VALUE"""),"Mirror Blanking CBR 150 R BASIC")</f>
        <v>Mirror Blanking CBR 150 R BASIC</v>
      </c>
    </row>
    <row r="627">
      <c r="A627" s="1">
        <f>IFERROR(__xludf.DUMMYFUNCTION("""COMPUTED_VALUE"""),2.96803241E8)</f>
        <v>296803241</v>
      </c>
      <c r="B627" s="1" t="str">
        <f>IFERROR(__xludf.DUMMYFUNCTION("""COMPUTED_VALUE"""),"Mirror Blanking CBR 250 RR BASIC")</f>
        <v>Mirror Blanking CBR 250 RR BASIC</v>
      </c>
    </row>
    <row r="628">
      <c r="A628" s="1">
        <f>IFERROR(__xludf.DUMMYFUNCTION("""COMPUTED_VALUE"""),8.17128795E8)</f>
        <v>817128795</v>
      </c>
      <c r="B628" s="1" t="str">
        <f>IFERROR(__xludf.DUMMYFUNCTION("""COMPUTED_VALUE"""),"Mirror Blanking R15 V3 PREMIUM")</f>
        <v>Mirror Blanking R15 V3 PREMIUM</v>
      </c>
    </row>
    <row r="629">
      <c r="A629" s="1">
        <f>IFERROR(__xludf.DUMMYFUNCTION("""COMPUTED_VALUE"""),4.03440755E8)</f>
        <v>403440755</v>
      </c>
      <c r="B629" s="1" t="str">
        <f>IFERROR(__xludf.DUMMYFUNCTION("""COMPUTED_VALUE"""),"Mirror Blanking R25 PREMIUM")</f>
        <v>Mirror Blanking R25 PREMIUM</v>
      </c>
    </row>
    <row r="630">
      <c r="A630" s="1">
        <f>IFERROR(__xludf.DUMMYFUNCTION("""COMPUTED_VALUE"""),9.64048202E8)</f>
        <v>964048202</v>
      </c>
      <c r="B630" s="1" t="str">
        <f>IFERROR(__xludf.DUMMYFUNCTION("""COMPUTED_VALUE"""),"Mirror Blanking Ninja PREMIUM")</f>
        <v>Mirror Blanking Ninja PREMIUM</v>
      </c>
    </row>
    <row r="631">
      <c r="A631" s="1">
        <f>IFERROR(__xludf.DUMMYFUNCTION("""COMPUTED_VALUE"""),9.56742707E8)</f>
        <v>956742707</v>
      </c>
      <c r="B631" s="1" t="str">
        <f>IFERROR(__xludf.DUMMYFUNCTION("""COMPUTED_VALUE"""),"Mirror Blanking CBR 150 R PREMIUM")</f>
        <v>Mirror Blanking CBR 150 R PREMIUM</v>
      </c>
    </row>
    <row r="632">
      <c r="A632" s="1">
        <f>IFERROR(__xludf.DUMMYFUNCTION("""COMPUTED_VALUE"""),3.02910816E8)</f>
        <v>302910816</v>
      </c>
      <c r="B632" s="1" t="str">
        <f>IFERROR(__xludf.DUMMYFUNCTION("""COMPUTED_VALUE"""),"Mirror Blanking CBR 250 RR PREMIUM")</f>
        <v>Mirror Blanking CBR 250 RR PREMIUM</v>
      </c>
    </row>
    <row r="633">
      <c r="A633" s="1">
        <f>IFERROR(__xludf.DUMMYFUNCTION("""COMPUTED_VALUE"""),3.49079575E8)</f>
        <v>349079575</v>
      </c>
      <c r="B633" s="1" t="str">
        <f>IFERROR(__xludf.DUMMYFUNCTION("""COMPUTED_VALUE"""),"Mirror Blanking R15 V3 CARBON")</f>
        <v>Mirror Blanking R15 V3 CARBON</v>
      </c>
    </row>
    <row r="634">
      <c r="A634" s="1">
        <f>IFERROR(__xludf.DUMMYFUNCTION("""COMPUTED_VALUE"""),7.26949337E8)</f>
        <v>726949337</v>
      </c>
      <c r="B634" s="1" t="str">
        <f>IFERROR(__xludf.DUMMYFUNCTION("""COMPUTED_VALUE"""),"Mirror Blanking R25 CARBON")</f>
        <v>Mirror Blanking R25 CARBON</v>
      </c>
    </row>
    <row r="635">
      <c r="A635" s="1">
        <f>IFERROR(__xludf.DUMMYFUNCTION("""COMPUTED_VALUE"""),1.14647565E8)</f>
        <v>114647565</v>
      </c>
      <c r="B635" s="1" t="str">
        <f>IFERROR(__xludf.DUMMYFUNCTION("""COMPUTED_VALUE"""),"Mirror Blanking Ninja CARBON")</f>
        <v>Mirror Blanking Ninja CARBON</v>
      </c>
    </row>
    <row r="636">
      <c r="A636" s="1">
        <f>IFERROR(__xludf.DUMMYFUNCTION("""COMPUTED_VALUE"""),9.78421171E8)</f>
        <v>978421171</v>
      </c>
      <c r="B636" s="1" t="str">
        <f>IFERROR(__xludf.DUMMYFUNCTION("""COMPUTED_VALUE"""),"Mirror Blanking CBR 150 R CARBON")</f>
        <v>Mirror Blanking CBR 150 R CARBON</v>
      </c>
    </row>
    <row r="637">
      <c r="A637" s="1">
        <f>IFERROR(__xludf.DUMMYFUNCTION("""COMPUTED_VALUE"""),6.70793804E8)</f>
        <v>670793804</v>
      </c>
      <c r="B637" s="1" t="str">
        <f>IFERROR(__xludf.DUMMYFUNCTION("""COMPUTED_VALUE"""),"Mirror Blanking CBR 250 RR CARBON")</f>
        <v>Mirror Blanking CBR 250 RR CARBON</v>
      </c>
    </row>
    <row r="638">
      <c r="A638" s="1">
        <f>IFERROR(__xludf.DUMMYFUNCTION("""COMPUTED_VALUE"""),2.02320625E8)</f>
        <v>202320625</v>
      </c>
      <c r="B638" s="1" t="str">
        <f>IFERROR(__xludf.DUMMYFUNCTION("""COMPUTED_VALUE"""),"HANDGRIP DOMINO HITAM BIRU")</f>
        <v>HANDGRIP DOMINO HITAM BIRU</v>
      </c>
    </row>
    <row r="639">
      <c r="A639" s="1">
        <f>IFERROR(__xludf.DUMMYFUNCTION("""COMPUTED_VALUE"""),3.85795584E8)</f>
        <v>385795584</v>
      </c>
      <c r="B639" s="1" t="str">
        <f>IFERROR(__xludf.DUMMYFUNCTION("""COMPUTED_VALUE"""),"HANDGRIP DOMINO HITAM MERAH")</f>
        <v>HANDGRIP DOMINO HITAM MERAH</v>
      </c>
    </row>
    <row r="640">
      <c r="A640" s="1">
        <f>IFERROR(__xludf.DUMMYFUNCTION("""COMPUTED_VALUE"""),4.81670539E8)</f>
        <v>481670539</v>
      </c>
      <c r="B640" s="1" t="str">
        <f>IFERROR(__xludf.DUMMYFUNCTION("""COMPUTED_VALUE"""),"HANDGRIP DOMINO ABU HITAM")</f>
        <v>HANDGRIP DOMINO ABU HITAM</v>
      </c>
    </row>
    <row r="641">
      <c r="A641" s="1">
        <f>IFERROR(__xludf.DUMMYFUNCTION("""COMPUTED_VALUE"""),2.51788037E8)</f>
        <v>251788037</v>
      </c>
      <c r="B641" s="1" t="str">
        <f>IFERROR(__xludf.DUMMYFUNCTION("""COMPUTED_VALUE"""),"HANDGRIP DOMINO PINK PUTIH")</f>
        <v>HANDGRIP DOMINO PINK PUTIH</v>
      </c>
    </row>
    <row r="642">
      <c r="A642" s="1">
        <f>IFERROR(__xludf.DUMMYFUNCTION("""COMPUTED_VALUE"""),2.61453739E8)</f>
        <v>261453739</v>
      </c>
      <c r="B642" s="1" t="str">
        <f>IFERROR(__xludf.DUMMYFUNCTION("""COMPUTED_VALUE"""),"HANDGRIP DOMINO BIRU PUTIH")</f>
        <v>HANDGRIP DOMINO BIRU PUTIH</v>
      </c>
    </row>
    <row r="643">
      <c r="A643" s="1">
        <f>IFERROR(__xludf.DUMMYFUNCTION("""COMPUTED_VALUE"""),9.34345661E8)</f>
        <v>934345661</v>
      </c>
      <c r="B643" s="1" t="str">
        <f>IFERROR(__xludf.DUMMYFUNCTION("""COMPUTED_VALUE"""),"Cover Filter Aerox Old Pekat")</f>
        <v>Cover Filter Aerox Old Pekat</v>
      </c>
    </row>
    <row r="644">
      <c r="A644" s="1">
        <f>IFERROR(__xludf.DUMMYFUNCTION("""COMPUTED_VALUE"""),4.01941753E8)</f>
        <v>401941753</v>
      </c>
      <c r="B644" s="1" t="str">
        <f>IFERROR(__xludf.DUMMYFUNCTION("""COMPUTED_VALUE"""),"Cover Filter Aerox Old Smoke")</f>
        <v>Cover Filter Aerox Old Smoke</v>
      </c>
    </row>
    <row r="645">
      <c r="A645" s="1">
        <f>IFERROR(__xludf.DUMMYFUNCTION("""COMPUTED_VALUE"""),4.34427053E8)</f>
        <v>434427053</v>
      </c>
      <c r="B645" s="1" t="str">
        <f>IFERROR(__xludf.DUMMYFUNCTION("""COMPUTED_VALUE"""),"Cover Filter Aerox Old Bening")</f>
        <v>Cover Filter Aerox Old Bening</v>
      </c>
    </row>
    <row r="646">
      <c r="A646" s="1">
        <f>IFERROR(__xludf.DUMMYFUNCTION("""COMPUTED_VALUE"""),7.38687467E8)</f>
        <v>738687467</v>
      </c>
      <c r="B646" s="1" t="str">
        <f>IFERROR(__xludf.DUMMYFUNCTION("""COMPUTED_VALUE"""),"Cover Filter Nmax Old Pekat")</f>
        <v>Cover Filter Nmax Old Pekat</v>
      </c>
    </row>
    <row r="647">
      <c r="A647" s="1">
        <f>IFERROR(__xludf.DUMMYFUNCTION("""COMPUTED_VALUE"""),9.34227235E8)</f>
        <v>934227235</v>
      </c>
      <c r="B647" s="1" t="str">
        <f>IFERROR(__xludf.DUMMYFUNCTION("""COMPUTED_VALUE"""),"Cover Filter Nmax New Pekat")</f>
        <v>Cover Filter Nmax New Pekat</v>
      </c>
    </row>
    <row r="648">
      <c r="A648" s="1">
        <f>IFERROR(__xludf.DUMMYFUNCTION("""COMPUTED_VALUE"""),1.66263314E8)</f>
        <v>166263314</v>
      </c>
      <c r="B648" s="1" t="str">
        <f>IFERROR(__xludf.DUMMYFUNCTION("""COMPUTED_VALUE"""),"Cover Filter Nmax OLD Bening")</f>
        <v>Cover Filter Nmax OLD Bening</v>
      </c>
    </row>
    <row r="649">
      <c r="A649" s="1">
        <f>IFERROR(__xludf.DUMMYFUNCTION("""COMPUTED_VALUE"""),7.45819913E8)</f>
        <v>745819913</v>
      </c>
      <c r="B649" s="1" t="str">
        <f>IFERROR(__xludf.DUMMYFUNCTION("""COMPUTED_VALUE"""),"KARET BAUT WINDSHIELD AEROX/NMAX")</f>
        <v>KARET BAUT WINDSHIELD AEROX/NMAX</v>
      </c>
    </row>
    <row r="650">
      <c r="A650" s="1">
        <f>IFERROR(__xludf.DUMMYFUNCTION("""COMPUTED_VALUE"""),4.87664838E8)</f>
        <v>487664838</v>
      </c>
      <c r="B650" s="1" t="str">
        <f>IFERROR(__xludf.DUMMYFUNCTION("""COMPUTED_VALUE"""),"COVER HEADLAMP NMAX NEW BENING 2MM")</f>
        <v>COVER HEADLAMP NMAX NEW BENING 2MM</v>
      </c>
    </row>
    <row r="651">
      <c r="A651" s="1">
        <f>IFERROR(__xludf.DUMMYFUNCTION("""COMPUTED_VALUE"""),9.53957045E8)</f>
        <v>953957045</v>
      </c>
      <c r="B651" s="1" t="str">
        <f>IFERROR(__xludf.DUMMYFUNCTION("""COMPUTED_VALUE"""),"COVER HEADLAMP NMAX OLD BENING 2MM")</f>
        <v>COVER HEADLAMP NMAX OLD BENING 2MM</v>
      </c>
    </row>
    <row r="652">
      <c r="A652" s="1">
        <f>IFERROR(__xludf.DUMMYFUNCTION("""COMPUTED_VALUE"""),1.83084504E8)</f>
        <v>183084504</v>
      </c>
      <c r="B652" s="1" t="str">
        <f>IFERROR(__xludf.DUMMYFUNCTION("""COMPUTED_VALUE"""),"Tankpad Honda CBR 250 RR")</f>
        <v>Tankpad Honda CBR 250 RR</v>
      </c>
    </row>
    <row r="653">
      <c r="A653" s="1">
        <f>IFERROR(__xludf.DUMMYFUNCTION("""COMPUTED_VALUE"""),9.09752897E8)</f>
        <v>909752897</v>
      </c>
      <c r="B653" s="1" t="str">
        <f>IFERROR(__xludf.DUMMYFUNCTION("""COMPUTED_VALUE"""),"Tankpad Cover Segitiga CBR 250 RR")</f>
        <v>Tankpad Cover Segitiga CBR 250 RR</v>
      </c>
    </row>
    <row r="654">
      <c r="A654" s="1">
        <f>IFERROR(__xludf.DUMMYFUNCTION("""COMPUTED_VALUE"""),2.72490622E8)</f>
        <v>272490622</v>
      </c>
      <c r="B654" s="1" t="str">
        <f>IFERROR(__xludf.DUMMYFUNCTION("""COMPUTED_VALUE"""),"Tankpad FUEL PAD Honda CBR 250 RR")</f>
        <v>Tankpad FUEL PAD Honda CBR 250 RR</v>
      </c>
    </row>
    <row r="655">
      <c r="A655" s="1">
        <f>IFERROR(__xludf.DUMMYFUNCTION("""COMPUTED_VALUE"""),5.09268304E8)</f>
        <v>509268304</v>
      </c>
      <c r="B655" s="1" t="str">
        <f>IFERROR(__xludf.DUMMYFUNCTION("""COMPUTED_VALUE"""),"TANKPAD NINJA")</f>
        <v>TANKPAD NINJA</v>
      </c>
    </row>
    <row r="656">
      <c r="A656" s="1">
        <f>IFERROR(__xludf.DUMMYFUNCTION("""COMPUTED_VALUE"""),1.02981275E8)</f>
        <v>102981275</v>
      </c>
      <c r="B656" s="1" t="str">
        <f>IFERROR(__xludf.DUMMYFUNCTION("""COMPUTED_VALUE"""),"TANKPAD FUELPAD R25")</f>
        <v>TANKPAD FUELPAD R25</v>
      </c>
    </row>
    <row r="657">
      <c r="A657" s="1">
        <f>IFERROR(__xludf.DUMMYFUNCTION("""COMPUTED_VALUE"""),5.71323193E8)</f>
        <v>571323193</v>
      </c>
      <c r="B657" s="1" t="str">
        <f>IFERROR(__xludf.DUMMYFUNCTION("""COMPUTED_VALUE"""),"TANKPAD SIDEPAD R25")</f>
        <v>TANKPAD SIDEPAD R25</v>
      </c>
    </row>
    <row r="658">
      <c r="A658" s="1">
        <f>IFERROR(__xludf.DUMMYFUNCTION("""COMPUTED_VALUE"""),9.51961424E8)</f>
        <v>951961424</v>
      </c>
      <c r="B658" s="1" t="str">
        <f>IFERROR(__xludf.DUMMYFUNCTION("""COMPUTED_VALUE"""),"TANKPAD TRIPLECLAMP")</f>
        <v>TANKPAD TRIPLECLAMP</v>
      </c>
    </row>
    <row r="659">
      <c r="A659" s="1">
        <f>IFERROR(__xludf.DUMMYFUNCTION("""COMPUTED_VALUE"""),3.0467006E8)</f>
        <v>304670060</v>
      </c>
      <c r="B659" s="1" t="str">
        <f>IFERROR(__xludf.DUMMYFUNCTION("""COMPUTED_VALUE"""),"SPION CLICK")</f>
        <v>SPION CLICK</v>
      </c>
    </row>
    <row r="660">
      <c r="A660" s="1">
        <f>IFERROR(__xludf.DUMMYFUNCTION("""COMPUTED_VALUE"""),9.31613621E8)</f>
        <v>931613621</v>
      </c>
      <c r="B660" s="1" t="str">
        <f>IFERROR(__xludf.DUMMYFUNCTION("""COMPUTED_VALUE"""),"SPION X1")</f>
        <v>SPION X1</v>
      </c>
    </row>
    <row r="661">
      <c r="A661" s="1">
        <f>IFERROR(__xludf.DUMMYFUNCTION("""COMPUTED_VALUE"""),9.25568263E8)</f>
        <v>925568263</v>
      </c>
      <c r="B661" s="1" t="str">
        <f>IFERROR(__xludf.DUMMYFUNCTION("""COMPUTED_VALUE"""),"MATA KUCING")</f>
        <v>MATA KUCING</v>
      </c>
    </row>
    <row r="662">
      <c r="A662" s="1">
        <f>IFERROR(__xludf.DUMMYFUNCTION("""COMPUTED_VALUE"""),3.8987935E8)</f>
        <v>389879350</v>
      </c>
      <c r="B662" s="1" t="str">
        <f>IFERROR(__xludf.DUMMYFUNCTION("""COMPUTED_VALUE"""),"KEYCHAIN DOCIL WORKS")</f>
        <v>KEYCHAIN DOCIL WORKS</v>
      </c>
    </row>
    <row r="663">
      <c r="A663" s="1">
        <f>IFERROR(__xludf.DUMMYFUNCTION("""COMPUTED_VALUE"""),3.34857916E8)</f>
        <v>334857916</v>
      </c>
      <c r="B663" s="1" t="str">
        <f>IFERROR(__xludf.DUMMYFUNCTION("""COMPUTED_VALUE"""),"BAUT DAN SPACER")</f>
        <v>BAUT DAN SPACER</v>
      </c>
    </row>
    <row r="664">
      <c r="A664" s="1">
        <f>IFERROR(__xludf.DUMMYFUNCTION("""COMPUTED_VALUE"""),9.45780103E8)</f>
        <v>945780103</v>
      </c>
      <c r="B664" s="1" t="str">
        <f>IFERROR(__xludf.DUMMYFUNCTION("""COMPUTED_VALUE"""),"BAUT NMAX TURBO")</f>
        <v>BAUT NMAX TURBO</v>
      </c>
    </row>
    <row r="665">
      <c r="A665" s="1">
        <f>IFERROR(__xludf.DUMMYFUNCTION("""COMPUTED_VALUE"""),3.38661649E8)</f>
        <v>338661649</v>
      </c>
      <c r="B665" s="1" t="str">
        <f>IFERROR(__xludf.DUMMYFUNCTION("""COMPUTED_VALUE"""),"BAUT AEROX NEW/OLD")</f>
        <v>BAUT AEROX NEW/OLD</v>
      </c>
    </row>
    <row r="666">
      <c r="A666" s="1">
        <f>IFERROR(__xludf.DUMMYFUNCTION("""COMPUTED_VALUE"""),8.83107699E8)</f>
        <v>883107699</v>
      </c>
      <c r="B666" s="1" t="str">
        <f>IFERROR(__xludf.DUMMYFUNCTION("""COMPUTED_VALUE"""),"BRACKET FAZZIO")</f>
        <v>BRACKET FAZZIO</v>
      </c>
    </row>
    <row r="667">
      <c r="A667" s="1">
        <f>IFERROR(__xludf.DUMMYFUNCTION("""COMPUTED_VALUE"""),8.66954593E8)</f>
        <v>866954593</v>
      </c>
      <c r="B667" s="1" t="str">
        <f>IFERROR(__xludf.DUMMYFUNCTION("""COMPUTED_VALUE"""),"BRACKET T3")</f>
        <v>BRACKET T3</v>
      </c>
    </row>
    <row r="668">
      <c r="A668" s="1">
        <f>IFERROR(__xludf.DUMMYFUNCTION("""COMPUTED_VALUE"""),4.27565111E8)</f>
        <v>427565111</v>
      </c>
      <c r="B668" s="1" t="str">
        <f>IFERROR(__xludf.DUMMYFUNCTION("""COMPUTED_VALUE"""),"BAUT PENINGGI FAZZIO")</f>
        <v>BAUT PENINGGI FAZZIO</v>
      </c>
    </row>
    <row r="669">
      <c r="A669" s="1">
        <f>IFERROR(__xludf.DUMMYFUNCTION("""COMPUTED_VALUE"""),3.59607882E8)</f>
        <v>359607882</v>
      </c>
      <c r="B669" s="1" t="str">
        <f>IFERROR(__xludf.DUMMYFUNCTION("""COMPUTED_VALUE"""),"BAUT PENINGGI T3")</f>
        <v>BAUT PENINGGI T3</v>
      </c>
    </row>
    <row r="670">
      <c r="A670" s="1">
        <f>IFERROR(__xludf.DUMMYFUNCTION("""COMPUTED_VALUE"""),1.55082683E8)</f>
        <v>155082683</v>
      </c>
      <c r="B670" s="1" t="str">
        <f>IFERROR(__xludf.DUMMYFUNCTION("""COMPUTED_VALUE"""),"STICKER DOCILWORKS")</f>
        <v>STICKER DOCILWORKS</v>
      </c>
    </row>
    <row r="671">
      <c r="A671" s="1">
        <f>IFERROR(__xludf.DUMMYFUNCTION("""COMPUTED_VALUE"""),5.54532997E8)</f>
        <v>554532997</v>
      </c>
      <c r="B671" s="1" t="str">
        <f>IFERROR(__xludf.DUMMYFUNCTION("""COMPUTED_VALUE"""),"STICKER DW")</f>
        <v>STICKER DW</v>
      </c>
    </row>
    <row r="672">
      <c r="A672" s="1">
        <f>IFERROR(__xludf.DUMMYFUNCTION("""COMPUTED_VALUE"""),2.10975796E8)</f>
        <v>210975796</v>
      </c>
      <c r="B672" s="1" t="str">
        <f>IFERROR(__xludf.DUMMYFUNCTION("""COMPUTED_VALUE"""),"GARNIS Aerox New/Old (A) SILVER")</f>
        <v>GARNIS Aerox New/Old (A) SILVER</v>
      </c>
    </row>
    <row r="673">
      <c r="A673" s="1">
        <f>IFERROR(__xludf.DUMMYFUNCTION("""COMPUTED_VALUE"""),5.28513981E8)</f>
        <v>528513981</v>
      </c>
      <c r="B673" s="1" t="str">
        <f>IFERROR(__xludf.DUMMYFUNCTION("""COMPUTED_VALUE"""),"GARNIS Aerox New/Old (C) SILVER")</f>
        <v>GARNIS Aerox New/Old (C) SILVER</v>
      </c>
    </row>
    <row r="674">
      <c r="A674" s="1">
        <f>IFERROR(__xludf.DUMMYFUNCTION("""COMPUTED_VALUE"""),3.63475208E8)</f>
        <v>363475208</v>
      </c>
      <c r="B674" s="1" t="str">
        <f>IFERROR(__xludf.DUMMYFUNCTION("""COMPUTED_VALUE"""),"GARNIS Aerox New/Old (D) SILVER")</f>
        <v>GARNIS Aerox New/Old (D) SILVER</v>
      </c>
    </row>
    <row r="675">
      <c r="A675" s="1">
        <f>IFERROR(__xludf.DUMMYFUNCTION("""COMPUTED_VALUE"""),4.55879114E8)</f>
        <v>455879114</v>
      </c>
      <c r="B675" s="1" t="str">
        <f>IFERROR(__xludf.DUMMYFUNCTION("""COMPUTED_VALUE"""),"GARNIS Aerox New/Old (E) SILVER")</f>
        <v>GARNIS Aerox New/Old (E) SILVER</v>
      </c>
    </row>
    <row r="676">
      <c r="A676" s="1">
        <f>IFERROR(__xludf.DUMMYFUNCTION("""COMPUTED_VALUE"""),4.17952122E8)</f>
        <v>417952122</v>
      </c>
      <c r="B676" s="1" t="str">
        <f>IFERROR(__xludf.DUMMYFUNCTION("""COMPUTED_VALUE"""),"GARNIS Aerox New/Old (G) SILVER")</f>
        <v>GARNIS Aerox New/Old (G) SILVER</v>
      </c>
    </row>
    <row r="677">
      <c r="A677" s="1">
        <f>IFERROR(__xludf.DUMMYFUNCTION("""COMPUTED_VALUE"""),9.44364993E8)</f>
        <v>944364993</v>
      </c>
      <c r="B677" s="1" t="str">
        <f>IFERROR(__xludf.DUMMYFUNCTION("""COMPUTED_VALUE"""),"GARNIS Nmax New Type (A) SILVER")</f>
        <v>GARNIS Nmax New Type (A) SILVER</v>
      </c>
    </row>
    <row r="678">
      <c r="A678" s="1">
        <f>IFERROR(__xludf.DUMMYFUNCTION("""COMPUTED_VALUE"""),9.29103645E8)</f>
        <v>929103645</v>
      </c>
      <c r="B678" s="1" t="str">
        <f>IFERROR(__xludf.DUMMYFUNCTION("""COMPUTED_VALUE"""),"GARNIS Nmax New Type (B) SILVER")</f>
        <v>GARNIS Nmax New Type (B) SILVER</v>
      </c>
    </row>
    <row r="679">
      <c r="A679" s="1">
        <f>IFERROR(__xludf.DUMMYFUNCTION("""COMPUTED_VALUE"""),1.46284215E8)</f>
        <v>146284215</v>
      </c>
      <c r="B679" s="1" t="str">
        <f>IFERROR(__xludf.DUMMYFUNCTION("""COMPUTED_VALUE"""),"GARNIS Nmax New Type (C) SILVER")</f>
        <v>GARNIS Nmax New Type (C) SILVER</v>
      </c>
    </row>
    <row r="680">
      <c r="A680" s="1">
        <f>IFERROR(__xludf.DUMMYFUNCTION("""COMPUTED_VALUE"""),9.70374538E8)</f>
        <v>970374538</v>
      </c>
      <c r="B680" s="1" t="str">
        <f>IFERROR(__xludf.DUMMYFUNCTION("""COMPUTED_VALUE"""),"GARNIS Nmax New Type (D) SILVER")</f>
        <v>GARNIS Nmax New Type (D) SILVER</v>
      </c>
    </row>
    <row r="681">
      <c r="A681" s="1">
        <f>IFERROR(__xludf.DUMMYFUNCTION("""COMPUTED_VALUE"""),2.27780552E8)</f>
        <v>227780552</v>
      </c>
      <c r="B681" s="1" t="str">
        <f>IFERROR(__xludf.DUMMYFUNCTION("""COMPUTED_VALUE"""),"GARNIS Nmax New Type (E) SILVER")</f>
        <v>GARNIS Nmax New Type (E) SILVER</v>
      </c>
    </row>
    <row r="682">
      <c r="A682" s="1">
        <f>IFERROR(__xludf.DUMMYFUNCTION("""COMPUTED_VALUE"""),6.35381002E8)</f>
        <v>635381002</v>
      </c>
      <c r="B682" s="1" t="str">
        <f>IFERROR(__xludf.DUMMYFUNCTION("""COMPUTED_VALUE"""),"GARNIS Nmax New Type (F) SILVER")</f>
        <v>GARNIS Nmax New Type (F) SILVER</v>
      </c>
    </row>
    <row r="683">
      <c r="A683" s="1">
        <f>IFERROR(__xludf.DUMMYFUNCTION("""COMPUTED_VALUE"""),8.70030873E8)</f>
        <v>870030873</v>
      </c>
      <c r="B683" s="1" t="str">
        <f>IFERROR(__xludf.DUMMYFUNCTION("""COMPUTED_VALUE"""),"GARNIS Nmax New Type (G) SILVER")</f>
        <v>GARNIS Nmax New Type (G) SILVER</v>
      </c>
    </row>
    <row r="684">
      <c r="A684" s="1">
        <f>IFERROR(__xludf.DUMMYFUNCTION("""COMPUTED_VALUE"""),1.10764793E8)</f>
        <v>110764793</v>
      </c>
      <c r="B684" s="1" t="str">
        <f>IFERROR(__xludf.DUMMYFUNCTION("""COMPUTED_VALUE"""),"GARNIS Nmax Old Type (A) SILVER")</f>
        <v>GARNIS Nmax Old Type (A) SILVER</v>
      </c>
    </row>
    <row r="685">
      <c r="A685" s="1">
        <f>IFERROR(__xludf.DUMMYFUNCTION("""COMPUTED_VALUE"""),6.42819038E8)</f>
        <v>642819038</v>
      </c>
      <c r="B685" s="1" t="str">
        <f>IFERROR(__xludf.DUMMYFUNCTION("""COMPUTED_VALUE"""),"GARNIS Nmax Old Type (B) SILVER")</f>
        <v>GARNIS Nmax Old Type (B) SILVER</v>
      </c>
    </row>
    <row r="686">
      <c r="A686" s="1">
        <f>IFERROR(__xludf.DUMMYFUNCTION("""COMPUTED_VALUE"""),8.23632203E8)</f>
        <v>823632203</v>
      </c>
      <c r="B686" s="1" t="str">
        <f>IFERROR(__xludf.DUMMYFUNCTION("""COMPUTED_VALUE"""),"GARNIS Nmax Old Type (C) SILVER")</f>
        <v>GARNIS Nmax Old Type (C) SILVER</v>
      </c>
    </row>
    <row r="687">
      <c r="A687" s="1">
        <f>IFERROR(__xludf.DUMMYFUNCTION("""COMPUTED_VALUE"""),9.37802399E8)</f>
        <v>937802399</v>
      </c>
      <c r="B687" s="1" t="str">
        <f>IFERROR(__xludf.DUMMYFUNCTION("""COMPUTED_VALUE"""),"GARNIS Nmax Old Type (D) SILVER")</f>
        <v>GARNIS Nmax Old Type (D) SILVER</v>
      </c>
    </row>
    <row r="688">
      <c r="A688" s="1">
        <f>IFERROR(__xludf.DUMMYFUNCTION("""COMPUTED_VALUE"""),2.30745509E8)</f>
        <v>230745509</v>
      </c>
      <c r="B688" s="1" t="str">
        <f>IFERROR(__xludf.DUMMYFUNCTION("""COMPUTED_VALUE"""),"GARNIS Nmax Old Type (E) SILVER")</f>
        <v>GARNIS Nmax Old Type (E) SILVER</v>
      </c>
    </row>
    <row r="689">
      <c r="A689" s="1">
        <f>IFERROR(__xludf.DUMMYFUNCTION("""COMPUTED_VALUE"""),9.18309895E8)</f>
        <v>918309895</v>
      </c>
      <c r="B689" s="1" t="str">
        <f>IFERROR(__xludf.DUMMYFUNCTION("""COMPUTED_VALUE"""),"GARNIS Nmax Old Type (F) SILVER")</f>
        <v>GARNIS Nmax Old Type (F) SILVER</v>
      </c>
    </row>
    <row r="690">
      <c r="A690" s="1">
        <f>IFERROR(__xludf.DUMMYFUNCTION("""COMPUTED_VALUE"""),9.48331351E8)</f>
        <v>948331351</v>
      </c>
      <c r="B690" s="1" t="str">
        <f>IFERROR(__xludf.DUMMYFUNCTION("""COMPUTED_VALUE"""),"GARNIS Nmax Old Type (G) SILVER")</f>
        <v>GARNIS Nmax Old Type (G) SILVER</v>
      </c>
    </row>
    <row r="691">
      <c r="A691" s="1">
        <f>IFERROR(__xludf.DUMMYFUNCTION("""COMPUTED_VALUE"""),7.15413358E8)</f>
        <v>715413358</v>
      </c>
      <c r="B691" s="1" t="str">
        <f>IFERROR(__xludf.DUMMYFUNCTION("""COMPUTED_VALUE"""),"GARNIS Xmax New Type (A) SILVER")</f>
        <v>GARNIS Xmax New Type (A) SILVER</v>
      </c>
    </row>
    <row r="692">
      <c r="A692" s="1">
        <f>IFERROR(__xludf.DUMMYFUNCTION("""COMPUTED_VALUE"""),6.95459788E8)</f>
        <v>695459788</v>
      </c>
      <c r="B692" s="1" t="str">
        <f>IFERROR(__xludf.DUMMYFUNCTION("""COMPUTED_VALUE"""),"GARNIS Xmax New Type (B) SILVER")</f>
        <v>GARNIS Xmax New Type (B) SILVER</v>
      </c>
    </row>
    <row r="693">
      <c r="A693" s="1">
        <f>IFERROR(__xludf.DUMMYFUNCTION("""COMPUTED_VALUE"""),7.31266678E8)</f>
        <v>731266678</v>
      </c>
      <c r="B693" s="1" t="str">
        <f>IFERROR(__xludf.DUMMYFUNCTION("""COMPUTED_VALUE"""),"GARNIS Xmax New Type (C) SILVER")</f>
        <v>GARNIS Xmax New Type (C) SILVER</v>
      </c>
    </row>
    <row r="694">
      <c r="A694" s="1">
        <f>IFERROR(__xludf.DUMMYFUNCTION("""COMPUTED_VALUE"""),5.94218228E8)</f>
        <v>594218228</v>
      </c>
      <c r="B694" s="1" t="str">
        <f>IFERROR(__xludf.DUMMYFUNCTION("""COMPUTED_VALUE"""),"GARNIS Xmax New Type (D) SILVER")</f>
        <v>GARNIS Xmax New Type (D) SILVER</v>
      </c>
    </row>
    <row r="695">
      <c r="A695" s="1">
        <f>IFERROR(__xludf.DUMMYFUNCTION("""COMPUTED_VALUE"""),1.92908313E8)</f>
        <v>192908313</v>
      </c>
      <c r="B695" s="1" t="str">
        <f>IFERROR(__xludf.DUMMYFUNCTION("""COMPUTED_VALUE"""),"GARNIS Xmax New Type (E) SILVER")</f>
        <v>GARNIS Xmax New Type (E) SILVER</v>
      </c>
    </row>
    <row r="696">
      <c r="A696" s="1">
        <f>IFERROR(__xludf.DUMMYFUNCTION("""COMPUTED_VALUE"""),4.77648016E8)</f>
        <v>477648016</v>
      </c>
      <c r="B696" s="1" t="str">
        <f>IFERROR(__xludf.DUMMYFUNCTION("""COMPUTED_VALUE"""),"GARNIS Xmax New Type (F) SILVER")</f>
        <v>GARNIS Xmax New Type (F) SILVER</v>
      </c>
    </row>
    <row r="697">
      <c r="A697" s="1">
        <f>IFERROR(__xludf.DUMMYFUNCTION("""COMPUTED_VALUE"""),8.12712332E8)</f>
        <v>812712332</v>
      </c>
      <c r="B697" s="1" t="str">
        <f>IFERROR(__xludf.DUMMYFUNCTION("""COMPUTED_VALUE"""),"GARNIS Xmax New Type (G) SILVER")</f>
        <v>GARNIS Xmax New Type (G) SILVER</v>
      </c>
    </row>
    <row r="698">
      <c r="A698" s="1">
        <f>IFERROR(__xludf.DUMMYFUNCTION("""COMPUTED_VALUE"""),1.03908014E8)</f>
        <v>103908014</v>
      </c>
      <c r="B698" s="1" t="str">
        <f>IFERROR(__xludf.DUMMYFUNCTION("""COMPUTED_VALUE"""),"GARNIS Xmax Old Type (A) SILVER")</f>
        <v>GARNIS Xmax Old Type (A) SILVER</v>
      </c>
    </row>
    <row r="699">
      <c r="A699" s="1">
        <f>IFERROR(__xludf.DUMMYFUNCTION("""COMPUTED_VALUE"""),6.5203144E8)</f>
        <v>652031440</v>
      </c>
      <c r="B699" s="1" t="str">
        <f>IFERROR(__xludf.DUMMYFUNCTION("""COMPUTED_VALUE"""),"GARNIS Xmax Old Type (B) SILVER")</f>
        <v>GARNIS Xmax Old Type (B) SILVER</v>
      </c>
    </row>
    <row r="700">
      <c r="A700" s="1">
        <f>IFERROR(__xludf.DUMMYFUNCTION("""COMPUTED_VALUE"""),9.06194057E8)</f>
        <v>906194057</v>
      </c>
      <c r="B700" s="1" t="str">
        <f>IFERROR(__xludf.DUMMYFUNCTION("""COMPUTED_VALUE"""),"GARNIS Xmax Old Type (C) SILVER")</f>
        <v>GARNIS Xmax Old Type (C) SILVER</v>
      </c>
    </row>
    <row r="701">
      <c r="A701" s="1">
        <f>IFERROR(__xludf.DUMMYFUNCTION("""COMPUTED_VALUE"""),4.63214644E8)</f>
        <v>463214644</v>
      </c>
      <c r="B701" s="1" t="str">
        <f>IFERROR(__xludf.DUMMYFUNCTION("""COMPUTED_VALUE"""),"GARNIS Xmax Old Type (D) SILVER")</f>
        <v>GARNIS Xmax Old Type (D) SILVER</v>
      </c>
    </row>
    <row r="702">
      <c r="A702" s="1">
        <f>IFERROR(__xludf.DUMMYFUNCTION("""COMPUTED_VALUE"""),8.2585923E8)</f>
        <v>825859230</v>
      </c>
      <c r="B702" s="1" t="str">
        <f>IFERROR(__xludf.DUMMYFUNCTION("""COMPUTED_VALUE"""),"GARNIS Xmax Old Type (E) SILVER")</f>
        <v>GARNIS Xmax Old Type (E) SILVER</v>
      </c>
    </row>
    <row r="703">
      <c r="A703" s="1">
        <f>IFERROR(__xludf.DUMMYFUNCTION("""COMPUTED_VALUE"""),9.51318417E8)</f>
        <v>951318417</v>
      </c>
      <c r="B703" s="1" t="str">
        <f>IFERROR(__xludf.DUMMYFUNCTION("""COMPUTED_VALUE"""),"GARNIS Xmax Old Type (F) SILVER")</f>
        <v>GARNIS Xmax Old Type (F) SILVER</v>
      </c>
    </row>
    <row r="704">
      <c r="A704" s="1">
        <f>IFERROR(__xludf.DUMMYFUNCTION("""COMPUTED_VALUE"""),6.76469835E8)</f>
        <v>676469835</v>
      </c>
      <c r="B704" s="1" t="str">
        <f>IFERROR(__xludf.DUMMYFUNCTION("""COMPUTED_VALUE"""),"GARNIS Xmax Old Type (G) SILVER")</f>
        <v>GARNIS Xmax Old Type (G) SILVER</v>
      </c>
    </row>
    <row r="705">
      <c r="A705" s="1">
        <f>IFERROR(__xludf.DUMMYFUNCTION("""COMPUTED_VALUE"""),5.93685968E8)</f>
        <v>593685968</v>
      </c>
      <c r="B705" s="1" t="str">
        <f>IFERROR(__xludf.DUMMYFUNCTION("""COMPUTED_VALUE"""),"GARNIS Xmax Old Type (H) SILVER")</f>
        <v>GARNIS Xmax Old Type (H) SILVER</v>
      </c>
    </row>
    <row r="706">
      <c r="A706" s="1">
        <f>IFERROR(__xludf.DUMMYFUNCTION("""COMPUTED_VALUE"""),2.1079769E8)</f>
        <v>210797690</v>
      </c>
      <c r="B706" s="1" t="str">
        <f>IFERROR(__xludf.DUMMYFUNCTION("""COMPUTED_VALUE"""),"GARNIS ADV 150/160 Type (A) SILVER")</f>
        <v>GARNIS ADV 150/160 Type (A) SILVER</v>
      </c>
    </row>
    <row r="707">
      <c r="A707" s="1">
        <f>IFERROR(__xludf.DUMMYFUNCTION("""COMPUTED_VALUE"""),4.74507856E8)</f>
        <v>474507856</v>
      </c>
      <c r="B707" s="1" t="str">
        <f>IFERROR(__xludf.DUMMYFUNCTION("""COMPUTED_VALUE"""),"GARNIS ADV 150/160 Type (B) SILVER")</f>
        <v>GARNIS ADV 150/160 Type (B) SILVER</v>
      </c>
    </row>
    <row r="708">
      <c r="A708" s="1">
        <f>IFERROR(__xludf.DUMMYFUNCTION("""COMPUTED_VALUE"""),4.85005509E8)</f>
        <v>485005509</v>
      </c>
      <c r="B708" s="1" t="str">
        <f>IFERROR(__xludf.DUMMYFUNCTION("""COMPUTED_VALUE"""),"GARNIS ADV 150/160 Type (C) SILVER")</f>
        <v>GARNIS ADV 150/160 Type (C) SILVER</v>
      </c>
    </row>
    <row r="709">
      <c r="A709" s="1">
        <f>IFERROR(__xludf.DUMMYFUNCTION("""COMPUTED_VALUE"""),9.22247232E8)</f>
        <v>922247232</v>
      </c>
      <c r="B709" s="1" t="str">
        <f>IFERROR(__xludf.DUMMYFUNCTION("""COMPUTED_VALUE"""),"GARNIS ADV 150/160 Type (D) SILVER")</f>
        <v>GARNIS ADV 150/160 Type (D) SILVER</v>
      </c>
    </row>
    <row r="710">
      <c r="A710" s="1">
        <f>IFERROR(__xludf.DUMMYFUNCTION("""COMPUTED_VALUE"""),2.0085092E8)</f>
        <v>200850920</v>
      </c>
      <c r="B710" s="1" t="str">
        <f>IFERROR(__xludf.DUMMYFUNCTION("""COMPUTED_VALUE"""),"GARNIS ADV 150/160 Type (E) SILVER")</f>
        <v>GARNIS ADV 150/160 Type (E) SILVER</v>
      </c>
    </row>
    <row r="711">
      <c r="A711" s="1">
        <f>IFERROR(__xludf.DUMMYFUNCTION("""COMPUTED_VALUE"""),8.9791064E8)</f>
        <v>897910640</v>
      </c>
      <c r="B711" s="1" t="str">
        <f>IFERROR(__xludf.DUMMYFUNCTION("""COMPUTED_VALUE"""),"GARNIS ADV 150/160 Type (F) SILVER")</f>
        <v>GARNIS ADV 150/160 Type (F) SILVER</v>
      </c>
    </row>
    <row r="712">
      <c r="A712" s="1">
        <f>IFERROR(__xludf.DUMMYFUNCTION("""COMPUTED_VALUE"""),2.3560797E8)</f>
        <v>235607970</v>
      </c>
      <c r="B712" s="1" t="str">
        <f>IFERROR(__xludf.DUMMYFUNCTION("""COMPUTED_VALUE"""),"GARNIS ADV 150/160 Type (G) SILVER")</f>
        <v>GARNIS ADV 150/160 Type (G) SILVER</v>
      </c>
    </row>
    <row r="713">
      <c r="A713" s="1">
        <f>IFERROR(__xludf.DUMMYFUNCTION("""COMPUTED_VALUE"""),7.75942113E8)</f>
        <v>775942113</v>
      </c>
      <c r="B713" s="1" t="str">
        <f>IFERROR(__xludf.DUMMYFUNCTION("""COMPUTED_VALUE"""),"GARNIS Lexi 125/155 Type (A) SILVER")</f>
        <v>GARNIS Lexi 125/155 Type (A) SILVER</v>
      </c>
    </row>
    <row r="714">
      <c r="A714" s="1">
        <f>IFERROR(__xludf.DUMMYFUNCTION("""COMPUTED_VALUE"""),3.88635314E8)</f>
        <v>388635314</v>
      </c>
      <c r="B714" s="1" t="str">
        <f>IFERROR(__xludf.DUMMYFUNCTION("""COMPUTED_VALUE"""),"GARNIS Lexi 125/155 Type (B) SILVER")</f>
        <v>GARNIS Lexi 125/155 Type (B) SILVER</v>
      </c>
    </row>
    <row r="715">
      <c r="A715" s="1">
        <f>IFERROR(__xludf.DUMMYFUNCTION("""COMPUTED_VALUE"""),5.26772483E8)</f>
        <v>526772483</v>
      </c>
      <c r="B715" s="1" t="str">
        <f>IFERROR(__xludf.DUMMYFUNCTION("""COMPUTED_VALUE"""),"GARNIS Lexi 125/155 Type (C) SILVER")</f>
        <v>GARNIS Lexi 125/155 Type (C) SILVER</v>
      </c>
    </row>
    <row r="716">
      <c r="A716" s="1">
        <f>IFERROR(__xludf.DUMMYFUNCTION("""COMPUTED_VALUE"""),4.36232832E8)</f>
        <v>436232832</v>
      </c>
      <c r="B716" s="1" t="str">
        <f>IFERROR(__xludf.DUMMYFUNCTION("""COMPUTED_VALUE"""),"GARNIS Lexi 125/155 Type (D) SILVER")</f>
        <v>GARNIS Lexi 125/155 Type (D) SILVER</v>
      </c>
    </row>
    <row r="717">
      <c r="A717" s="1">
        <f>IFERROR(__xludf.DUMMYFUNCTION("""COMPUTED_VALUE"""),7.3824428E8)</f>
        <v>738244280</v>
      </c>
      <c r="B717" s="1" t="str">
        <f>IFERROR(__xludf.DUMMYFUNCTION("""COMPUTED_VALUE"""),"GARNIS Lexi 125/155 Type (E) SILVER")</f>
        <v>GARNIS Lexi 125/155 Type (E) SILVER</v>
      </c>
    </row>
    <row r="718">
      <c r="A718" s="1">
        <f>IFERROR(__xludf.DUMMYFUNCTION("""COMPUTED_VALUE"""),4.60262383E8)</f>
        <v>460262383</v>
      </c>
      <c r="B718" s="1" t="str">
        <f>IFERROR(__xludf.DUMMYFUNCTION("""COMPUTED_VALUE"""),"GARNIS Lexi 125/155 Type (F) SILVER")</f>
        <v>GARNIS Lexi 125/155 Type (F) SILVER</v>
      </c>
    </row>
    <row r="719">
      <c r="A719" s="1">
        <f>IFERROR(__xludf.DUMMYFUNCTION("""COMPUTED_VALUE"""),3.24572946E8)</f>
        <v>324572946</v>
      </c>
      <c r="B719" s="1" t="str">
        <f>IFERROR(__xludf.DUMMYFUNCTION("""COMPUTED_VALUE"""),"GARNIS Lexi 125/155 Type (G) SILVER")</f>
        <v>GARNIS Lexi 125/155 Type (G) SILVER</v>
      </c>
    </row>
    <row r="720">
      <c r="A720" s="1">
        <f>IFERROR(__xludf.DUMMYFUNCTION("""COMPUTED_VALUE"""),9.11472791E8)</f>
        <v>911472791</v>
      </c>
      <c r="B720" s="1" t="str">
        <f>IFERROR(__xludf.DUMMYFUNCTION("""COMPUTED_VALUE"""),"GARNIS Nmax Turbo Type (A) SILVER")</f>
        <v>GARNIS Nmax Turbo Type (A) SILVER</v>
      </c>
    </row>
    <row r="721">
      <c r="A721" s="1">
        <f>IFERROR(__xludf.DUMMYFUNCTION("""COMPUTED_VALUE"""),8.93940725E8)</f>
        <v>893940725</v>
      </c>
      <c r="B721" s="1" t="str">
        <f>IFERROR(__xludf.DUMMYFUNCTION("""COMPUTED_VALUE"""),"GARNIS Nmax Turbo Type (B) SILVER")</f>
        <v>GARNIS Nmax Turbo Type (B) SILVER</v>
      </c>
    </row>
    <row r="722">
      <c r="A722" s="1">
        <f>IFERROR(__xludf.DUMMYFUNCTION("""COMPUTED_VALUE"""),8.2431519E8)</f>
        <v>824315190</v>
      </c>
      <c r="B722" s="1" t="str">
        <f>IFERROR(__xludf.DUMMYFUNCTION("""COMPUTED_VALUE"""),"GARNIS Nmax Turbo Type (C) SILVER")</f>
        <v>GARNIS Nmax Turbo Type (C) SILVER</v>
      </c>
    </row>
    <row r="723">
      <c r="A723" s="1">
        <f>IFERROR(__xludf.DUMMYFUNCTION("""COMPUTED_VALUE"""),7.06929145E8)</f>
        <v>706929145</v>
      </c>
      <c r="B723" s="1" t="str">
        <f>IFERROR(__xludf.DUMMYFUNCTION("""COMPUTED_VALUE"""),"GARNIS Nmax Turbo Type (D) SILVER")</f>
        <v>GARNIS Nmax Turbo Type (D) SILVER</v>
      </c>
    </row>
    <row r="724">
      <c r="A724" s="1">
        <f>IFERROR(__xludf.DUMMYFUNCTION("""COMPUTED_VALUE"""),7.33536703E8)</f>
        <v>733536703</v>
      </c>
      <c r="B724" s="1" t="str">
        <f>IFERROR(__xludf.DUMMYFUNCTION("""COMPUTED_VALUE"""),"GARNIS Nmax Turbo Type (E) SILVER")</f>
        <v>GARNIS Nmax Turbo Type (E) SILVER</v>
      </c>
    </row>
    <row r="725">
      <c r="A725" s="1">
        <f>IFERROR(__xludf.DUMMYFUNCTION("""COMPUTED_VALUE"""),5.10666626E8)</f>
        <v>510666626</v>
      </c>
      <c r="B725" s="1" t="str">
        <f>IFERROR(__xludf.DUMMYFUNCTION("""COMPUTED_VALUE"""),"GARNIS Nmax Turbo Type (F) SILVER")</f>
        <v>GARNIS Nmax Turbo Type (F) SILVER</v>
      </c>
    </row>
    <row r="726">
      <c r="A726" s="1">
        <f>IFERROR(__xludf.DUMMYFUNCTION("""COMPUTED_VALUE"""),5.25352162E8)</f>
        <v>525352162</v>
      </c>
      <c r="B726" s="1" t="str">
        <f>IFERROR(__xludf.DUMMYFUNCTION("""COMPUTED_VALUE"""),"GARNIS Nmax Turbo Type (G) SILVER")</f>
        <v>GARNIS Nmax Turbo Type (G) SILVER</v>
      </c>
    </row>
    <row r="727">
      <c r="A727" s="1">
        <f>IFERROR(__xludf.DUMMYFUNCTION("""COMPUTED_VALUE"""),1.18073141E8)</f>
        <v>118073141</v>
      </c>
      <c r="B727" s="1" t="str">
        <f>IFERROR(__xludf.DUMMYFUNCTION("""COMPUTED_VALUE"""),"GARNIS Aerox New/Old (A) DCW SILVER")</f>
        <v>GARNIS Aerox New/Old (A) DCW SILVER</v>
      </c>
    </row>
    <row r="728">
      <c r="A728" s="1">
        <f>IFERROR(__xludf.DUMMYFUNCTION("""COMPUTED_VALUE"""),8.00518032E8)</f>
        <v>800518032</v>
      </c>
      <c r="B728" s="1" t="str">
        <f>IFERROR(__xludf.DUMMYFUNCTION("""COMPUTED_VALUE"""),"GARNIS Aerox New/Old (C) DCW SILVER")</f>
        <v>GARNIS Aerox New/Old (C) DCW SILVER</v>
      </c>
    </row>
    <row r="729">
      <c r="A729" s="1">
        <f>IFERROR(__xludf.DUMMYFUNCTION("""COMPUTED_VALUE"""),9.17099209E8)</f>
        <v>917099209</v>
      </c>
      <c r="B729" s="1" t="str">
        <f>IFERROR(__xludf.DUMMYFUNCTION("""COMPUTED_VALUE"""),"GARNIS Nmax Old Type (A) DCW SILVER")</f>
        <v>GARNIS Nmax Old Type (A) DCW SILVER</v>
      </c>
    </row>
    <row r="730">
      <c r="A730" s="1">
        <f>IFERROR(__xludf.DUMMYFUNCTION("""COMPUTED_VALUE"""),4.77079714E8)</f>
        <v>477079714</v>
      </c>
      <c r="B730" s="1" t="str">
        <f>IFERROR(__xludf.DUMMYFUNCTION("""COMPUTED_VALUE"""),"GARNIS Nmax Old Type (B) DCW SILVER")</f>
        <v>GARNIS Nmax Old Type (B) DCW SILVER</v>
      </c>
    </row>
    <row r="731">
      <c r="A731" s="1">
        <f>IFERROR(__xludf.DUMMYFUNCTION("""COMPUTED_VALUE"""),9.83487379E8)</f>
        <v>983487379</v>
      </c>
      <c r="B731" s="1" t="str">
        <f>IFERROR(__xludf.DUMMYFUNCTION("""COMPUTED_VALUE"""),"GARNIS Nmax Old Type (C) DCW SILVER")</f>
        <v>GARNIS Nmax Old Type (C) DCW SILVER</v>
      </c>
    </row>
    <row r="732">
      <c r="A732" s="1">
        <f>IFERROR(__xludf.DUMMYFUNCTION("""COMPUTED_VALUE"""),2.75080563E8)</f>
        <v>275080563</v>
      </c>
      <c r="B732" s="1" t="str">
        <f>IFERROR(__xludf.DUMMYFUNCTION("""COMPUTED_VALUE"""),"GARNIS Nmax Old Type (D) DCW SILVER")</f>
        <v>GARNIS Nmax Old Type (D) DCW SILVER</v>
      </c>
    </row>
    <row r="733">
      <c r="A733" s="1">
        <f>IFERROR(__xludf.DUMMYFUNCTION("""COMPUTED_VALUE"""),1.98571254E8)</f>
        <v>198571254</v>
      </c>
      <c r="B733" s="1" t="str">
        <f>IFERROR(__xludf.DUMMYFUNCTION("""COMPUTED_VALUE"""),"GARNIS Nmax Old Type (E) DCW SILVER")</f>
        <v>GARNIS Nmax Old Type (E) DCW SILVER</v>
      </c>
    </row>
    <row r="734">
      <c r="A734" s="1">
        <f>IFERROR(__xludf.DUMMYFUNCTION("""COMPUTED_VALUE"""),1.6493695E8)</f>
        <v>164936950</v>
      </c>
      <c r="B734" s="1" t="str">
        <f>IFERROR(__xludf.DUMMYFUNCTION("""COMPUTED_VALUE"""),"GARNIS Nmax Old Type (F) DCW SILVER")</f>
        <v>GARNIS Nmax Old Type (F) DCW SILVER</v>
      </c>
    </row>
    <row r="735">
      <c r="A735" s="1">
        <f>IFERROR(__xludf.DUMMYFUNCTION("""COMPUTED_VALUE"""),5.94972368E8)</f>
        <v>594972368</v>
      </c>
      <c r="B735" s="1" t="str">
        <f>IFERROR(__xludf.DUMMYFUNCTION("""COMPUTED_VALUE"""),"GARNIS Nmax Old Type (G) DCW SILVER")</f>
        <v>GARNIS Nmax Old Type (G) DCW SILVER</v>
      </c>
    </row>
    <row r="736">
      <c r="A736" s="1">
        <f>IFERROR(__xludf.DUMMYFUNCTION("""COMPUTED_VALUE"""),7.2569158E8)</f>
        <v>725691580</v>
      </c>
      <c r="B736" s="1" t="str">
        <f>IFERROR(__xludf.DUMMYFUNCTION("""COMPUTED_VALUE"""),"GARNIS Nmax New Type (A) DCW SILVER")</f>
        <v>GARNIS Nmax New Type (A) DCW SILVER</v>
      </c>
    </row>
    <row r="737">
      <c r="A737" s="1">
        <f>IFERROR(__xludf.DUMMYFUNCTION("""COMPUTED_VALUE"""),1.78463615E8)</f>
        <v>178463615</v>
      </c>
      <c r="B737" s="1" t="str">
        <f>IFERROR(__xludf.DUMMYFUNCTION("""COMPUTED_VALUE"""),"GARNIS Nmax New Type (B) DCW SILVER")</f>
        <v>GARNIS Nmax New Type (B) DCW SILVER</v>
      </c>
    </row>
    <row r="738">
      <c r="A738" s="1">
        <f>IFERROR(__xludf.DUMMYFUNCTION("""COMPUTED_VALUE"""),2.93899558E8)</f>
        <v>293899558</v>
      </c>
      <c r="B738" s="1" t="str">
        <f>IFERROR(__xludf.DUMMYFUNCTION("""COMPUTED_VALUE"""),"GARNIS Nmax New Type (C) DCW SILVER")</f>
        <v>GARNIS Nmax New Type (C) DCW SILVER</v>
      </c>
    </row>
    <row r="739">
      <c r="A739" s="1">
        <f>IFERROR(__xludf.DUMMYFUNCTION("""COMPUTED_VALUE"""),1.03760336E8)</f>
        <v>103760336</v>
      </c>
      <c r="B739" s="1" t="str">
        <f>IFERROR(__xludf.DUMMYFUNCTION("""COMPUTED_VALUE"""),"GARNIS Nmax New Type (D) DCW SILVER")</f>
        <v>GARNIS Nmax New Type (D) DCW SILVER</v>
      </c>
    </row>
    <row r="740">
      <c r="A740" s="1">
        <f>IFERROR(__xludf.DUMMYFUNCTION("""COMPUTED_VALUE"""),2.96123798E8)</f>
        <v>296123798</v>
      </c>
      <c r="B740" s="1" t="str">
        <f>IFERROR(__xludf.DUMMYFUNCTION("""COMPUTED_VALUE"""),"GARNIS Nmax New Type (E) DCW SILVER")</f>
        <v>GARNIS Nmax New Type (E) DCW SILVER</v>
      </c>
    </row>
    <row r="741">
      <c r="A741" s="1">
        <f>IFERROR(__xludf.DUMMYFUNCTION("""COMPUTED_VALUE"""),9.83625806E8)</f>
        <v>983625806</v>
      </c>
      <c r="B741" s="1" t="str">
        <f>IFERROR(__xludf.DUMMYFUNCTION("""COMPUTED_VALUE"""),"GARNIS Nmax New Type (F) DCW SILVER")</f>
        <v>GARNIS Nmax New Type (F) DCW SILVER</v>
      </c>
    </row>
    <row r="742">
      <c r="A742" s="1">
        <f>IFERROR(__xludf.DUMMYFUNCTION("""COMPUTED_VALUE"""),9.58654464E8)</f>
        <v>958654464</v>
      </c>
      <c r="B742" s="1" t="str">
        <f>IFERROR(__xludf.DUMMYFUNCTION("""COMPUTED_VALUE"""),"GARNIS Nmax New Type (G) DCW SILVER")</f>
        <v>GARNIS Nmax New Type (G) DCW SILVER</v>
      </c>
    </row>
    <row r="743">
      <c r="A743" s="1">
        <f>IFERROR(__xludf.DUMMYFUNCTION("""COMPUTED_VALUE"""),3.43960274E8)</f>
        <v>343960274</v>
      </c>
      <c r="B743" s="1" t="str">
        <f>IFERROR(__xludf.DUMMYFUNCTION("""COMPUTED_VALUE"""),"GARNIS Nmax Turbo Type (A) DCW SILVER")</f>
        <v>GARNIS Nmax Turbo Type (A) DCW SILVER</v>
      </c>
    </row>
    <row r="744">
      <c r="A744" s="1">
        <f>IFERROR(__xludf.DUMMYFUNCTION("""COMPUTED_VALUE"""),6.56932585E8)</f>
        <v>656932585</v>
      </c>
      <c r="B744" s="1" t="str">
        <f>IFERROR(__xludf.DUMMYFUNCTION("""COMPUTED_VALUE"""),"GARNIS Nmax Turbo Type (B) DCW SILVER")</f>
        <v>GARNIS Nmax Turbo Type (B) DCW SILVER</v>
      </c>
    </row>
    <row r="745">
      <c r="A745" s="1">
        <f>IFERROR(__xludf.DUMMYFUNCTION("""COMPUTED_VALUE"""),2.34128237E8)</f>
        <v>234128237</v>
      </c>
      <c r="B745" s="1" t="str">
        <f>IFERROR(__xludf.DUMMYFUNCTION("""COMPUTED_VALUE"""),"GARNIS Nmax Turbo Type (C) DCW SILVER")</f>
        <v>GARNIS Nmax Turbo Type (C) DCW SILVER</v>
      </c>
    </row>
    <row r="746">
      <c r="A746" s="1">
        <f>IFERROR(__xludf.DUMMYFUNCTION("""COMPUTED_VALUE"""),1.09748646E8)</f>
        <v>109748646</v>
      </c>
      <c r="B746" s="1" t="str">
        <f>IFERROR(__xludf.DUMMYFUNCTION("""COMPUTED_VALUE"""),"GARNIS Nmax Turbo Type (D) DCW SILVER")</f>
        <v>GARNIS Nmax Turbo Type (D) DCW SILVER</v>
      </c>
    </row>
    <row r="747">
      <c r="A747" s="1">
        <f>IFERROR(__xludf.DUMMYFUNCTION("""COMPUTED_VALUE"""),4.65902257E8)</f>
        <v>465902257</v>
      </c>
      <c r="B747" s="1" t="str">
        <f>IFERROR(__xludf.DUMMYFUNCTION("""COMPUTED_VALUE"""),"GARNIS Nmax Turbo Type (E) DCW SILVER")</f>
        <v>GARNIS Nmax Turbo Type (E) DCW SILVER</v>
      </c>
    </row>
    <row r="748">
      <c r="A748" s="1">
        <f>IFERROR(__xludf.DUMMYFUNCTION("""COMPUTED_VALUE"""),3.88851807E8)</f>
        <v>388851807</v>
      </c>
      <c r="B748" s="1" t="str">
        <f>IFERROR(__xludf.DUMMYFUNCTION("""COMPUTED_VALUE"""),"GARNIS Nmax Turbo Type (F) DCW SILVER")</f>
        <v>GARNIS Nmax Turbo Type (F) DCW SILVER</v>
      </c>
    </row>
    <row r="749">
      <c r="A749" s="1">
        <f>IFERROR(__xludf.DUMMYFUNCTION("""COMPUTED_VALUE"""),2.46008984E8)</f>
        <v>246008984</v>
      </c>
      <c r="B749" s="1" t="str">
        <f>IFERROR(__xludf.DUMMYFUNCTION("""COMPUTED_VALUE"""),"GARNIS Nmax Turbo Type (G) DCW SILVER")</f>
        <v>GARNIS Nmax Turbo Type (G) DCW SILVER</v>
      </c>
    </row>
    <row r="750">
      <c r="A750" s="1">
        <f>IFERROR(__xludf.DUMMYFUNCTION("""COMPUTED_VALUE"""),4.02258922E8)</f>
        <v>402258922</v>
      </c>
      <c r="B750" s="1" t="str">
        <f>IFERROR(__xludf.DUMMYFUNCTION("""COMPUTED_VALUE"""),"GARNIS Lexi 125/155 Type (A) DCW SILVER")</f>
        <v>GARNIS Lexi 125/155 Type (A) DCW SILVER</v>
      </c>
    </row>
    <row r="751">
      <c r="A751" s="1">
        <f>IFERROR(__xludf.DUMMYFUNCTION("""COMPUTED_VALUE"""),3.02206014E8)</f>
        <v>302206014</v>
      </c>
      <c r="B751" s="1" t="str">
        <f>IFERROR(__xludf.DUMMYFUNCTION("""COMPUTED_VALUE"""),"GARNIS Lexi 125/155 Type (B) DCW SILVER")</f>
        <v>GARNIS Lexi 125/155 Type (B) DCW SILVER</v>
      </c>
    </row>
    <row r="752">
      <c r="A752" s="1">
        <f>IFERROR(__xludf.DUMMYFUNCTION("""COMPUTED_VALUE"""),1.91618655E8)</f>
        <v>191618655</v>
      </c>
      <c r="B752" s="1" t="str">
        <f>IFERROR(__xludf.DUMMYFUNCTION("""COMPUTED_VALUE"""),"GARNIS Lexi 125/155 Type (C) DCW SILVER")</f>
        <v>GARNIS Lexi 125/155 Type (C) DCW SILVER</v>
      </c>
    </row>
    <row r="753">
      <c r="A753" s="1">
        <f>IFERROR(__xludf.DUMMYFUNCTION("""COMPUTED_VALUE"""),7.00389055E8)</f>
        <v>700389055</v>
      </c>
      <c r="B753" s="1" t="str">
        <f>IFERROR(__xludf.DUMMYFUNCTION("""COMPUTED_VALUE"""),"GARNIS Lexi 125/155 Type (D) DCW SILVER")</f>
        <v>GARNIS Lexi 125/155 Type (D) DCW SILVER</v>
      </c>
    </row>
    <row r="754">
      <c r="A754" s="1">
        <f>IFERROR(__xludf.DUMMYFUNCTION("""COMPUTED_VALUE"""),6.92519996E8)</f>
        <v>692519996</v>
      </c>
      <c r="B754" s="1" t="str">
        <f>IFERROR(__xludf.DUMMYFUNCTION("""COMPUTED_VALUE"""),"GARNIS Lexi 125/155 Type (E) DCW SILVER")</f>
        <v>GARNIS Lexi 125/155 Type (E) DCW SILVER</v>
      </c>
    </row>
    <row r="755">
      <c r="A755" s="1">
        <f>IFERROR(__xludf.DUMMYFUNCTION("""COMPUTED_VALUE"""),8.2461841E8)</f>
        <v>824618410</v>
      </c>
      <c r="B755" s="1" t="str">
        <f>IFERROR(__xludf.DUMMYFUNCTION("""COMPUTED_VALUE"""),"GARNIS Lexi 125/155 Type (F) DCW SILVER")</f>
        <v>GARNIS Lexi 125/155 Type (F) DCW SILVER</v>
      </c>
    </row>
    <row r="756">
      <c r="A756" s="1">
        <f>IFERROR(__xludf.DUMMYFUNCTION("""COMPUTED_VALUE"""),3.73906901E8)</f>
        <v>373906901</v>
      </c>
      <c r="B756" s="1" t="str">
        <f>IFERROR(__xludf.DUMMYFUNCTION("""COMPUTED_VALUE"""),"GARNIS Lexi 125/155 Type (G) DCW SILVER")</f>
        <v>GARNIS Lexi 125/155 Type (G) DCW SILVER</v>
      </c>
    </row>
    <row r="757">
      <c r="A757" s="1">
        <f>IFERROR(__xludf.DUMMYFUNCTION("""COMPUTED_VALUE"""),1.05776352E8)</f>
        <v>105776352</v>
      </c>
      <c r="B757" s="1" t="str">
        <f>IFERROR(__xludf.DUMMYFUNCTION("""COMPUTED_VALUE"""),"GARNIS ADV 150/160 Type (A) DCW SILVER")</f>
        <v>GARNIS ADV 150/160 Type (A) DCW SILVER</v>
      </c>
    </row>
    <row r="758">
      <c r="A758" s="1">
        <f>IFERROR(__xludf.DUMMYFUNCTION("""COMPUTED_VALUE"""),4.27511674E8)</f>
        <v>427511674</v>
      </c>
      <c r="B758" s="1" t="str">
        <f>IFERROR(__xludf.DUMMYFUNCTION("""COMPUTED_VALUE"""),"GARNIS ADV 150/160 Type (B) DCW SILVER")</f>
        <v>GARNIS ADV 150/160 Type (B) DCW SILVER</v>
      </c>
    </row>
    <row r="759">
      <c r="A759" s="1">
        <f>IFERROR(__xludf.DUMMYFUNCTION("""COMPUTED_VALUE"""),1.05048051E8)</f>
        <v>105048051</v>
      </c>
      <c r="B759" s="1" t="str">
        <f>IFERROR(__xludf.DUMMYFUNCTION("""COMPUTED_VALUE"""),"GARNIS ADV 150/160 Type (C) DCW SILVER")</f>
        <v>GARNIS ADV 150/160 Type (C) DCW SILVER</v>
      </c>
    </row>
    <row r="760">
      <c r="A760" s="1">
        <f>IFERROR(__xludf.DUMMYFUNCTION("""COMPUTED_VALUE"""),2.77337124E8)</f>
        <v>277337124</v>
      </c>
      <c r="B760" s="1" t="str">
        <f>IFERROR(__xludf.DUMMYFUNCTION("""COMPUTED_VALUE"""),"GARNIS ADV 150/160 Type (D) DCW SILVER")</f>
        <v>GARNIS ADV 150/160 Type (D) DCW SILVER</v>
      </c>
    </row>
    <row r="761">
      <c r="A761" s="1">
        <f>IFERROR(__xludf.DUMMYFUNCTION("""COMPUTED_VALUE"""),5.46683311E8)</f>
        <v>546683311</v>
      </c>
      <c r="B761" s="1" t="str">
        <f>IFERROR(__xludf.DUMMYFUNCTION("""COMPUTED_VALUE"""),"GARNIS ADV 150/160 Type (E) DCW SILVER")</f>
        <v>GARNIS ADV 150/160 Type (E) DCW SILVER</v>
      </c>
    </row>
    <row r="762">
      <c r="A762" s="1">
        <f>IFERROR(__xludf.DUMMYFUNCTION("""COMPUTED_VALUE"""),4.03936907E8)</f>
        <v>403936907</v>
      </c>
      <c r="B762" s="1" t="str">
        <f>IFERROR(__xludf.DUMMYFUNCTION("""COMPUTED_VALUE"""),"GARNIS ADV 150/160 Type (F) DCW SILVER")</f>
        <v>GARNIS ADV 150/160 Type (F) DCW SILVER</v>
      </c>
    </row>
    <row r="763">
      <c r="A763" s="1">
        <f>IFERROR(__xludf.DUMMYFUNCTION("""COMPUTED_VALUE"""),6.2073016E8)</f>
        <v>620730160</v>
      </c>
      <c r="B763" s="1" t="str">
        <f>IFERROR(__xludf.DUMMYFUNCTION("""COMPUTED_VALUE"""),"GARNIS ADV 150/160 Type (G) DCW SILVER")</f>
        <v>GARNIS ADV 150/160 Type (G) DCW SILVER</v>
      </c>
    </row>
    <row r="764">
      <c r="A764" s="1">
        <f>IFERROR(__xludf.DUMMYFUNCTION("""COMPUTED_VALUE"""),8.03003999E8)</f>
        <v>803003999</v>
      </c>
      <c r="B764" s="1" t="str">
        <f>IFERROR(__xludf.DUMMYFUNCTION("""COMPUTED_VALUE"""),"GARNIS Xmax Old Type (A) DCW SILVER")</f>
        <v>GARNIS Xmax Old Type (A) DCW SILVER</v>
      </c>
    </row>
    <row r="765">
      <c r="A765" s="1">
        <f>IFERROR(__xludf.DUMMYFUNCTION("""COMPUTED_VALUE"""),6.62412205E8)</f>
        <v>662412205</v>
      </c>
      <c r="B765" s="1" t="str">
        <f>IFERROR(__xludf.DUMMYFUNCTION("""COMPUTED_VALUE"""),"GARNIS Xmax Old Type (B) DCW SILVER")</f>
        <v>GARNIS Xmax Old Type (B) DCW SILVER</v>
      </c>
    </row>
    <row r="766">
      <c r="A766" s="1">
        <f>IFERROR(__xludf.DUMMYFUNCTION("""COMPUTED_VALUE"""),4.14943616E8)</f>
        <v>414943616</v>
      </c>
      <c r="B766" s="1" t="str">
        <f>IFERROR(__xludf.DUMMYFUNCTION("""COMPUTED_VALUE"""),"GARNIS Xmax Old Type (C) DCW SILVER")</f>
        <v>GARNIS Xmax Old Type (C) DCW SILVER</v>
      </c>
    </row>
    <row r="767">
      <c r="A767" s="1">
        <f>IFERROR(__xludf.DUMMYFUNCTION("""COMPUTED_VALUE"""),2.74135985E8)</f>
        <v>274135985</v>
      </c>
      <c r="B767" s="1" t="str">
        <f>IFERROR(__xludf.DUMMYFUNCTION("""COMPUTED_VALUE"""),"GARNIS Xmax Old Type (D) DCW SILVER")</f>
        <v>GARNIS Xmax Old Type (D) DCW SILVER</v>
      </c>
    </row>
    <row r="768">
      <c r="A768" s="1">
        <f>IFERROR(__xludf.DUMMYFUNCTION("""COMPUTED_VALUE"""),8.81531444E8)</f>
        <v>881531444</v>
      </c>
      <c r="B768" s="1" t="str">
        <f>IFERROR(__xludf.DUMMYFUNCTION("""COMPUTED_VALUE"""),"GARNIS Xmax Old Type (E) DCW SILVER")</f>
        <v>GARNIS Xmax Old Type (E) DCW SILVER</v>
      </c>
    </row>
    <row r="769">
      <c r="A769" s="1">
        <f>IFERROR(__xludf.DUMMYFUNCTION("""COMPUTED_VALUE"""),5.99290776E8)</f>
        <v>599290776</v>
      </c>
      <c r="B769" s="1" t="str">
        <f>IFERROR(__xludf.DUMMYFUNCTION("""COMPUTED_VALUE"""),"GARNIS Xmax Old Type (F) DCW SILVER")</f>
        <v>GARNIS Xmax Old Type (F) DCW SILVER</v>
      </c>
    </row>
    <row r="770">
      <c r="A770" s="1">
        <f>IFERROR(__xludf.DUMMYFUNCTION("""COMPUTED_VALUE"""),6.01001978E8)</f>
        <v>601001978</v>
      </c>
      <c r="B770" s="1" t="str">
        <f>IFERROR(__xludf.DUMMYFUNCTION("""COMPUTED_VALUE"""),"GARNIS Xmax Old Type (G) DCW SILVER")</f>
        <v>GARNIS Xmax Old Type (G) DCW SILVER</v>
      </c>
    </row>
    <row r="771">
      <c r="A771" s="1">
        <f>IFERROR(__xludf.DUMMYFUNCTION("""COMPUTED_VALUE"""),8.12146144E8)</f>
        <v>812146144</v>
      </c>
      <c r="B771" s="1" t="str">
        <f>IFERROR(__xludf.DUMMYFUNCTION("""COMPUTED_VALUE"""),"GARNIS Xmax New Type (A) DCW SILVER")</f>
        <v>GARNIS Xmax New Type (A) DCW SILVER</v>
      </c>
    </row>
    <row r="772">
      <c r="A772" s="1">
        <f>IFERROR(__xludf.DUMMYFUNCTION("""COMPUTED_VALUE"""),1.87444486E8)</f>
        <v>187444486</v>
      </c>
      <c r="B772" s="1" t="str">
        <f>IFERROR(__xludf.DUMMYFUNCTION("""COMPUTED_VALUE"""),"GARNIS Xmax New Type (B) DCW SILVER")</f>
        <v>GARNIS Xmax New Type (B) DCW SILVER</v>
      </c>
    </row>
    <row r="773">
      <c r="A773" s="1">
        <f>IFERROR(__xludf.DUMMYFUNCTION("""COMPUTED_VALUE"""),4.46067639E8)</f>
        <v>446067639</v>
      </c>
      <c r="B773" s="1" t="str">
        <f>IFERROR(__xludf.DUMMYFUNCTION("""COMPUTED_VALUE"""),"GARNIS Xmax New Type (C) DCW SILVER")</f>
        <v>GARNIS Xmax New Type (C) DCW SILVER</v>
      </c>
    </row>
    <row r="774">
      <c r="A774" s="1">
        <f>IFERROR(__xludf.DUMMYFUNCTION("""COMPUTED_VALUE"""),1.83638042E8)</f>
        <v>183638042</v>
      </c>
      <c r="B774" s="1" t="str">
        <f>IFERROR(__xludf.DUMMYFUNCTION("""COMPUTED_VALUE"""),"GARNIS Xmax New Type (D) DCW SILVER")</f>
        <v>GARNIS Xmax New Type (D) DCW SILVER</v>
      </c>
    </row>
    <row r="775">
      <c r="A775" s="1">
        <f>IFERROR(__xludf.DUMMYFUNCTION("""COMPUTED_VALUE"""),4.17820709E8)</f>
        <v>417820709</v>
      </c>
      <c r="B775" s="1" t="str">
        <f>IFERROR(__xludf.DUMMYFUNCTION("""COMPUTED_VALUE"""),"GARNIS Xmax New Type (E) DCW SILVER")</f>
        <v>GARNIS Xmax New Type (E) DCW SILVER</v>
      </c>
    </row>
    <row r="776">
      <c r="A776" s="1">
        <f>IFERROR(__xludf.DUMMYFUNCTION("""COMPUTED_VALUE"""),7.02186105E8)</f>
        <v>702186105</v>
      </c>
      <c r="B776" s="1" t="str">
        <f>IFERROR(__xludf.DUMMYFUNCTION("""COMPUTED_VALUE"""),"GARNIS Xmax New Type (F) DCW SILVER")</f>
        <v>GARNIS Xmax New Type (F) DCW SILVER</v>
      </c>
    </row>
    <row r="777">
      <c r="A777" s="1">
        <f>IFERROR(__xludf.DUMMYFUNCTION("""COMPUTED_VALUE"""),5.556413E8)</f>
        <v>555641300</v>
      </c>
      <c r="B777" s="1" t="str">
        <f>IFERROR(__xludf.DUMMYFUNCTION("""COMPUTED_VALUE"""),"GARNIS Xmax New Type (G) DCW SILVER")</f>
        <v>GARNIS Xmax New Type (G) DCW SILVER</v>
      </c>
    </row>
    <row r="778">
      <c r="A778" s="1">
        <f>IFERROR(__xludf.DUMMYFUNCTION("""COMPUTED_VALUE"""),2.76931164E8)</f>
        <v>276931164</v>
      </c>
      <c r="B778" s="1" t="str">
        <f>IFERROR(__xludf.DUMMYFUNCTION("""COMPUTED_VALUE"""),"GARNIS Aerox New/Old (A) MIRROR MERAH")</f>
        <v>GARNIS Aerox New/Old (A) MIRROR MERAH</v>
      </c>
    </row>
    <row r="779">
      <c r="A779" s="1">
        <f>IFERROR(__xludf.DUMMYFUNCTION("""COMPUTED_VALUE"""),1.41715904E8)</f>
        <v>141715904</v>
      </c>
      <c r="B779" s="1" t="str">
        <f>IFERROR(__xludf.DUMMYFUNCTION("""COMPUTED_VALUE"""),"GARNIS Aerox New/Old (C) MIRROR MERAH")</f>
        <v>GARNIS Aerox New/Old (C) MIRROR MERAH</v>
      </c>
    </row>
    <row r="780">
      <c r="A780" s="1">
        <f>IFERROR(__xludf.DUMMYFUNCTION("""COMPUTED_VALUE"""),1.69629471E8)</f>
        <v>169629471</v>
      </c>
      <c r="B780" s="1" t="str">
        <f>IFERROR(__xludf.DUMMYFUNCTION("""COMPUTED_VALUE"""),"GARNIS Aerox New/Old (D) MIRROR MERAH")</f>
        <v>GARNIS Aerox New/Old (D) MIRROR MERAH</v>
      </c>
    </row>
    <row r="781">
      <c r="A781" s="1">
        <f>IFERROR(__xludf.DUMMYFUNCTION("""COMPUTED_VALUE"""),7.15373356E8)</f>
        <v>715373356</v>
      </c>
      <c r="B781" s="1" t="str">
        <f>IFERROR(__xludf.DUMMYFUNCTION("""COMPUTED_VALUE"""),"GARNIS Aerox New/Old (E) MIRROR MERAH")</f>
        <v>GARNIS Aerox New/Old (E) MIRROR MERAH</v>
      </c>
    </row>
    <row r="782">
      <c r="A782" s="1">
        <f>IFERROR(__xludf.DUMMYFUNCTION("""COMPUTED_VALUE"""),2.80629122E8)</f>
        <v>280629122</v>
      </c>
      <c r="B782" s="1" t="str">
        <f>IFERROR(__xludf.DUMMYFUNCTION("""COMPUTED_VALUE"""),"GARNIS Aerox New/Old (G) MIRROR MERAH")</f>
        <v>GARNIS Aerox New/Old (G) MIRROR MERAH</v>
      </c>
    </row>
    <row r="783">
      <c r="A783" s="1">
        <f>IFERROR(__xludf.DUMMYFUNCTION("""COMPUTED_VALUE"""),9.02163037E8)</f>
        <v>902163037</v>
      </c>
      <c r="B783" s="1" t="str">
        <f>IFERROR(__xludf.DUMMYFUNCTION("""COMPUTED_VALUE"""),"GARNIS Aerox New/Old (A) MIRROR BIRU")</f>
        <v>GARNIS Aerox New/Old (A) MIRROR BIRU</v>
      </c>
    </row>
    <row r="784">
      <c r="A784" s="1">
        <f>IFERROR(__xludf.DUMMYFUNCTION("""COMPUTED_VALUE"""),4.00183713E8)</f>
        <v>400183713</v>
      </c>
      <c r="B784" s="1" t="str">
        <f>IFERROR(__xludf.DUMMYFUNCTION("""COMPUTED_VALUE"""),"GARNIS Aerox New/Old (C) MIRROR BIRU")</f>
        <v>GARNIS Aerox New/Old (C) MIRROR BIRU</v>
      </c>
    </row>
    <row r="785">
      <c r="A785" s="1">
        <f>IFERROR(__xludf.DUMMYFUNCTION("""COMPUTED_VALUE"""),9.09509501E8)</f>
        <v>909509501</v>
      </c>
      <c r="B785" s="1" t="str">
        <f>IFERROR(__xludf.DUMMYFUNCTION("""COMPUTED_VALUE"""),"GARNIS Aerox New/Old (D) MIRROR BIRU")</f>
        <v>GARNIS Aerox New/Old (D) MIRROR BIRU</v>
      </c>
    </row>
    <row r="786">
      <c r="A786" s="1">
        <f>IFERROR(__xludf.DUMMYFUNCTION("""COMPUTED_VALUE"""),8.93296085E8)</f>
        <v>893296085</v>
      </c>
      <c r="B786" s="1" t="str">
        <f>IFERROR(__xludf.DUMMYFUNCTION("""COMPUTED_VALUE"""),"GARNIS Aerox New/Old (E) MIRROR BIRU")</f>
        <v>GARNIS Aerox New/Old (E) MIRROR BIRU</v>
      </c>
    </row>
    <row r="787">
      <c r="A787" s="1">
        <f>IFERROR(__xludf.DUMMYFUNCTION("""COMPUTED_VALUE"""),1.79336279E8)</f>
        <v>179336279</v>
      </c>
      <c r="B787" s="1" t="str">
        <f>IFERROR(__xludf.DUMMYFUNCTION("""COMPUTED_VALUE"""),"GARNIS Aerox New/Old (G) MIRROR BIRU")</f>
        <v>GARNIS Aerox New/Old (G) MIRROR BIRU</v>
      </c>
    </row>
    <row r="788">
      <c r="A788" s="1">
        <f>IFERROR(__xludf.DUMMYFUNCTION("""COMPUTED_VALUE"""),3.54427148E8)</f>
        <v>354427148</v>
      </c>
      <c r="B788" s="1" t="str">
        <f>IFERROR(__xludf.DUMMYFUNCTION("""COMPUTED_VALUE"""),"GARNIS Aerox New/Old (A) MIRROR SILVER")</f>
        <v>GARNIS Aerox New/Old (A) MIRROR SILVER</v>
      </c>
    </row>
    <row r="789">
      <c r="A789" s="1">
        <f>IFERROR(__xludf.DUMMYFUNCTION("""COMPUTED_VALUE"""),5.55047301E8)</f>
        <v>555047301</v>
      </c>
      <c r="B789" s="1" t="str">
        <f>IFERROR(__xludf.DUMMYFUNCTION("""COMPUTED_VALUE"""),"GARNIS Aerox New/Old (C) MIRROR SILVER")</f>
        <v>GARNIS Aerox New/Old (C) MIRROR SILVER</v>
      </c>
    </row>
    <row r="790">
      <c r="A790" s="1">
        <f>IFERROR(__xludf.DUMMYFUNCTION("""COMPUTED_VALUE"""),6.35856774E8)</f>
        <v>635856774</v>
      </c>
      <c r="B790" s="1" t="str">
        <f>IFERROR(__xludf.DUMMYFUNCTION("""COMPUTED_VALUE"""),"GARNIS Aerox New/Old (D) MIRROR SILVER")</f>
        <v>GARNIS Aerox New/Old (D) MIRROR SILVER</v>
      </c>
    </row>
    <row r="791">
      <c r="A791" s="1">
        <f>IFERROR(__xludf.DUMMYFUNCTION("""COMPUTED_VALUE"""),9.89664264E8)</f>
        <v>989664264</v>
      </c>
      <c r="B791" s="1" t="str">
        <f>IFERROR(__xludf.DUMMYFUNCTION("""COMPUTED_VALUE"""),"GARNIS Aerox New/Old (E) MIRROR SILVER")</f>
        <v>GARNIS Aerox New/Old (E) MIRROR SILVER</v>
      </c>
    </row>
    <row r="792">
      <c r="A792" s="1">
        <f>IFERROR(__xludf.DUMMYFUNCTION("""COMPUTED_VALUE"""),6.32056869E8)</f>
        <v>632056869</v>
      </c>
      <c r="B792" s="1" t="str">
        <f>IFERROR(__xludf.DUMMYFUNCTION("""COMPUTED_VALUE"""),"GARNIS Aerox New/Old (G) MIRROR SILVER")</f>
        <v>GARNIS Aerox New/Old (G) MIRROR SILVER</v>
      </c>
    </row>
    <row r="793">
      <c r="A793" s="1">
        <f>IFERROR(__xludf.DUMMYFUNCTION("""COMPUTED_VALUE"""),4.4314855E8)</f>
        <v>443148550</v>
      </c>
      <c r="B793" s="1" t="str">
        <f>IFERROR(__xludf.DUMMYFUNCTION("""COMPUTED_VALUE"""),"GARNIS Aerox New/Old (A) MIRROR GOLD")</f>
        <v>GARNIS Aerox New/Old (A) MIRROR GOLD</v>
      </c>
    </row>
    <row r="794">
      <c r="A794" s="1">
        <f>IFERROR(__xludf.DUMMYFUNCTION("""COMPUTED_VALUE"""),9.78806387E8)</f>
        <v>978806387</v>
      </c>
      <c r="B794" s="1" t="str">
        <f>IFERROR(__xludf.DUMMYFUNCTION("""COMPUTED_VALUE"""),"GARNIS Aerox New/Old (C) MIRROR GOLD")</f>
        <v>GARNIS Aerox New/Old (C) MIRROR GOLD</v>
      </c>
    </row>
    <row r="795">
      <c r="A795" s="1">
        <f>IFERROR(__xludf.DUMMYFUNCTION("""COMPUTED_VALUE"""),9.21188019E8)</f>
        <v>921188019</v>
      </c>
      <c r="B795" s="1" t="str">
        <f>IFERROR(__xludf.DUMMYFUNCTION("""COMPUTED_VALUE"""),"GARNIS Aerox New/Old (D) MIRROR GOLD")</f>
        <v>GARNIS Aerox New/Old (D) MIRROR GOLD</v>
      </c>
    </row>
    <row r="796">
      <c r="A796" s="1">
        <f>IFERROR(__xludf.DUMMYFUNCTION("""COMPUTED_VALUE"""),7.05019502E8)</f>
        <v>705019502</v>
      </c>
      <c r="B796" s="1" t="str">
        <f>IFERROR(__xludf.DUMMYFUNCTION("""COMPUTED_VALUE"""),"GARNIS Aerox New/Old (E) MIRROR GOLD")</f>
        <v>GARNIS Aerox New/Old (E) MIRROR GOLD</v>
      </c>
    </row>
    <row r="797">
      <c r="A797" s="1">
        <f>IFERROR(__xludf.DUMMYFUNCTION("""COMPUTED_VALUE"""),1.50284285E8)</f>
        <v>150284285</v>
      </c>
      <c r="B797" s="1" t="str">
        <f>IFERROR(__xludf.DUMMYFUNCTION("""COMPUTED_VALUE"""),"GARNIS Aerox New/Old (G) MIRROR GOLD")</f>
        <v>GARNIS Aerox New/Old (G) MIRROR GOLD</v>
      </c>
    </row>
    <row r="798">
      <c r="A798" s="1">
        <f>IFERROR(__xludf.DUMMYFUNCTION("""COMPUTED_VALUE"""),1.17956624E8)</f>
        <v>117956624</v>
      </c>
      <c r="B798" s="1" t="str">
        <f>IFERROR(__xludf.DUMMYFUNCTION("""COMPUTED_VALUE"""),"GARNIS Aerox New/Old (A) MIRROR ROSEGOLD")</f>
        <v>GARNIS Aerox New/Old (A) MIRROR ROSEGOLD</v>
      </c>
    </row>
    <row r="799">
      <c r="A799" s="1">
        <f>IFERROR(__xludf.DUMMYFUNCTION("""COMPUTED_VALUE"""),3.66728138E8)</f>
        <v>366728138</v>
      </c>
      <c r="B799" s="1" t="str">
        <f>IFERROR(__xludf.DUMMYFUNCTION("""COMPUTED_VALUE"""),"GARNIS Aerox New/Old (C) MIRROR ROSEGOLD")</f>
        <v>GARNIS Aerox New/Old (C) MIRROR ROSEGOLD</v>
      </c>
    </row>
    <row r="800">
      <c r="A800" s="1">
        <f>IFERROR(__xludf.DUMMYFUNCTION("""COMPUTED_VALUE"""),5.73759759E8)</f>
        <v>573759759</v>
      </c>
      <c r="B800" s="1" t="str">
        <f>IFERROR(__xludf.DUMMYFUNCTION("""COMPUTED_VALUE"""),"GARNIS Aerox New/Old (D) MIRROR ROSEGOLD")</f>
        <v>GARNIS Aerox New/Old (D) MIRROR ROSEGOLD</v>
      </c>
    </row>
    <row r="801">
      <c r="A801" s="1">
        <f>IFERROR(__xludf.DUMMYFUNCTION("""COMPUTED_VALUE"""),5.70770991E8)</f>
        <v>570770991</v>
      </c>
      <c r="B801" s="1" t="str">
        <f>IFERROR(__xludf.DUMMYFUNCTION("""COMPUTED_VALUE"""),"GARNIS Aerox New/Old (E) MIRROR ROSEGOLD")</f>
        <v>GARNIS Aerox New/Old (E) MIRROR ROSEGOLD</v>
      </c>
    </row>
    <row r="802">
      <c r="A802" s="1">
        <f>IFERROR(__xludf.DUMMYFUNCTION("""COMPUTED_VALUE"""),8.41724332E8)</f>
        <v>841724332</v>
      </c>
      <c r="B802" s="1" t="str">
        <f>IFERROR(__xludf.DUMMYFUNCTION("""COMPUTED_VALUE"""),"GARNIS Aerox New/Old (G) MIRROR ROSEGOLD")</f>
        <v>GARNIS Aerox New/Old (G) MIRROR ROSEGOLD</v>
      </c>
    </row>
    <row r="803">
      <c r="A803" s="1">
        <f>IFERROR(__xludf.DUMMYFUNCTION("""COMPUTED_VALUE"""),7.29658631E8)</f>
        <v>729658631</v>
      </c>
      <c r="B803" s="1" t="str">
        <f>IFERROR(__xludf.DUMMYFUNCTION("""COMPUTED_VALUE"""),"GARNIS Nmax New Type (A) MIRROR MERAH")</f>
        <v>GARNIS Nmax New Type (A) MIRROR MERAH</v>
      </c>
    </row>
    <row r="804">
      <c r="A804" s="1">
        <f>IFERROR(__xludf.DUMMYFUNCTION("""COMPUTED_VALUE"""),7.14261719E8)</f>
        <v>714261719</v>
      </c>
      <c r="B804" s="1" t="str">
        <f>IFERROR(__xludf.DUMMYFUNCTION("""COMPUTED_VALUE"""),"GARNIS Nmax New Type (B) MIRROR MERAH")</f>
        <v>GARNIS Nmax New Type (B) MIRROR MERAH</v>
      </c>
    </row>
    <row r="805">
      <c r="A805" s="1">
        <f>IFERROR(__xludf.DUMMYFUNCTION("""COMPUTED_VALUE"""),5.06560079E8)</f>
        <v>506560079</v>
      </c>
      <c r="B805" s="1" t="str">
        <f>IFERROR(__xludf.DUMMYFUNCTION("""COMPUTED_VALUE"""),"GARNIS Nmax New Type (C) MIRROR MERAH")</f>
        <v>GARNIS Nmax New Type (C) MIRROR MERAH</v>
      </c>
    </row>
    <row r="806">
      <c r="A806" s="1">
        <f>IFERROR(__xludf.DUMMYFUNCTION("""COMPUTED_VALUE"""),4.87552909E8)</f>
        <v>487552909</v>
      </c>
      <c r="B806" s="1" t="str">
        <f>IFERROR(__xludf.DUMMYFUNCTION("""COMPUTED_VALUE"""),"GARNIS Nmax New Type (D) MIRROR MERAH")</f>
        <v>GARNIS Nmax New Type (D) MIRROR MERAH</v>
      </c>
    </row>
    <row r="807">
      <c r="A807" s="1">
        <f>IFERROR(__xludf.DUMMYFUNCTION("""COMPUTED_VALUE"""),8.11578623E8)</f>
        <v>811578623</v>
      </c>
      <c r="B807" s="1" t="str">
        <f>IFERROR(__xludf.DUMMYFUNCTION("""COMPUTED_VALUE"""),"GARNIS Nmax New Type (E) MIRROR MERAH")</f>
        <v>GARNIS Nmax New Type (E) MIRROR MERAH</v>
      </c>
    </row>
    <row r="808">
      <c r="A808" s="1">
        <f>IFERROR(__xludf.DUMMYFUNCTION("""COMPUTED_VALUE"""),3.29123124E8)</f>
        <v>329123124</v>
      </c>
      <c r="B808" s="1" t="str">
        <f>IFERROR(__xludf.DUMMYFUNCTION("""COMPUTED_VALUE"""),"GARNIS Nmax New Type (F) MIRROR MERAH")</f>
        <v>GARNIS Nmax New Type (F) MIRROR MERAH</v>
      </c>
    </row>
    <row r="809">
      <c r="A809" s="1">
        <f>IFERROR(__xludf.DUMMYFUNCTION("""COMPUTED_VALUE"""),1.32035419E8)</f>
        <v>132035419</v>
      </c>
      <c r="B809" s="1" t="str">
        <f>IFERROR(__xludf.DUMMYFUNCTION("""COMPUTED_VALUE"""),"GARNIS Nmax New Type (G) MIRROR MERAH")</f>
        <v>GARNIS Nmax New Type (G) MIRROR MERAH</v>
      </c>
    </row>
    <row r="810">
      <c r="A810" s="1">
        <f>IFERROR(__xludf.DUMMYFUNCTION("""COMPUTED_VALUE"""),4.84212733E8)</f>
        <v>484212733</v>
      </c>
      <c r="B810" s="1" t="str">
        <f>IFERROR(__xludf.DUMMYFUNCTION("""COMPUTED_VALUE"""),"GARNIS Nmax New Type (A) MIRROR BIRU")</f>
        <v>GARNIS Nmax New Type (A) MIRROR BIRU</v>
      </c>
    </row>
    <row r="811">
      <c r="A811" s="1">
        <f>IFERROR(__xludf.DUMMYFUNCTION("""COMPUTED_VALUE"""),8.28062246E8)</f>
        <v>828062246</v>
      </c>
      <c r="B811" s="1" t="str">
        <f>IFERROR(__xludf.DUMMYFUNCTION("""COMPUTED_VALUE"""),"GARNIS Nmax New Type (B) MIRROR BIRU")</f>
        <v>GARNIS Nmax New Type (B) MIRROR BIRU</v>
      </c>
    </row>
    <row r="812">
      <c r="A812" s="1">
        <f>IFERROR(__xludf.DUMMYFUNCTION("""COMPUTED_VALUE"""),6.76203609E8)</f>
        <v>676203609</v>
      </c>
      <c r="B812" s="1" t="str">
        <f>IFERROR(__xludf.DUMMYFUNCTION("""COMPUTED_VALUE"""),"GARNIS Nmax New Type (C) MIRROR BIRU")</f>
        <v>GARNIS Nmax New Type (C) MIRROR BIRU</v>
      </c>
    </row>
    <row r="813">
      <c r="A813" s="1">
        <f>IFERROR(__xludf.DUMMYFUNCTION("""COMPUTED_VALUE"""),8.15456623E8)</f>
        <v>815456623</v>
      </c>
      <c r="B813" s="1" t="str">
        <f>IFERROR(__xludf.DUMMYFUNCTION("""COMPUTED_VALUE"""),"GARNIS Nmax New Type (D) MIRROR BIRU")</f>
        <v>GARNIS Nmax New Type (D) MIRROR BIRU</v>
      </c>
    </row>
    <row r="814">
      <c r="A814" s="1">
        <f>IFERROR(__xludf.DUMMYFUNCTION("""COMPUTED_VALUE"""),9.25524054E8)</f>
        <v>925524054</v>
      </c>
      <c r="B814" s="1" t="str">
        <f>IFERROR(__xludf.DUMMYFUNCTION("""COMPUTED_VALUE"""),"GARNIS Nmax New Type (E) MIRROR BIRU")</f>
        <v>GARNIS Nmax New Type (E) MIRROR BIRU</v>
      </c>
    </row>
    <row r="815">
      <c r="A815" s="1">
        <f>IFERROR(__xludf.DUMMYFUNCTION("""COMPUTED_VALUE"""),7.57471733E8)</f>
        <v>757471733</v>
      </c>
      <c r="B815" s="1" t="str">
        <f>IFERROR(__xludf.DUMMYFUNCTION("""COMPUTED_VALUE"""),"GARNIS Nmax New Type (F) MIRROR BIRU")</f>
        <v>GARNIS Nmax New Type (F) MIRROR BIRU</v>
      </c>
    </row>
    <row r="816">
      <c r="A816" s="1">
        <f>IFERROR(__xludf.DUMMYFUNCTION("""COMPUTED_VALUE"""),2.21892134E8)</f>
        <v>221892134</v>
      </c>
      <c r="B816" s="1" t="str">
        <f>IFERROR(__xludf.DUMMYFUNCTION("""COMPUTED_VALUE"""),"GARNIS Nmax New Type (G) MIRROR BIRU")</f>
        <v>GARNIS Nmax New Type (G) MIRROR BIRU</v>
      </c>
    </row>
    <row r="817">
      <c r="A817" s="1">
        <f>IFERROR(__xludf.DUMMYFUNCTION("""COMPUTED_VALUE"""),6.36578005E8)</f>
        <v>636578005</v>
      </c>
      <c r="B817" s="1" t="str">
        <f>IFERROR(__xludf.DUMMYFUNCTION("""COMPUTED_VALUE"""),"GARNIS Nmax New Type (A) MIRROR SILVER")</f>
        <v>GARNIS Nmax New Type (A) MIRROR SILVER</v>
      </c>
    </row>
    <row r="818">
      <c r="A818" s="1">
        <f>IFERROR(__xludf.DUMMYFUNCTION("""COMPUTED_VALUE"""),8.57227727E8)</f>
        <v>857227727</v>
      </c>
      <c r="B818" s="1" t="str">
        <f>IFERROR(__xludf.DUMMYFUNCTION("""COMPUTED_VALUE"""),"GARNIS Nmax New Type (B) MIRROR SILVER")</f>
        <v>GARNIS Nmax New Type (B) MIRROR SILVER</v>
      </c>
    </row>
    <row r="819">
      <c r="A819" s="1">
        <f>IFERROR(__xludf.DUMMYFUNCTION("""COMPUTED_VALUE"""),6.40517858E8)</f>
        <v>640517858</v>
      </c>
      <c r="B819" s="1" t="str">
        <f>IFERROR(__xludf.DUMMYFUNCTION("""COMPUTED_VALUE"""),"GARNIS Nmax New Type (C) MIRROR SILVER")</f>
        <v>GARNIS Nmax New Type (C) MIRROR SILVER</v>
      </c>
    </row>
    <row r="820">
      <c r="A820" s="1">
        <f>IFERROR(__xludf.DUMMYFUNCTION("""COMPUTED_VALUE"""),8.86211528E8)</f>
        <v>886211528</v>
      </c>
      <c r="B820" s="1" t="str">
        <f>IFERROR(__xludf.DUMMYFUNCTION("""COMPUTED_VALUE"""),"GARNIS Nmax New Type (D) MIRROR SILVER")</f>
        <v>GARNIS Nmax New Type (D) MIRROR SILVER</v>
      </c>
    </row>
    <row r="821">
      <c r="A821" s="1">
        <f>IFERROR(__xludf.DUMMYFUNCTION("""COMPUTED_VALUE"""),3.5216609E8)</f>
        <v>352166090</v>
      </c>
      <c r="B821" s="1" t="str">
        <f>IFERROR(__xludf.DUMMYFUNCTION("""COMPUTED_VALUE"""),"GARNIS Nmax New Type (E) MIRROR SILVER")</f>
        <v>GARNIS Nmax New Type (E) MIRROR SILVER</v>
      </c>
    </row>
    <row r="822">
      <c r="A822" s="1">
        <f>IFERROR(__xludf.DUMMYFUNCTION("""COMPUTED_VALUE"""),3.60919213E8)</f>
        <v>360919213</v>
      </c>
      <c r="B822" s="1" t="str">
        <f>IFERROR(__xludf.DUMMYFUNCTION("""COMPUTED_VALUE"""),"GARNIS Nmax New Type (F) MIRROR SILVER")</f>
        <v>GARNIS Nmax New Type (F) MIRROR SILVER</v>
      </c>
    </row>
    <row r="823">
      <c r="A823" s="1">
        <f>IFERROR(__xludf.DUMMYFUNCTION("""COMPUTED_VALUE"""),1.76181923E8)</f>
        <v>176181923</v>
      </c>
      <c r="B823" s="1" t="str">
        <f>IFERROR(__xludf.DUMMYFUNCTION("""COMPUTED_VALUE"""),"GARNIS Nmax New Type (G) MIRROR SILVER")</f>
        <v>GARNIS Nmax New Type (G) MIRROR SILVER</v>
      </c>
    </row>
    <row r="824">
      <c r="A824" s="1">
        <f>IFERROR(__xludf.DUMMYFUNCTION("""COMPUTED_VALUE"""),2.88328007E8)</f>
        <v>288328007</v>
      </c>
      <c r="B824" s="1" t="str">
        <f>IFERROR(__xludf.DUMMYFUNCTION("""COMPUTED_VALUE"""),"GARNIS Nmax New Type (A) MIRROR GOLD")</f>
        <v>GARNIS Nmax New Type (A) MIRROR GOLD</v>
      </c>
    </row>
    <row r="825">
      <c r="A825" s="1">
        <f>IFERROR(__xludf.DUMMYFUNCTION("""COMPUTED_VALUE"""),1.03986159E8)</f>
        <v>103986159</v>
      </c>
      <c r="B825" s="1" t="str">
        <f>IFERROR(__xludf.DUMMYFUNCTION("""COMPUTED_VALUE"""),"GARNIS Nmax New Type (B) MIRROR GOLD")</f>
        <v>GARNIS Nmax New Type (B) MIRROR GOLD</v>
      </c>
    </row>
    <row r="826">
      <c r="A826" s="1">
        <f>IFERROR(__xludf.DUMMYFUNCTION("""COMPUTED_VALUE"""),8.65026846E8)</f>
        <v>865026846</v>
      </c>
      <c r="B826" s="1" t="str">
        <f>IFERROR(__xludf.DUMMYFUNCTION("""COMPUTED_VALUE"""),"GARNIS Nmax New Type (C) MIRROR GOLD")</f>
        <v>GARNIS Nmax New Type (C) MIRROR GOLD</v>
      </c>
    </row>
    <row r="827">
      <c r="A827" s="1">
        <f>IFERROR(__xludf.DUMMYFUNCTION("""COMPUTED_VALUE"""),7.95585891E8)</f>
        <v>795585891</v>
      </c>
      <c r="B827" s="1" t="str">
        <f>IFERROR(__xludf.DUMMYFUNCTION("""COMPUTED_VALUE"""),"GARNIS Nmax New Type (D) MIRROR GOLD")</f>
        <v>GARNIS Nmax New Type (D) MIRROR GOLD</v>
      </c>
    </row>
    <row r="828">
      <c r="A828" s="1">
        <f>IFERROR(__xludf.DUMMYFUNCTION("""COMPUTED_VALUE"""),3.46395818E8)</f>
        <v>346395818</v>
      </c>
      <c r="B828" s="1" t="str">
        <f>IFERROR(__xludf.DUMMYFUNCTION("""COMPUTED_VALUE"""),"GARNIS Nmax New Type (E) MIRROR GOLD")</f>
        <v>GARNIS Nmax New Type (E) MIRROR GOLD</v>
      </c>
    </row>
    <row r="829">
      <c r="A829" s="1">
        <f>IFERROR(__xludf.DUMMYFUNCTION("""COMPUTED_VALUE"""),5.59520617E8)</f>
        <v>559520617</v>
      </c>
      <c r="B829" s="1" t="str">
        <f>IFERROR(__xludf.DUMMYFUNCTION("""COMPUTED_VALUE"""),"GARNIS Nmax New Type (F) MIRROR GOLD")</f>
        <v>GARNIS Nmax New Type (F) MIRROR GOLD</v>
      </c>
    </row>
    <row r="830">
      <c r="A830" s="1">
        <f>IFERROR(__xludf.DUMMYFUNCTION("""COMPUTED_VALUE"""),2.99840517E8)</f>
        <v>299840517</v>
      </c>
      <c r="B830" s="1" t="str">
        <f>IFERROR(__xludf.DUMMYFUNCTION("""COMPUTED_VALUE"""),"GARNIS Nmax New Type (G) MIRROR GOLD")</f>
        <v>GARNIS Nmax New Type (G) MIRROR GOLD</v>
      </c>
    </row>
    <row r="831">
      <c r="A831" s="1">
        <f>IFERROR(__xludf.DUMMYFUNCTION("""COMPUTED_VALUE"""),4.89172394E8)</f>
        <v>489172394</v>
      </c>
      <c r="B831" s="1" t="str">
        <f>IFERROR(__xludf.DUMMYFUNCTION("""COMPUTED_VALUE"""),"GARNIS Nmax New Type (A) MIRROR ROSEGOLD")</f>
        <v>GARNIS Nmax New Type (A) MIRROR ROSEGOLD</v>
      </c>
    </row>
    <row r="832">
      <c r="A832" s="1">
        <f>IFERROR(__xludf.DUMMYFUNCTION("""COMPUTED_VALUE"""),5.75025233E8)</f>
        <v>575025233</v>
      </c>
      <c r="B832" s="1" t="str">
        <f>IFERROR(__xludf.DUMMYFUNCTION("""COMPUTED_VALUE"""),"GARNIS Nmax New Type (B) MIRROR ROSEGOLD")</f>
        <v>GARNIS Nmax New Type (B) MIRROR ROSEGOLD</v>
      </c>
    </row>
    <row r="833">
      <c r="A833" s="1">
        <f>IFERROR(__xludf.DUMMYFUNCTION("""COMPUTED_VALUE"""),9.28641408E8)</f>
        <v>928641408</v>
      </c>
      <c r="B833" s="1" t="str">
        <f>IFERROR(__xludf.DUMMYFUNCTION("""COMPUTED_VALUE"""),"GARNIS Nmax New Type (C) MIRROR ROSEGOLD")</f>
        <v>GARNIS Nmax New Type (C) MIRROR ROSEGOLD</v>
      </c>
    </row>
    <row r="834">
      <c r="A834" s="1">
        <f>IFERROR(__xludf.DUMMYFUNCTION("""COMPUTED_VALUE"""),5.50802093E8)</f>
        <v>550802093</v>
      </c>
      <c r="B834" s="1" t="str">
        <f>IFERROR(__xludf.DUMMYFUNCTION("""COMPUTED_VALUE"""),"GARNIS Nmax New Type (D) MIRROR ROSEGOLD")</f>
        <v>GARNIS Nmax New Type (D) MIRROR ROSEGOLD</v>
      </c>
    </row>
    <row r="835">
      <c r="A835" s="1">
        <f>IFERROR(__xludf.DUMMYFUNCTION("""COMPUTED_VALUE"""),1.03353131E8)</f>
        <v>103353131</v>
      </c>
      <c r="B835" s="1" t="str">
        <f>IFERROR(__xludf.DUMMYFUNCTION("""COMPUTED_VALUE"""),"GARNIS Nmax New Type (E) MIRROR ROSEGOLD")</f>
        <v>GARNIS Nmax New Type (E) MIRROR ROSEGOLD</v>
      </c>
    </row>
    <row r="836">
      <c r="A836" s="1">
        <f>IFERROR(__xludf.DUMMYFUNCTION("""COMPUTED_VALUE"""),7.71815186E8)</f>
        <v>771815186</v>
      </c>
      <c r="B836" s="1" t="str">
        <f>IFERROR(__xludf.DUMMYFUNCTION("""COMPUTED_VALUE"""),"GARNIS Nmax New Type (F) MIRROR ROSEGOLD")</f>
        <v>GARNIS Nmax New Type (F) MIRROR ROSEGOLD</v>
      </c>
    </row>
    <row r="837">
      <c r="A837" s="1">
        <f>IFERROR(__xludf.DUMMYFUNCTION("""COMPUTED_VALUE"""),3.033456E8)</f>
        <v>303345600</v>
      </c>
      <c r="B837" s="1" t="str">
        <f>IFERROR(__xludf.DUMMYFUNCTION("""COMPUTED_VALUE"""),"GARNIS Nmax New Type (G) MIRROR ROSEGOLD")</f>
        <v>GARNIS Nmax New Type (G) MIRROR ROSEGOLD</v>
      </c>
    </row>
    <row r="838">
      <c r="A838" s="1">
        <f>IFERROR(__xludf.DUMMYFUNCTION("""COMPUTED_VALUE"""),7.37420809E8)</f>
        <v>737420809</v>
      </c>
      <c r="B838" s="1" t="str">
        <f>IFERROR(__xludf.DUMMYFUNCTION("""COMPUTED_VALUE"""),"GARNIS Nmax Old Type (A) MIRROR MERAH")</f>
        <v>GARNIS Nmax Old Type (A) MIRROR MERAH</v>
      </c>
    </row>
    <row r="839">
      <c r="A839" s="1">
        <f>IFERROR(__xludf.DUMMYFUNCTION("""COMPUTED_VALUE"""),4.31478893E8)</f>
        <v>431478893</v>
      </c>
      <c r="B839" s="1" t="str">
        <f>IFERROR(__xludf.DUMMYFUNCTION("""COMPUTED_VALUE"""),"GARNIS Nmax Old Type (B) MIRROR MERAH")</f>
        <v>GARNIS Nmax Old Type (B) MIRROR MERAH</v>
      </c>
    </row>
    <row r="840">
      <c r="A840" s="1">
        <f>IFERROR(__xludf.DUMMYFUNCTION("""COMPUTED_VALUE"""),6.37365239E8)</f>
        <v>637365239</v>
      </c>
      <c r="B840" s="1" t="str">
        <f>IFERROR(__xludf.DUMMYFUNCTION("""COMPUTED_VALUE"""),"GARNIS Nmax Old Type (C) MIRROR MERAH")</f>
        <v>GARNIS Nmax Old Type (C) MIRROR MERAH</v>
      </c>
    </row>
    <row r="841">
      <c r="A841" s="1">
        <f>IFERROR(__xludf.DUMMYFUNCTION("""COMPUTED_VALUE"""),4.43874107E8)</f>
        <v>443874107</v>
      </c>
      <c r="B841" s="1" t="str">
        <f>IFERROR(__xludf.DUMMYFUNCTION("""COMPUTED_VALUE"""),"GARNIS Nmax Old Type (D) MIRROR MERAH")</f>
        <v>GARNIS Nmax Old Type (D) MIRROR MERAH</v>
      </c>
    </row>
    <row r="842">
      <c r="A842" s="1">
        <f>IFERROR(__xludf.DUMMYFUNCTION("""COMPUTED_VALUE"""),2.1636915E8)</f>
        <v>216369150</v>
      </c>
      <c r="B842" s="1" t="str">
        <f>IFERROR(__xludf.DUMMYFUNCTION("""COMPUTED_VALUE"""),"GARNIS Nmax Old Type (E) MIRROR MERAH")</f>
        <v>GARNIS Nmax Old Type (E) MIRROR MERAH</v>
      </c>
    </row>
    <row r="843">
      <c r="A843" s="1">
        <f>IFERROR(__xludf.DUMMYFUNCTION("""COMPUTED_VALUE"""),9.63197347E8)</f>
        <v>963197347</v>
      </c>
      <c r="B843" s="1" t="str">
        <f>IFERROR(__xludf.DUMMYFUNCTION("""COMPUTED_VALUE"""),"GARNIS Nmax Old Type (F) MIRROR MERAH")</f>
        <v>GARNIS Nmax Old Type (F) MIRROR MERAH</v>
      </c>
    </row>
    <row r="844">
      <c r="A844" s="1">
        <f>IFERROR(__xludf.DUMMYFUNCTION("""COMPUTED_VALUE"""),3.57391216E8)</f>
        <v>357391216</v>
      </c>
      <c r="B844" s="1" t="str">
        <f>IFERROR(__xludf.DUMMYFUNCTION("""COMPUTED_VALUE"""),"GARNIS Nmax Old Type (G) MIRROR MERAH")</f>
        <v>GARNIS Nmax Old Type (G) MIRROR MERAH</v>
      </c>
    </row>
    <row r="845">
      <c r="A845" s="1">
        <f>IFERROR(__xludf.DUMMYFUNCTION("""COMPUTED_VALUE"""),6.41340384E8)</f>
        <v>641340384</v>
      </c>
      <c r="B845" s="1" t="str">
        <f>IFERROR(__xludf.DUMMYFUNCTION("""COMPUTED_VALUE"""),"GARNIS Nmax Old Type (A) MIRROR BIRU")</f>
        <v>GARNIS Nmax Old Type (A) MIRROR BIRU</v>
      </c>
    </row>
    <row r="846">
      <c r="A846" s="1">
        <f>IFERROR(__xludf.DUMMYFUNCTION("""COMPUTED_VALUE"""),7.27270345E8)</f>
        <v>727270345</v>
      </c>
      <c r="B846" s="1" t="str">
        <f>IFERROR(__xludf.DUMMYFUNCTION("""COMPUTED_VALUE"""),"GARNIS Nmax Old Type (B) MIRROR BIRU")</f>
        <v>GARNIS Nmax Old Type (B) MIRROR BIRU</v>
      </c>
    </row>
    <row r="847">
      <c r="A847" s="1">
        <f>IFERROR(__xludf.DUMMYFUNCTION("""COMPUTED_VALUE"""),8.53809915E8)</f>
        <v>853809915</v>
      </c>
      <c r="B847" s="1" t="str">
        <f>IFERROR(__xludf.DUMMYFUNCTION("""COMPUTED_VALUE"""),"GARNIS Nmax Old Type (C) MIRROR BIRU")</f>
        <v>GARNIS Nmax Old Type (C) MIRROR BIRU</v>
      </c>
    </row>
    <row r="848">
      <c r="A848" s="1">
        <f>IFERROR(__xludf.DUMMYFUNCTION("""COMPUTED_VALUE"""),7.82152036E8)</f>
        <v>782152036</v>
      </c>
      <c r="B848" s="1" t="str">
        <f>IFERROR(__xludf.DUMMYFUNCTION("""COMPUTED_VALUE"""),"GARNIS Nmax Old Type (D) MIRROR BIRU")</f>
        <v>GARNIS Nmax Old Type (D) MIRROR BIRU</v>
      </c>
    </row>
    <row r="849">
      <c r="A849" s="1">
        <f>IFERROR(__xludf.DUMMYFUNCTION("""COMPUTED_VALUE"""),4.34696299E8)</f>
        <v>434696299</v>
      </c>
      <c r="B849" s="1" t="str">
        <f>IFERROR(__xludf.DUMMYFUNCTION("""COMPUTED_VALUE"""),"GARNIS Nmax Old Type (E) MIRROR BIRU")</f>
        <v>GARNIS Nmax Old Type (E) MIRROR BIRU</v>
      </c>
    </row>
    <row r="850">
      <c r="A850" s="1">
        <f>IFERROR(__xludf.DUMMYFUNCTION("""COMPUTED_VALUE"""),5.05976032E8)</f>
        <v>505976032</v>
      </c>
      <c r="B850" s="1" t="str">
        <f>IFERROR(__xludf.DUMMYFUNCTION("""COMPUTED_VALUE"""),"GARNIS Nmax Old Type (F) MIRROR BIRU")</f>
        <v>GARNIS Nmax Old Type (F) MIRROR BIRU</v>
      </c>
    </row>
    <row r="851">
      <c r="A851" s="1">
        <f>IFERROR(__xludf.DUMMYFUNCTION("""COMPUTED_VALUE"""),3.72062987E8)</f>
        <v>372062987</v>
      </c>
      <c r="B851" s="1" t="str">
        <f>IFERROR(__xludf.DUMMYFUNCTION("""COMPUTED_VALUE"""),"GARNIS Nmax Old Type (G) MIRROR BIRU")</f>
        <v>GARNIS Nmax Old Type (G) MIRROR BIRU</v>
      </c>
    </row>
    <row r="852">
      <c r="A852" s="1">
        <f>IFERROR(__xludf.DUMMYFUNCTION("""COMPUTED_VALUE"""),1.33596214E8)</f>
        <v>133596214</v>
      </c>
      <c r="B852" s="1" t="str">
        <f>IFERROR(__xludf.DUMMYFUNCTION("""COMPUTED_VALUE"""),"GARNIS Nmax Old Type (A) MIRROR SILVER")</f>
        <v>GARNIS Nmax Old Type (A) MIRROR SILVER</v>
      </c>
    </row>
    <row r="853">
      <c r="A853" s="1">
        <f>IFERROR(__xludf.DUMMYFUNCTION("""COMPUTED_VALUE"""),2.09806675E8)</f>
        <v>209806675</v>
      </c>
      <c r="B853" s="1" t="str">
        <f>IFERROR(__xludf.DUMMYFUNCTION("""COMPUTED_VALUE"""),"GARNIS Nmax Old Type (B) MIRROR SILVER")</f>
        <v>GARNIS Nmax Old Type (B) MIRROR SILVER</v>
      </c>
    </row>
    <row r="854">
      <c r="A854" s="1">
        <f>IFERROR(__xludf.DUMMYFUNCTION("""COMPUTED_VALUE"""),5.90754638E8)</f>
        <v>590754638</v>
      </c>
      <c r="B854" s="1" t="str">
        <f>IFERROR(__xludf.DUMMYFUNCTION("""COMPUTED_VALUE"""),"GARNIS Nmax Old Type (C) MIRROR SILVER")</f>
        <v>GARNIS Nmax Old Type (C) MIRROR SILVER</v>
      </c>
    </row>
    <row r="855">
      <c r="A855" s="1">
        <f>IFERROR(__xludf.DUMMYFUNCTION("""COMPUTED_VALUE"""),8.12009556E8)</f>
        <v>812009556</v>
      </c>
      <c r="B855" s="1" t="str">
        <f>IFERROR(__xludf.DUMMYFUNCTION("""COMPUTED_VALUE"""),"GARNIS Nmax Old Type (D) MIRROR SILVER")</f>
        <v>GARNIS Nmax Old Type (D) MIRROR SILVER</v>
      </c>
    </row>
    <row r="856">
      <c r="A856" s="1">
        <f>IFERROR(__xludf.DUMMYFUNCTION("""COMPUTED_VALUE"""),8.83103782E8)</f>
        <v>883103782</v>
      </c>
      <c r="B856" s="1" t="str">
        <f>IFERROR(__xludf.DUMMYFUNCTION("""COMPUTED_VALUE"""),"GARNIS Nmax Old Type (E) MIRROR SILVER")</f>
        <v>GARNIS Nmax Old Type (E) MIRROR SILVER</v>
      </c>
    </row>
    <row r="857">
      <c r="A857" s="1">
        <f>IFERROR(__xludf.DUMMYFUNCTION("""COMPUTED_VALUE"""),7.63977738E8)</f>
        <v>763977738</v>
      </c>
      <c r="B857" s="1" t="str">
        <f>IFERROR(__xludf.DUMMYFUNCTION("""COMPUTED_VALUE"""),"GARNIS Nmax Old Type (F) MIRROR SILVER")</f>
        <v>GARNIS Nmax Old Type (F) MIRROR SILVER</v>
      </c>
    </row>
    <row r="858">
      <c r="A858" s="1">
        <f>IFERROR(__xludf.DUMMYFUNCTION("""COMPUTED_VALUE"""),7.88733487E8)</f>
        <v>788733487</v>
      </c>
      <c r="B858" s="1" t="str">
        <f>IFERROR(__xludf.DUMMYFUNCTION("""COMPUTED_VALUE"""),"GARNIS Nmax Old Type (G) MIRROR SILVER")</f>
        <v>GARNIS Nmax Old Type (G) MIRROR SILVER</v>
      </c>
    </row>
    <row r="859">
      <c r="A859" s="1">
        <f>IFERROR(__xludf.DUMMYFUNCTION("""COMPUTED_VALUE"""),3.10091292E8)</f>
        <v>310091292</v>
      </c>
      <c r="B859" s="1" t="str">
        <f>IFERROR(__xludf.DUMMYFUNCTION("""COMPUTED_VALUE"""),"GARNIS Nmax Old Type (A) MIRROR GOLD")</f>
        <v>GARNIS Nmax Old Type (A) MIRROR GOLD</v>
      </c>
    </row>
    <row r="860">
      <c r="A860" s="1">
        <f>IFERROR(__xludf.DUMMYFUNCTION("""COMPUTED_VALUE"""),4.92736276E8)</f>
        <v>492736276</v>
      </c>
      <c r="B860" s="1" t="str">
        <f>IFERROR(__xludf.DUMMYFUNCTION("""COMPUTED_VALUE"""),"GARNIS Nmax Old Type (B) MIRROR GOLD")</f>
        <v>GARNIS Nmax Old Type (B) MIRROR GOLD</v>
      </c>
    </row>
    <row r="861">
      <c r="A861" s="1">
        <f>IFERROR(__xludf.DUMMYFUNCTION("""COMPUTED_VALUE"""),2.52799745E8)</f>
        <v>252799745</v>
      </c>
      <c r="B861" s="1" t="str">
        <f>IFERROR(__xludf.DUMMYFUNCTION("""COMPUTED_VALUE"""),"GARNIS Nmax Old Type (C) MIRROR GOLD")</f>
        <v>GARNIS Nmax Old Type (C) MIRROR GOLD</v>
      </c>
    </row>
    <row r="862">
      <c r="A862" s="1">
        <f>IFERROR(__xludf.DUMMYFUNCTION("""COMPUTED_VALUE"""),6.78468267E8)</f>
        <v>678468267</v>
      </c>
      <c r="B862" s="1" t="str">
        <f>IFERROR(__xludf.DUMMYFUNCTION("""COMPUTED_VALUE"""),"GARNIS Nmax Old Type (D) MIRROR GOLD")</f>
        <v>GARNIS Nmax Old Type (D) MIRROR GOLD</v>
      </c>
    </row>
    <row r="863">
      <c r="A863" s="1">
        <f>IFERROR(__xludf.DUMMYFUNCTION("""COMPUTED_VALUE"""),6.02618548E8)</f>
        <v>602618548</v>
      </c>
      <c r="B863" s="1" t="str">
        <f>IFERROR(__xludf.DUMMYFUNCTION("""COMPUTED_VALUE"""),"GARNIS Nmax Old Type (E) MIRROR GOLD")</f>
        <v>GARNIS Nmax Old Type (E) MIRROR GOLD</v>
      </c>
    </row>
    <row r="864">
      <c r="A864" s="1">
        <f>IFERROR(__xludf.DUMMYFUNCTION("""COMPUTED_VALUE"""),6.24777582E8)</f>
        <v>624777582</v>
      </c>
      <c r="B864" s="1" t="str">
        <f>IFERROR(__xludf.DUMMYFUNCTION("""COMPUTED_VALUE"""),"GARNIS Nmax Old Type (F) MIRROR GOLD")</f>
        <v>GARNIS Nmax Old Type (F) MIRROR GOLD</v>
      </c>
    </row>
    <row r="865">
      <c r="A865" s="1">
        <f>IFERROR(__xludf.DUMMYFUNCTION("""COMPUTED_VALUE"""),3.55927533E8)</f>
        <v>355927533</v>
      </c>
      <c r="B865" s="1" t="str">
        <f>IFERROR(__xludf.DUMMYFUNCTION("""COMPUTED_VALUE"""),"GARNIS Nmax Old Type (G) MIRROR GOLD")</f>
        <v>GARNIS Nmax Old Type (G) MIRROR GOLD</v>
      </c>
    </row>
    <row r="866">
      <c r="A866" s="1">
        <f>IFERROR(__xludf.DUMMYFUNCTION("""COMPUTED_VALUE"""),7.66921943E8)</f>
        <v>766921943</v>
      </c>
      <c r="B866" s="1" t="str">
        <f>IFERROR(__xludf.DUMMYFUNCTION("""COMPUTED_VALUE"""),"GARNIS Nmax Old Type (A) MIRROR ROSEGOLD")</f>
        <v>GARNIS Nmax Old Type (A) MIRROR ROSEGOLD</v>
      </c>
    </row>
    <row r="867">
      <c r="A867" s="1">
        <f>IFERROR(__xludf.DUMMYFUNCTION("""COMPUTED_VALUE"""),4.81167993E8)</f>
        <v>481167993</v>
      </c>
      <c r="B867" s="1" t="str">
        <f>IFERROR(__xludf.DUMMYFUNCTION("""COMPUTED_VALUE"""),"GARNIS Nmax Old Type (B) MIRROR ROSEGOLD")</f>
        <v>GARNIS Nmax Old Type (B) MIRROR ROSEGOLD</v>
      </c>
    </row>
    <row r="868">
      <c r="A868" s="1">
        <f>IFERROR(__xludf.DUMMYFUNCTION("""COMPUTED_VALUE"""),3.0523834E8)</f>
        <v>305238340</v>
      </c>
      <c r="B868" s="1" t="str">
        <f>IFERROR(__xludf.DUMMYFUNCTION("""COMPUTED_VALUE"""),"GARNIS Nmax Old Type (C) MIRROR ROSEGOLD")</f>
        <v>GARNIS Nmax Old Type (C) MIRROR ROSEGOLD</v>
      </c>
    </row>
    <row r="869">
      <c r="A869" s="1">
        <f>IFERROR(__xludf.DUMMYFUNCTION("""COMPUTED_VALUE"""),9.80649747E8)</f>
        <v>980649747</v>
      </c>
      <c r="B869" s="1" t="str">
        <f>IFERROR(__xludf.DUMMYFUNCTION("""COMPUTED_VALUE"""),"GARNIS Nmax Old Type (D) MIRROR ROSEGOLD")</f>
        <v>GARNIS Nmax Old Type (D) MIRROR ROSEGOLD</v>
      </c>
    </row>
    <row r="870">
      <c r="A870" s="1">
        <f>IFERROR(__xludf.DUMMYFUNCTION("""COMPUTED_VALUE"""),2.56589757E8)</f>
        <v>256589757</v>
      </c>
      <c r="B870" s="1" t="str">
        <f>IFERROR(__xludf.DUMMYFUNCTION("""COMPUTED_VALUE"""),"GARNIS Nmax Old Type (E) MIRROR ROSEGOLD")</f>
        <v>GARNIS Nmax Old Type (E) MIRROR ROSEGOLD</v>
      </c>
    </row>
    <row r="871">
      <c r="A871" s="1">
        <f>IFERROR(__xludf.DUMMYFUNCTION("""COMPUTED_VALUE"""),7.29984951E8)</f>
        <v>729984951</v>
      </c>
      <c r="B871" s="1" t="str">
        <f>IFERROR(__xludf.DUMMYFUNCTION("""COMPUTED_VALUE"""),"GARNIS Nmax Old Type (F) MIRROR ROSEGOLD")</f>
        <v>GARNIS Nmax Old Type (F) MIRROR ROSEGOLD</v>
      </c>
    </row>
    <row r="872">
      <c r="A872" s="1">
        <f>IFERROR(__xludf.DUMMYFUNCTION("""COMPUTED_VALUE"""),9.93076013E8)</f>
        <v>993076013</v>
      </c>
      <c r="B872" s="1" t="str">
        <f>IFERROR(__xludf.DUMMYFUNCTION("""COMPUTED_VALUE"""),"GARNIS Nmax Old Type (G) MIRROR ROSEGOLD")</f>
        <v>GARNIS Nmax Old Type (G) MIRROR ROSEGOLD</v>
      </c>
    </row>
    <row r="873">
      <c r="A873" s="1">
        <f>IFERROR(__xludf.DUMMYFUNCTION("""COMPUTED_VALUE"""),6.72830889E8)</f>
        <v>672830889</v>
      </c>
      <c r="B873" s="1" t="str">
        <f>IFERROR(__xludf.DUMMYFUNCTION("""COMPUTED_VALUE"""),"GARNIS Xmax New Type (A) MIRROR MERAH")</f>
        <v>GARNIS Xmax New Type (A) MIRROR MERAH</v>
      </c>
    </row>
    <row r="874">
      <c r="A874" s="1">
        <f>IFERROR(__xludf.DUMMYFUNCTION("""COMPUTED_VALUE"""),8.9799075E8)</f>
        <v>897990750</v>
      </c>
      <c r="B874" s="1" t="str">
        <f>IFERROR(__xludf.DUMMYFUNCTION("""COMPUTED_VALUE"""),"GARNIS Xmax New Type (B) MIRROR MERAH")</f>
        <v>GARNIS Xmax New Type (B) MIRROR MERAH</v>
      </c>
    </row>
    <row r="875">
      <c r="A875" s="1">
        <f>IFERROR(__xludf.DUMMYFUNCTION("""COMPUTED_VALUE"""),4.06058793E8)</f>
        <v>406058793</v>
      </c>
      <c r="B875" s="1" t="str">
        <f>IFERROR(__xludf.DUMMYFUNCTION("""COMPUTED_VALUE"""),"GARNIS Xmax New Type (C) MIRROR MERAH")</f>
        <v>GARNIS Xmax New Type (C) MIRROR MERAH</v>
      </c>
    </row>
    <row r="876">
      <c r="A876" s="1">
        <f>IFERROR(__xludf.DUMMYFUNCTION("""COMPUTED_VALUE"""),3.48376506E8)</f>
        <v>348376506</v>
      </c>
      <c r="B876" s="1" t="str">
        <f>IFERROR(__xludf.DUMMYFUNCTION("""COMPUTED_VALUE"""),"GARNIS Xmax New Type (D) MIRROR MERAH")</f>
        <v>GARNIS Xmax New Type (D) MIRROR MERAH</v>
      </c>
    </row>
    <row r="877">
      <c r="A877" s="1">
        <f>IFERROR(__xludf.DUMMYFUNCTION("""COMPUTED_VALUE"""),7.03094938E8)</f>
        <v>703094938</v>
      </c>
      <c r="B877" s="1" t="str">
        <f>IFERROR(__xludf.DUMMYFUNCTION("""COMPUTED_VALUE"""),"GARNIS Xmax New Type (E) MIRROR MERAH")</f>
        <v>GARNIS Xmax New Type (E) MIRROR MERAH</v>
      </c>
    </row>
    <row r="878">
      <c r="A878" s="1">
        <f>IFERROR(__xludf.DUMMYFUNCTION("""COMPUTED_VALUE"""),8.66976253E8)</f>
        <v>866976253</v>
      </c>
      <c r="B878" s="1" t="str">
        <f>IFERROR(__xludf.DUMMYFUNCTION("""COMPUTED_VALUE"""),"GARNIS Xmax New Type (F) MIRROR MERAH")</f>
        <v>GARNIS Xmax New Type (F) MIRROR MERAH</v>
      </c>
    </row>
    <row r="879">
      <c r="A879" s="1">
        <f>IFERROR(__xludf.DUMMYFUNCTION("""COMPUTED_VALUE"""),2.05428031E8)</f>
        <v>205428031</v>
      </c>
      <c r="B879" s="1" t="str">
        <f>IFERROR(__xludf.DUMMYFUNCTION("""COMPUTED_VALUE"""),"GARNIS Xmax New Type (G) MIRROR MERAH")</f>
        <v>GARNIS Xmax New Type (G) MIRROR MERAH</v>
      </c>
    </row>
    <row r="880">
      <c r="A880" s="1">
        <f>IFERROR(__xludf.DUMMYFUNCTION("""COMPUTED_VALUE"""),4.88402658E8)</f>
        <v>488402658</v>
      </c>
      <c r="B880" s="1" t="str">
        <f>IFERROR(__xludf.DUMMYFUNCTION("""COMPUTED_VALUE"""),"GARNIS Xmax New Type (H) MIRROR MERAH")</f>
        <v>GARNIS Xmax New Type (H) MIRROR MERAH</v>
      </c>
    </row>
    <row r="881">
      <c r="A881" s="1">
        <f>IFERROR(__xludf.DUMMYFUNCTION("""COMPUTED_VALUE"""),4.5526915E8)</f>
        <v>455269150</v>
      </c>
      <c r="B881" s="1" t="str">
        <f>IFERROR(__xludf.DUMMYFUNCTION("""COMPUTED_VALUE"""),"GARNIS Xmax New Type (A) MIRROR BIRU")</f>
        <v>GARNIS Xmax New Type (A) MIRROR BIRU</v>
      </c>
    </row>
    <row r="882">
      <c r="A882" s="1">
        <f>IFERROR(__xludf.DUMMYFUNCTION("""COMPUTED_VALUE"""),1.05117081E8)</f>
        <v>105117081</v>
      </c>
      <c r="B882" s="1" t="str">
        <f>IFERROR(__xludf.DUMMYFUNCTION("""COMPUTED_VALUE"""),"GARNIS Xmax New Type (B) MIRROR BIRU")</f>
        <v>GARNIS Xmax New Type (B) MIRROR BIRU</v>
      </c>
    </row>
    <row r="883">
      <c r="A883" s="1">
        <f>IFERROR(__xludf.DUMMYFUNCTION("""COMPUTED_VALUE"""),2.1671498E8)</f>
        <v>216714980</v>
      </c>
      <c r="B883" s="1" t="str">
        <f>IFERROR(__xludf.DUMMYFUNCTION("""COMPUTED_VALUE"""),"GARNIS Xmax New Type (C) MIRROR BIRU")</f>
        <v>GARNIS Xmax New Type (C) MIRROR BIRU</v>
      </c>
    </row>
    <row r="884">
      <c r="A884" s="1">
        <f>IFERROR(__xludf.DUMMYFUNCTION("""COMPUTED_VALUE"""),6.90234592E8)</f>
        <v>690234592</v>
      </c>
      <c r="B884" s="1" t="str">
        <f>IFERROR(__xludf.DUMMYFUNCTION("""COMPUTED_VALUE"""),"GARNIS Xmax New Type (D) MIRROR BIRU")</f>
        <v>GARNIS Xmax New Type (D) MIRROR BIRU</v>
      </c>
    </row>
    <row r="885">
      <c r="A885" s="1">
        <f>IFERROR(__xludf.DUMMYFUNCTION("""COMPUTED_VALUE"""),8.93947803E8)</f>
        <v>893947803</v>
      </c>
      <c r="B885" s="1" t="str">
        <f>IFERROR(__xludf.DUMMYFUNCTION("""COMPUTED_VALUE"""),"GARNIS Xmax New Type (E) MIRROR BIRU")</f>
        <v>GARNIS Xmax New Type (E) MIRROR BIRU</v>
      </c>
    </row>
    <row r="886">
      <c r="A886" s="1">
        <f>IFERROR(__xludf.DUMMYFUNCTION("""COMPUTED_VALUE"""),6.63784992E8)</f>
        <v>663784992</v>
      </c>
      <c r="B886" s="1" t="str">
        <f>IFERROR(__xludf.DUMMYFUNCTION("""COMPUTED_VALUE"""),"GARNIS Xmax New Type (F) MIRROR BIRU")</f>
        <v>GARNIS Xmax New Type (F) MIRROR BIRU</v>
      </c>
    </row>
    <row r="887">
      <c r="A887" s="1">
        <f>IFERROR(__xludf.DUMMYFUNCTION("""COMPUTED_VALUE"""),4.39552283E8)</f>
        <v>439552283</v>
      </c>
      <c r="B887" s="1" t="str">
        <f>IFERROR(__xludf.DUMMYFUNCTION("""COMPUTED_VALUE"""),"GARNIS Xmax New Type (G) MIRROR BIRU")</f>
        <v>GARNIS Xmax New Type (G) MIRROR BIRU</v>
      </c>
    </row>
    <row r="888">
      <c r="A888" s="1">
        <f>IFERROR(__xludf.DUMMYFUNCTION("""COMPUTED_VALUE"""),5.42099425E8)</f>
        <v>542099425</v>
      </c>
      <c r="B888" s="1" t="str">
        <f>IFERROR(__xludf.DUMMYFUNCTION("""COMPUTED_VALUE"""),"GARNIS Xmax New Type (H) MIRROR BIRU")</f>
        <v>GARNIS Xmax New Type (H) MIRROR BIRU</v>
      </c>
    </row>
    <row r="889">
      <c r="A889" s="1">
        <f>IFERROR(__xludf.DUMMYFUNCTION("""COMPUTED_VALUE"""),8.08313693E8)</f>
        <v>808313693</v>
      </c>
      <c r="B889" s="1" t="str">
        <f>IFERROR(__xludf.DUMMYFUNCTION("""COMPUTED_VALUE"""),"GARNIS Xmax New Type (A) MIRROR SILVER")</f>
        <v>GARNIS Xmax New Type (A) MIRROR SILVER</v>
      </c>
    </row>
    <row r="890">
      <c r="A890" s="1">
        <f>IFERROR(__xludf.DUMMYFUNCTION("""COMPUTED_VALUE"""),9.34553611E8)</f>
        <v>934553611</v>
      </c>
      <c r="B890" s="1" t="str">
        <f>IFERROR(__xludf.DUMMYFUNCTION("""COMPUTED_VALUE"""),"GARNIS Xmax New Type (B) MIRROR SILVER")</f>
        <v>GARNIS Xmax New Type (B) MIRROR SILVER</v>
      </c>
    </row>
    <row r="891">
      <c r="A891" s="1">
        <f>IFERROR(__xludf.DUMMYFUNCTION("""COMPUTED_VALUE"""),4.4060596E8)</f>
        <v>440605960</v>
      </c>
      <c r="B891" s="1" t="str">
        <f>IFERROR(__xludf.DUMMYFUNCTION("""COMPUTED_VALUE"""),"GARNIS Xmax New Type (C) MIRROR SILVER")</f>
        <v>GARNIS Xmax New Type (C) MIRROR SILVER</v>
      </c>
    </row>
    <row r="892">
      <c r="A892" s="1">
        <f>IFERROR(__xludf.DUMMYFUNCTION("""COMPUTED_VALUE"""),2.03821474E8)</f>
        <v>203821474</v>
      </c>
      <c r="B892" s="1" t="str">
        <f>IFERROR(__xludf.DUMMYFUNCTION("""COMPUTED_VALUE"""),"GARNIS Xmax New Type (D) MIRROR SILVER")</f>
        <v>GARNIS Xmax New Type (D) MIRROR SILVER</v>
      </c>
    </row>
    <row r="893">
      <c r="A893" s="1">
        <f>IFERROR(__xludf.DUMMYFUNCTION("""COMPUTED_VALUE"""),5.55847297E8)</f>
        <v>555847297</v>
      </c>
      <c r="B893" s="1" t="str">
        <f>IFERROR(__xludf.DUMMYFUNCTION("""COMPUTED_VALUE"""),"GARNIS Xmax New Type (E) MIRROR SILVER")</f>
        <v>GARNIS Xmax New Type (E) MIRROR SILVER</v>
      </c>
    </row>
    <row r="894">
      <c r="A894" s="1">
        <f>IFERROR(__xludf.DUMMYFUNCTION("""COMPUTED_VALUE"""),6.69416353E8)</f>
        <v>669416353</v>
      </c>
      <c r="B894" s="1" t="str">
        <f>IFERROR(__xludf.DUMMYFUNCTION("""COMPUTED_VALUE"""),"GARNIS Xmax New Type (F) MIRROR SILVER")</f>
        <v>GARNIS Xmax New Type (F) MIRROR SILVER</v>
      </c>
    </row>
    <row r="895">
      <c r="A895" s="1">
        <f>IFERROR(__xludf.DUMMYFUNCTION("""COMPUTED_VALUE"""),1.40664503E8)</f>
        <v>140664503</v>
      </c>
      <c r="B895" s="1" t="str">
        <f>IFERROR(__xludf.DUMMYFUNCTION("""COMPUTED_VALUE"""),"GARNIS Xmax New Type (G) MIRROR SILVER")</f>
        <v>GARNIS Xmax New Type (G) MIRROR SILVER</v>
      </c>
    </row>
    <row r="896">
      <c r="A896" s="1">
        <f>IFERROR(__xludf.DUMMYFUNCTION("""COMPUTED_VALUE"""),9.75641197E8)</f>
        <v>975641197</v>
      </c>
      <c r="B896" s="1" t="str">
        <f>IFERROR(__xludf.DUMMYFUNCTION("""COMPUTED_VALUE"""),"GARNIS Xmax New Type (H) MIRROR SILVER")</f>
        <v>GARNIS Xmax New Type (H) MIRROR SILVER</v>
      </c>
    </row>
    <row r="897">
      <c r="A897" s="1">
        <f>IFERROR(__xludf.DUMMYFUNCTION("""COMPUTED_VALUE"""),3.59623961E8)</f>
        <v>359623961</v>
      </c>
      <c r="B897" s="1" t="str">
        <f>IFERROR(__xludf.DUMMYFUNCTION("""COMPUTED_VALUE"""),"GARNIS Xmax New Type (A) MIRROR GOLD")</f>
        <v>GARNIS Xmax New Type (A) MIRROR GOLD</v>
      </c>
    </row>
    <row r="898">
      <c r="A898" s="1">
        <f>IFERROR(__xludf.DUMMYFUNCTION("""COMPUTED_VALUE"""),2.74629366E8)</f>
        <v>274629366</v>
      </c>
      <c r="B898" s="1" t="str">
        <f>IFERROR(__xludf.DUMMYFUNCTION("""COMPUTED_VALUE"""),"GARNIS Xmax New Type (B) MIRROR GOLD")</f>
        <v>GARNIS Xmax New Type (B) MIRROR GOLD</v>
      </c>
    </row>
    <row r="899">
      <c r="A899" s="1">
        <f>IFERROR(__xludf.DUMMYFUNCTION("""COMPUTED_VALUE"""),8.15967847E8)</f>
        <v>815967847</v>
      </c>
      <c r="B899" s="1" t="str">
        <f>IFERROR(__xludf.DUMMYFUNCTION("""COMPUTED_VALUE"""),"GARNIS Xmax New Type (C) MIRROR GOLD")</f>
        <v>GARNIS Xmax New Type (C) MIRROR GOLD</v>
      </c>
    </row>
    <row r="900">
      <c r="A900" s="1">
        <f>IFERROR(__xludf.DUMMYFUNCTION("""COMPUTED_VALUE"""),5.71894131E8)</f>
        <v>571894131</v>
      </c>
      <c r="B900" s="1" t="str">
        <f>IFERROR(__xludf.DUMMYFUNCTION("""COMPUTED_VALUE"""),"GARNIS Xmax New Type (D) MIRROR GOLD")</f>
        <v>GARNIS Xmax New Type (D) MIRROR GOLD</v>
      </c>
    </row>
    <row r="901">
      <c r="A901" s="1">
        <f>IFERROR(__xludf.DUMMYFUNCTION("""COMPUTED_VALUE"""),7.90379082E8)</f>
        <v>790379082</v>
      </c>
      <c r="B901" s="1" t="str">
        <f>IFERROR(__xludf.DUMMYFUNCTION("""COMPUTED_VALUE"""),"GARNIS Xmax New Type (E) MIRROR GOLD")</f>
        <v>GARNIS Xmax New Type (E) MIRROR GOLD</v>
      </c>
    </row>
    <row r="902">
      <c r="A902" s="1">
        <f>IFERROR(__xludf.DUMMYFUNCTION("""COMPUTED_VALUE"""),2.96504222E8)</f>
        <v>296504222</v>
      </c>
      <c r="B902" s="1" t="str">
        <f>IFERROR(__xludf.DUMMYFUNCTION("""COMPUTED_VALUE"""),"GARNIS Xmax New Type (F) MIRROR GOLD")</f>
        <v>GARNIS Xmax New Type (F) MIRROR GOLD</v>
      </c>
    </row>
    <row r="903">
      <c r="A903" s="1">
        <f>IFERROR(__xludf.DUMMYFUNCTION("""COMPUTED_VALUE"""),2.60562227E8)</f>
        <v>260562227</v>
      </c>
      <c r="B903" s="1" t="str">
        <f>IFERROR(__xludf.DUMMYFUNCTION("""COMPUTED_VALUE"""),"GARNIS Xmax New Type (G) MIRROR GOLD")</f>
        <v>GARNIS Xmax New Type (G) MIRROR GOLD</v>
      </c>
    </row>
    <row r="904">
      <c r="A904" s="1">
        <f>IFERROR(__xludf.DUMMYFUNCTION("""COMPUTED_VALUE"""),2.60633627E8)</f>
        <v>260633627</v>
      </c>
      <c r="B904" s="1" t="str">
        <f>IFERROR(__xludf.DUMMYFUNCTION("""COMPUTED_VALUE"""),"GARNIS Xmax New Type (H) MIRROR GOLD")</f>
        <v>GARNIS Xmax New Type (H) MIRROR GOLD</v>
      </c>
    </row>
    <row r="905">
      <c r="A905" s="1">
        <f>IFERROR(__xludf.DUMMYFUNCTION("""COMPUTED_VALUE"""),8.29589222E8)</f>
        <v>829589222</v>
      </c>
      <c r="B905" s="1" t="str">
        <f>IFERROR(__xludf.DUMMYFUNCTION("""COMPUTED_VALUE"""),"GARNIS Xmax New Type (A) MIRROR ROSEGOLD")</f>
        <v>GARNIS Xmax New Type (A) MIRROR ROSEGOLD</v>
      </c>
    </row>
    <row r="906">
      <c r="A906" s="1">
        <f>IFERROR(__xludf.DUMMYFUNCTION("""COMPUTED_VALUE"""),3.39156419E8)</f>
        <v>339156419</v>
      </c>
      <c r="B906" s="1" t="str">
        <f>IFERROR(__xludf.DUMMYFUNCTION("""COMPUTED_VALUE"""),"GARNIS Xmax New Type (B) MIRROR ROSEGOLD")</f>
        <v>GARNIS Xmax New Type (B) MIRROR ROSEGOLD</v>
      </c>
    </row>
    <row r="907">
      <c r="A907" s="1">
        <f>IFERROR(__xludf.DUMMYFUNCTION("""COMPUTED_VALUE"""),7.54418339E8)</f>
        <v>754418339</v>
      </c>
      <c r="B907" s="1" t="str">
        <f>IFERROR(__xludf.DUMMYFUNCTION("""COMPUTED_VALUE"""),"GARNIS Xmax New Type (C) MIRROR ROSEGOLD")</f>
        <v>GARNIS Xmax New Type (C) MIRROR ROSEGOLD</v>
      </c>
    </row>
    <row r="908">
      <c r="A908" s="1">
        <f>IFERROR(__xludf.DUMMYFUNCTION("""COMPUTED_VALUE"""),1.5292909E8)</f>
        <v>152929090</v>
      </c>
      <c r="B908" s="1" t="str">
        <f>IFERROR(__xludf.DUMMYFUNCTION("""COMPUTED_VALUE"""),"GARNIS Xmax New Type (D) MIRROR ROSEGOLD")</f>
        <v>GARNIS Xmax New Type (D) MIRROR ROSEGOLD</v>
      </c>
    </row>
    <row r="909">
      <c r="A909" s="1">
        <f>IFERROR(__xludf.DUMMYFUNCTION("""COMPUTED_VALUE"""),2.27039585E8)</f>
        <v>227039585</v>
      </c>
      <c r="B909" s="1" t="str">
        <f>IFERROR(__xludf.DUMMYFUNCTION("""COMPUTED_VALUE"""),"GARNIS Xmax New Type (E) MIRROR ROSEGOLD")</f>
        <v>GARNIS Xmax New Type (E) MIRROR ROSEGOLD</v>
      </c>
    </row>
    <row r="910">
      <c r="A910" s="1">
        <f>IFERROR(__xludf.DUMMYFUNCTION("""COMPUTED_VALUE"""),2.08893172E8)</f>
        <v>208893172</v>
      </c>
      <c r="B910" s="1" t="str">
        <f>IFERROR(__xludf.DUMMYFUNCTION("""COMPUTED_VALUE"""),"GARNIS Xmax New Type (F) MIRROR ROSEGOLD")</f>
        <v>GARNIS Xmax New Type (F) MIRROR ROSEGOLD</v>
      </c>
    </row>
    <row r="911">
      <c r="A911" s="1">
        <f>IFERROR(__xludf.DUMMYFUNCTION("""COMPUTED_VALUE"""),2.52441636E8)</f>
        <v>252441636</v>
      </c>
      <c r="B911" s="1" t="str">
        <f>IFERROR(__xludf.DUMMYFUNCTION("""COMPUTED_VALUE"""),"GARNIS Xmax New Type (G) MIRROR ROSEGOLD")</f>
        <v>GARNIS Xmax New Type (G) MIRROR ROSEGOLD</v>
      </c>
    </row>
    <row r="912">
      <c r="A912" s="1">
        <f>IFERROR(__xludf.DUMMYFUNCTION("""COMPUTED_VALUE"""),2.6525713E8)</f>
        <v>265257130</v>
      </c>
      <c r="B912" s="1" t="str">
        <f>IFERROR(__xludf.DUMMYFUNCTION("""COMPUTED_VALUE"""),"GARNIS Xmax New Type (H) MIRROR ROSEGOLD")</f>
        <v>GARNIS Xmax New Type (H) MIRROR ROSEGOLD</v>
      </c>
    </row>
    <row r="913">
      <c r="A913" s="1">
        <f>IFERROR(__xludf.DUMMYFUNCTION("""COMPUTED_VALUE"""),2.67758319E8)</f>
        <v>267758319</v>
      </c>
      <c r="B913" s="1" t="str">
        <f>IFERROR(__xludf.DUMMYFUNCTION("""COMPUTED_VALUE"""),"GARNIS Xmax Old Type (A) MIRROR MERAH")</f>
        <v>GARNIS Xmax Old Type (A) MIRROR MERAH</v>
      </c>
    </row>
    <row r="914">
      <c r="A914" s="1">
        <f>IFERROR(__xludf.DUMMYFUNCTION("""COMPUTED_VALUE"""),2.67758319E8)</f>
        <v>267758319</v>
      </c>
      <c r="B914" s="1" t="str">
        <f>IFERROR(__xludf.DUMMYFUNCTION("""COMPUTED_VALUE"""),"GARNIS Xmax Old Type (B) MIRROR MERAH")</f>
        <v>GARNIS Xmax Old Type (B) MIRROR MERAH</v>
      </c>
    </row>
    <row r="915">
      <c r="A915" s="1">
        <f>IFERROR(__xludf.DUMMYFUNCTION("""COMPUTED_VALUE"""),2.5572773E8)</f>
        <v>255727730</v>
      </c>
      <c r="B915" s="1" t="str">
        <f>IFERROR(__xludf.DUMMYFUNCTION("""COMPUTED_VALUE"""),"GARNIS Xmax Old Type (C) MIRROR MERAH")</f>
        <v>GARNIS Xmax Old Type (C) MIRROR MERAH</v>
      </c>
    </row>
    <row r="916">
      <c r="A916" s="1">
        <f>IFERROR(__xludf.DUMMYFUNCTION("""COMPUTED_VALUE"""),9.72921509E8)</f>
        <v>972921509</v>
      </c>
      <c r="B916" s="1" t="str">
        <f>IFERROR(__xludf.DUMMYFUNCTION("""COMPUTED_VALUE"""),"GARNIS Xmax Old Type (D) MIRROR MERAH")</f>
        <v>GARNIS Xmax Old Type (D) MIRROR MERAH</v>
      </c>
    </row>
    <row r="917">
      <c r="A917" s="1">
        <f>IFERROR(__xludf.DUMMYFUNCTION("""COMPUTED_VALUE"""),9.56285977E8)</f>
        <v>956285977</v>
      </c>
      <c r="B917" s="1" t="str">
        <f>IFERROR(__xludf.DUMMYFUNCTION("""COMPUTED_VALUE"""),"GARNIS Xmax Old Type (E) MIRROR MERAH")</f>
        <v>GARNIS Xmax Old Type (E) MIRROR MERAH</v>
      </c>
    </row>
    <row r="918">
      <c r="A918" s="1">
        <f>IFERROR(__xludf.DUMMYFUNCTION("""COMPUTED_VALUE"""),3.44822123E8)</f>
        <v>344822123</v>
      </c>
      <c r="B918" s="1" t="str">
        <f>IFERROR(__xludf.DUMMYFUNCTION("""COMPUTED_VALUE"""),"GARNIS Xmax Old Type (F) MIRROR MERAH")</f>
        <v>GARNIS Xmax Old Type (F) MIRROR MERAH</v>
      </c>
    </row>
    <row r="919">
      <c r="A919" s="1">
        <f>IFERROR(__xludf.DUMMYFUNCTION("""COMPUTED_VALUE"""),1.52306542E8)</f>
        <v>152306542</v>
      </c>
      <c r="B919" s="1" t="str">
        <f>IFERROR(__xludf.DUMMYFUNCTION("""COMPUTED_VALUE"""),"GARNIS Xmax Old Type (G) MIRROR MERAH")</f>
        <v>GARNIS Xmax Old Type (G) MIRROR MERAH</v>
      </c>
    </row>
    <row r="920">
      <c r="A920" s="1">
        <f>IFERROR(__xludf.DUMMYFUNCTION("""COMPUTED_VALUE"""),8.10059891E8)</f>
        <v>810059891</v>
      </c>
      <c r="B920" s="1" t="str">
        <f>IFERROR(__xludf.DUMMYFUNCTION("""COMPUTED_VALUE"""),"GARNIS Xmax Old Type (A) MIRROR BIRU")</f>
        <v>GARNIS Xmax Old Type (A) MIRROR BIRU</v>
      </c>
    </row>
    <row r="921">
      <c r="A921" s="1">
        <f>IFERROR(__xludf.DUMMYFUNCTION("""COMPUTED_VALUE"""),7.36764994E8)</f>
        <v>736764994</v>
      </c>
      <c r="B921" s="1" t="str">
        <f>IFERROR(__xludf.DUMMYFUNCTION("""COMPUTED_VALUE"""),"GARNIS Xmax Old Type (B) MIRROR BIRU")</f>
        <v>GARNIS Xmax Old Type (B) MIRROR BIRU</v>
      </c>
    </row>
    <row r="922">
      <c r="A922" s="1">
        <f>IFERROR(__xludf.DUMMYFUNCTION("""COMPUTED_VALUE"""),6.01567761E8)</f>
        <v>601567761</v>
      </c>
      <c r="B922" s="1" t="str">
        <f>IFERROR(__xludf.DUMMYFUNCTION("""COMPUTED_VALUE"""),"GARNIS Xmax Old Type (C) MIRROR BIRU")</f>
        <v>GARNIS Xmax Old Type (C) MIRROR BIRU</v>
      </c>
    </row>
    <row r="923">
      <c r="A923" s="1">
        <f>IFERROR(__xludf.DUMMYFUNCTION("""COMPUTED_VALUE"""),7.76499471E8)</f>
        <v>776499471</v>
      </c>
      <c r="B923" s="1" t="str">
        <f>IFERROR(__xludf.DUMMYFUNCTION("""COMPUTED_VALUE"""),"GARNIS Xmax Old Type (D) MIRROR BIRU")</f>
        <v>GARNIS Xmax Old Type (D) MIRROR BIRU</v>
      </c>
    </row>
    <row r="924">
      <c r="A924" s="1">
        <f>IFERROR(__xludf.DUMMYFUNCTION("""COMPUTED_VALUE"""),6.41742048E8)</f>
        <v>641742048</v>
      </c>
      <c r="B924" s="1" t="str">
        <f>IFERROR(__xludf.DUMMYFUNCTION("""COMPUTED_VALUE"""),"GARNIS Xmax Old Type (E) MIRROR BIRU")</f>
        <v>GARNIS Xmax Old Type (E) MIRROR BIRU</v>
      </c>
    </row>
    <row r="925">
      <c r="A925" s="1">
        <f>IFERROR(__xludf.DUMMYFUNCTION("""COMPUTED_VALUE"""),6.11251343E8)</f>
        <v>611251343</v>
      </c>
      <c r="B925" s="1" t="str">
        <f>IFERROR(__xludf.DUMMYFUNCTION("""COMPUTED_VALUE"""),"GARNIS Xmax Old Type (F) MIRROR BIRU")</f>
        <v>GARNIS Xmax Old Type (F) MIRROR BIRU</v>
      </c>
    </row>
    <row r="926">
      <c r="A926" s="1">
        <f>IFERROR(__xludf.DUMMYFUNCTION("""COMPUTED_VALUE"""),5.02118051E8)</f>
        <v>502118051</v>
      </c>
      <c r="B926" s="1" t="str">
        <f>IFERROR(__xludf.DUMMYFUNCTION("""COMPUTED_VALUE"""),"GARNIS Xmax Old Type (G) MIRROR BIRU")</f>
        <v>GARNIS Xmax Old Type (G) MIRROR BIRU</v>
      </c>
    </row>
    <row r="927">
      <c r="A927" s="1">
        <f>IFERROR(__xludf.DUMMYFUNCTION("""COMPUTED_VALUE"""),4.7740396E8)</f>
        <v>477403960</v>
      </c>
      <c r="B927" s="1" t="str">
        <f>IFERROR(__xludf.DUMMYFUNCTION("""COMPUTED_VALUE"""),"GARNIS Xmax Old Type (A) MIRROR SILVER")</f>
        <v>GARNIS Xmax Old Type (A) MIRROR SILVER</v>
      </c>
    </row>
    <row r="928">
      <c r="A928" s="1">
        <f>IFERROR(__xludf.DUMMYFUNCTION("""COMPUTED_VALUE"""),9.50984632E8)</f>
        <v>950984632</v>
      </c>
      <c r="B928" s="1" t="str">
        <f>IFERROR(__xludf.DUMMYFUNCTION("""COMPUTED_VALUE"""),"GARNIS Xmax Old Type (B) MIRROR SILVER")</f>
        <v>GARNIS Xmax Old Type (B) MIRROR SILVER</v>
      </c>
    </row>
    <row r="929">
      <c r="A929" s="1">
        <f>IFERROR(__xludf.DUMMYFUNCTION("""COMPUTED_VALUE"""),7.84922085E8)</f>
        <v>784922085</v>
      </c>
      <c r="B929" s="1" t="str">
        <f>IFERROR(__xludf.DUMMYFUNCTION("""COMPUTED_VALUE"""),"GARNIS Xmax Old Type (C) MIRROR SILVER")</f>
        <v>GARNIS Xmax Old Type (C) MIRROR SILVER</v>
      </c>
    </row>
    <row r="930">
      <c r="A930" s="1">
        <f>IFERROR(__xludf.DUMMYFUNCTION("""COMPUTED_VALUE"""),6.43674002E8)</f>
        <v>643674002</v>
      </c>
      <c r="B930" s="1" t="str">
        <f>IFERROR(__xludf.DUMMYFUNCTION("""COMPUTED_VALUE"""),"GARNIS Xmax Old Type (D) MIRROR SILVER")</f>
        <v>GARNIS Xmax Old Type (D) MIRROR SILVER</v>
      </c>
    </row>
    <row r="931">
      <c r="A931" s="1">
        <f>IFERROR(__xludf.DUMMYFUNCTION("""COMPUTED_VALUE"""),9.96599876E8)</f>
        <v>996599876</v>
      </c>
      <c r="B931" s="1" t="str">
        <f>IFERROR(__xludf.DUMMYFUNCTION("""COMPUTED_VALUE"""),"GARNIS Xmax Old Type (E) MIRROR SILVER")</f>
        <v>GARNIS Xmax Old Type (E) MIRROR SILVER</v>
      </c>
    </row>
    <row r="932">
      <c r="A932" s="1">
        <f>IFERROR(__xludf.DUMMYFUNCTION("""COMPUTED_VALUE"""),2.92466463E8)</f>
        <v>292466463</v>
      </c>
      <c r="B932" s="1" t="str">
        <f>IFERROR(__xludf.DUMMYFUNCTION("""COMPUTED_VALUE"""),"GARNIS Xmax Old Type (F) MIRROR SILVER")</f>
        <v>GARNIS Xmax Old Type (F) MIRROR SILVER</v>
      </c>
    </row>
    <row r="933">
      <c r="A933" s="1">
        <f>IFERROR(__xludf.DUMMYFUNCTION("""COMPUTED_VALUE"""),8.29255805E8)</f>
        <v>829255805</v>
      </c>
      <c r="B933" s="1" t="str">
        <f>IFERROR(__xludf.DUMMYFUNCTION("""COMPUTED_VALUE"""),"GARNIS Xmax Old Type (G) MIRROR SILVER")</f>
        <v>GARNIS Xmax Old Type (G) MIRROR SILVER</v>
      </c>
    </row>
    <row r="934">
      <c r="A934" s="1">
        <f>IFERROR(__xludf.DUMMYFUNCTION("""COMPUTED_VALUE"""),6.21459498E8)</f>
        <v>621459498</v>
      </c>
      <c r="B934" s="1" t="str">
        <f>IFERROR(__xludf.DUMMYFUNCTION("""COMPUTED_VALUE"""),"GARNIS Xmax Old Type (A) MIRROR GOLD")</f>
        <v>GARNIS Xmax Old Type (A) MIRROR GOLD</v>
      </c>
    </row>
    <row r="935">
      <c r="A935" s="1">
        <f>IFERROR(__xludf.DUMMYFUNCTION("""COMPUTED_VALUE"""),7.14596995E8)</f>
        <v>714596995</v>
      </c>
      <c r="B935" s="1" t="str">
        <f>IFERROR(__xludf.DUMMYFUNCTION("""COMPUTED_VALUE"""),"GARNIS Xmax Old Type (B) MIRROR GOLD")</f>
        <v>GARNIS Xmax Old Type (B) MIRROR GOLD</v>
      </c>
    </row>
    <row r="936">
      <c r="A936" s="1">
        <f>IFERROR(__xludf.DUMMYFUNCTION("""COMPUTED_VALUE"""),8.27538274E8)</f>
        <v>827538274</v>
      </c>
      <c r="B936" s="1" t="str">
        <f>IFERROR(__xludf.DUMMYFUNCTION("""COMPUTED_VALUE"""),"GARNIS Xmax Old Type (C) MIRROR GOLD")</f>
        <v>GARNIS Xmax Old Type (C) MIRROR GOLD</v>
      </c>
    </row>
    <row r="937">
      <c r="A937" s="1">
        <f>IFERROR(__xludf.DUMMYFUNCTION("""COMPUTED_VALUE"""),7.3456733E8)</f>
        <v>734567330</v>
      </c>
      <c r="B937" s="1" t="str">
        <f>IFERROR(__xludf.DUMMYFUNCTION("""COMPUTED_VALUE"""),"GARNIS Xmax Old Type (D) MIRROR GOLD")</f>
        <v>GARNIS Xmax Old Type (D) MIRROR GOLD</v>
      </c>
    </row>
    <row r="938">
      <c r="A938" s="1">
        <f>IFERROR(__xludf.DUMMYFUNCTION("""COMPUTED_VALUE"""),8.7397017E8)</f>
        <v>873970170</v>
      </c>
      <c r="B938" s="1" t="str">
        <f>IFERROR(__xludf.DUMMYFUNCTION("""COMPUTED_VALUE"""),"GARNIS Xmax Old Type (E) MIRROR GOLD")</f>
        <v>GARNIS Xmax Old Type (E) MIRROR GOLD</v>
      </c>
    </row>
    <row r="939">
      <c r="A939" s="1">
        <f>IFERROR(__xludf.DUMMYFUNCTION("""COMPUTED_VALUE"""),7.07690765E8)</f>
        <v>707690765</v>
      </c>
      <c r="B939" s="1" t="str">
        <f>IFERROR(__xludf.DUMMYFUNCTION("""COMPUTED_VALUE"""),"GARNIS Xmax Old Type (F) MIRROR GOLD")</f>
        <v>GARNIS Xmax Old Type (F) MIRROR GOLD</v>
      </c>
    </row>
    <row r="940">
      <c r="A940" s="1">
        <f>IFERROR(__xludf.DUMMYFUNCTION("""COMPUTED_VALUE"""),9.91987929E8)</f>
        <v>991987929</v>
      </c>
      <c r="B940" s="1" t="str">
        <f>IFERROR(__xludf.DUMMYFUNCTION("""COMPUTED_VALUE"""),"GARNIS Xmax Old Type (G) MIRROR GOLD")</f>
        <v>GARNIS Xmax Old Type (G) MIRROR GOLD</v>
      </c>
    </row>
    <row r="941">
      <c r="A941" s="1">
        <f>IFERROR(__xludf.DUMMYFUNCTION("""COMPUTED_VALUE"""),5.03207305E8)</f>
        <v>503207305</v>
      </c>
      <c r="B941" s="1" t="str">
        <f>IFERROR(__xludf.DUMMYFUNCTION("""COMPUTED_VALUE"""),"GARNIS Xmax Old Type (A) MIRROR ROSEGOLD")</f>
        <v>GARNIS Xmax Old Type (A) MIRROR ROSEGOLD</v>
      </c>
    </row>
    <row r="942">
      <c r="A942" s="1">
        <f>IFERROR(__xludf.DUMMYFUNCTION("""COMPUTED_VALUE"""),1.2549791E8)</f>
        <v>125497910</v>
      </c>
      <c r="B942" s="1" t="str">
        <f>IFERROR(__xludf.DUMMYFUNCTION("""COMPUTED_VALUE"""),"GARNIS Xmax Old Type (B) MIRROR ROSEGOLD")</f>
        <v>GARNIS Xmax Old Type (B) MIRROR ROSEGOLD</v>
      </c>
    </row>
    <row r="943">
      <c r="A943" s="1">
        <f>IFERROR(__xludf.DUMMYFUNCTION("""COMPUTED_VALUE"""),8.77843588E8)</f>
        <v>877843588</v>
      </c>
      <c r="B943" s="1" t="str">
        <f>IFERROR(__xludf.DUMMYFUNCTION("""COMPUTED_VALUE"""),"GARNIS Xmax Old Type (C) MIRROR ROSEGOLD")</f>
        <v>GARNIS Xmax Old Type (C) MIRROR ROSEGOLD</v>
      </c>
    </row>
    <row r="944">
      <c r="A944" s="1">
        <f>IFERROR(__xludf.DUMMYFUNCTION("""COMPUTED_VALUE"""),1.02136935E8)</f>
        <v>102136935</v>
      </c>
      <c r="B944" s="1" t="str">
        <f>IFERROR(__xludf.DUMMYFUNCTION("""COMPUTED_VALUE"""),"GARNIS Xmax Old Type (D) MIRROR ROSEGOLD")</f>
        <v>GARNIS Xmax Old Type (D) MIRROR ROSEGOLD</v>
      </c>
    </row>
    <row r="945">
      <c r="A945" s="1">
        <f>IFERROR(__xludf.DUMMYFUNCTION("""COMPUTED_VALUE"""),5.6065859E8)</f>
        <v>560658590</v>
      </c>
      <c r="B945" s="1" t="str">
        <f>IFERROR(__xludf.DUMMYFUNCTION("""COMPUTED_VALUE"""),"GARNIS Xmax Old Type (E) MIRROR ROSEGOLD")</f>
        <v>GARNIS Xmax Old Type (E) MIRROR ROSEGOLD</v>
      </c>
    </row>
    <row r="946">
      <c r="A946" s="1">
        <f>IFERROR(__xludf.DUMMYFUNCTION("""COMPUTED_VALUE"""),8.51298578E8)</f>
        <v>851298578</v>
      </c>
      <c r="B946" s="1" t="str">
        <f>IFERROR(__xludf.DUMMYFUNCTION("""COMPUTED_VALUE"""),"GARNIS Xmax Old Type (F) MIRROR ROSEGOLD")</f>
        <v>GARNIS Xmax Old Type (F) MIRROR ROSEGOLD</v>
      </c>
    </row>
    <row r="947">
      <c r="A947" s="1">
        <f>IFERROR(__xludf.DUMMYFUNCTION("""COMPUTED_VALUE"""),3.85791386E8)</f>
        <v>385791386</v>
      </c>
      <c r="B947" s="1" t="str">
        <f>IFERROR(__xludf.DUMMYFUNCTION("""COMPUTED_VALUE"""),"GARNIS Xmax Old Type (G) MIRROR ROSEGOLD")</f>
        <v>GARNIS Xmax Old Type (G) MIRROR ROSEGOLD</v>
      </c>
    </row>
    <row r="948">
      <c r="A948" s="1">
        <f>IFERROR(__xludf.DUMMYFUNCTION("""COMPUTED_VALUE"""),6.71998747E8)</f>
        <v>671998747</v>
      </c>
      <c r="B948" s="1" t="str">
        <f>IFERROR(__xludf.DUMMYFUNCTION("""COMPUTED_VALUE"""),"GARNIS ADV 150/160 Type (A) MIRROR MERAH")</f>
        <v>GARNIS ADV 150/160 Type (A) MIRROR MERAH</v>
      </c>
    </row>
    <row r="949">
      <c r="A949" s="1">
        <f>IFERROR(__xludf.DUMMYFUNCTION("""COMPUTED_VALUE"""),1.86782977E8)</f>
        <v>186782977</v>
      </c>
      <c r="B949" s="1" t="str">
        <f>IFERROR(__xludf.DUMMYFUNCTION("""COMPUTED_VALUE"""),"GARNIS ADV 150/160 Type (B) MIRROR MERAH")</f>
        <v>GARNIS ADV 150/160 Type (B) MIRROR MERAH</v>
      </c>
    </row>
    <row r="950">
      <c r="A950" s="1">
        <f>IFERROR(__xludf.DUMMYFUNCTION("""COMPUTED_VALUE"""),4.17103833E8)</f>
        <v>417103833</v>
      </c>
      <c r="B950" s="1" t="str">
        <f>IFERROR(__xludf.DUMMYFUNCTION("""COMPUTED_VALUE"""),"GARNIS ADV 150/160 Type (C) MIRROR MERAH")</f>
        <v>GARNIS ADV 150/160 Type (C) MIRROR MERAH</v>
      </c>
    </row>
    <row r="951">
      <c r="A951" s="1">
        <f>IFERROR(__xludf.DUMMYFUNCTION("""COMPUTED_VALUE"""),5.51331975E8)</f>
        <v>551331975</v>
      </c>
      <c r="B951" s="1" t="str">
        <f>IFERROR(__xludf.DUMMYFUNCTION("""COMPUTED_VALUE"""),"GARNIS ADV 150/160 Type (D) MIRROR MERAH")</f>
        <v>GARNIS ADV 150/160 Type (D) MIRROR MERAH</v>
      </c>
    </row>
    <row r="952">
      <c r="A952" s="1">
        <f>IFERROR(__xludf.DUMMYFUNCTION("""COMPUTED_VALUE"""),5.17123291E8)</f>
        <v>517123291</v>
      </c>
      <c r="B952" s="1" t="str">
        <f>IFERROR(__xludf.DUMMYFUNCTION("""COMPUTED_VALUE"""),"GARNIS ADV 150/160 Type (E) MIRROR MERAH")</f>
        <v>GARNIS ADV 150/160 Type (E) MIRROR MERAH</v>
      </c>
    </row>
    <row r="953">
      <c r="A953" s="1">
        <f>IFERROR(__xludf.DUMMYFUNCTION("""COMPUTED_VALUE"""),2.57365044E8)</f>
        <v>257365044</v>
      </c>
      <c r="B953" s="1" t="str">
        <f>IFERROR(__xludf.DUMMYFUNCTION("""COMPUTED_VALUE"""),"GARNIS ADV 150/160 Type (F) MIRROR MERAH")</f>
        <v>GARNIS ADV 150/160 Type (F) MIRROR MERAH</v>
      </c>
    </row>
    <row r="954">
      <c r="A954" s="1">
        <f>IFERROR(__xludf.DUMMYFUNCTION("""COMPUTED_VALUE"""),1.09049738E8)</f>
        <v>109049738</v>
      </c>
      <c r="B954" s="1" t="str">
        <f>IFERROR(__xludf.DUMMYFUNCTION("""COMPUTED_VALUE"""),"GARNIS ADV 150/160 Type (G) MIRROR MERAH")</f>
        <v>GARNIS ADV 150/160 Type (G) MIRROR MERAH</v>
      </c>
    </row>
    <row r="955">
      <c r="A955" s="1">
        <f>IFERROR(__xludf.DUMMYFUNCTION("""COMPUTED_VALUE"""),2.2887908E8)</f>
        <v>228879080</v>
      </c>
      <c r="B955" s="1" t="str">
        <f>IFERROR(__xludf.DUMMYFUNCTION("""COMPUTED_VALUE"""),"GARNIS ADV 150/160 Type (A) MIRROR BIRU")</f>
        <v>GARNIS ADV 150/160 Type (A) MIRROR BIRU</v>
      </c>
    </row>
    <row r="956">
      <c r="A956" s="1">
        <f>IFERROR(__xludf.DUMMYFUNCTION("""COMPUTED_VALUE"""),8.35380199E8)</f>
        <v>835380199</v>
      </c>
      <c r="B956" s="1" t="str">
        <f>IFERROR(__xludf.DUMMYFUNCTION("""COMPUTED_VALUE"""),"GARNIS ADV 150/160 Type (B) MIRROR BIRU")</f>
        <v>GARNIS ADV 150/160 Type (B) MIRROR BIRU</v>
      </c>
    </row>
    <row r="957">
      <c r="A957" s="1">
        <f>IFERROR(__xludf.DUMMYFUNCTION("""COMPUTED_VALUE"""),8.11171009E8)</f>
        <v>811171009</v>
      </c>
      <c r="B957" s="1" t="str">
        <f>IFERROR(__xludf.DUMMYFUNCTION("""COMPUTED_VALUE"""),"GARNIS ADV 150/160 Type (C) MIRROR BIRU")</f>
        <v>GARNIS ADV 150/160 Type (C) MIRROR BIRU</v>
      </c>
    </row>
    <row r="958">
      <c r="A958" s="1">
        <f>IFERROR(__xludf.DUMMYFUNCTION("""COMPUTED_VALUE"""),2.62920529E8)</f>
        <v>262920529</v>
      </c>
      <c r="B958" s="1" t="str">
        <f>IFERROR(__xludf.DUMMYFUNCTION("""COMPUTED_VALUE"""),"GARNIS ADV 150/160 Type (D) MIRROR BIRU")</f>
        <v>GARNIS ADV 150/160 Type (D) MIRROR BIRU</v>
      </c>
    </row>
    <row r="959">
      <c r="A959" s="1">
        <f>IFERROR(__xludf.DUMMYFUNCTION("""COMPUTED_VALUE"""),8.09869829E8)</f>
        <v>809869829</v>
      </c>
      <c r="B959" s="1" t="str">
        <f>IFERROR(__xludf.DUMMYFUNCTION("""COMPUTED_VALUE"""),"GARNIS ADV 150/160 Type (E) MIRROR BIRU")</f>
        <v>GARNIS ADV 150/160 Type (E) MIRROR BIRU</v>
      </c>
    </row>
    <row r="960">
      <c r="A960" s="1">
        <f>IFERROR(__xludf.DUMMYFUNCTION("""COMPUTED_VALUE"""),8.01797107E8)</f>
        <v>801797107</v>
      </c>
      <c r="B960" s="1" t="str">
        <f>IFERROR(__xludf.DUMMYFUNCTION("""COMPUTED_VALUE"""),"GARNIS ADV 150/160 Type (F) MIRROR BIRU")</f>
        <v>GARNIS ADV 150/160 Type (F) MIRROR BIRU</v>
      </c>
    </row>
    <row r="961">
      <c r="A961" s="1">
        <f>IFERROR(__xludf.DUMMYFUNCTION("""COMPUTED_VALUE"""),6.9427785E8)</f>
        <v>694277850</v>
      </c>
      <c r="B961" s="1" t="str">
        <f>IFERROR(__xludf.DUMMYFUNCTION("""COMPUTED_VALUE"""),"GARNIS ADV 150/160 Type (G) MIRROR BIRU")</f>
        <v>GARNIS ADV 150/160 Type (G) MIRROR BIRU</v>
      </c>
    </row>
    <row r="962">
      <c r="A962" s="1">
        <f>IFERROR(__xludf.DUMMYFUNCTION("""COMPUTED_VALUE"""),4.08066835E8)</f>
        <v>408066835</v>
      </c>
      <c r="B962" s="1" t="str">
        <f>IFERROR(__xludf.DUMMYFUNCTION("""COMPUTED_VALUE"""),"GARNIS ADV 150/160 Type (A) MIRROR SILVER")</f>
        <v>GARNIS ADV 150/160 Type (A) MIRROR SILVER</v>
      </c>
    </row>
    <row r="963">
      <c r="A963" s="1">
        <f>IFERROR(__xludf.DUMMYFUNCTION("""COMPUTED_VALUE"""),8.24924479E8)</f>
        <v>824924479</v>
      </c>
      <c r="B963" s="1" t="str">
        <f>IFERROR(__xludf.DUMMYFUNCTION("""COMPUTED_VALUE"""),"GARNIS ADV 150/160 Type (B) MIRROR SILVER")</f>
        <v>GARNIS ADV 150/160 Type (B) MIRROR SILVER</v>
      </c>
    </row>
    <row r="964">
      <c r="A964" s="1">
        <f>IFERROR(__xludf.DUMMYFUNCTION("""COMPUTED_VALUE"""),1.86503696E8)</f>
        <v>186503696</v>
      </c>
      <c r="B964" s="1" t="str">
        <f>IFERROR(__xludf.DUMMYFUNCTION("""COMPUTED_VALUE"""),"GARNIS ADV 150/160 Type (C) MIRROR SILVER")</f>
        <v>GARNIS ADV 150/160 Type (C) MIRROR SILVER</v>
      </c>
    </row>
    <row r="965">
      <c r="A965" s="1">
        <f>IFERROR(__xludf.DUMMYFUNCTION("""COMPUTED_VALUE"""),7.38961328E8)</f>
        <v>738961328</v>
      </c>
      <c r="B965" s="1" t="str">
        <f>IFERROR(__xludf.DUMMYFUNCTION("""COMPUTED_VALUE"""),"GARNIS ADV 150/160 Type (D) MIRROR SILVER")</f>
        <v>GARNIS ADV 150/160 Type (D) MIRROR SILVER</v>
      </c>
    </row>
    <row r="966">
      <c r="A966" s="1">
        <f>IFERROR(__xludf.DUMMYFUNCTION("""COMPUTED_VALUE"""),4.40247643E8)</f>
        <v>440247643</v>
      </c>
      <c r="B966" s="1" t="str">
        <f>IFERROR(__xludf.DUMMYFUNCTION("""COMPUTED_VALUE"""),"GARNIS ADV 150/160 Type (E) MIRROR SILVER")</f>
        <v>GARNIS ADV 150/160 Type (E) MIRROR SILVER</v>
      </c>
    </row>
    <row r="967">
      <c r="A967" s="1">
        <f>IFERROR(__xludf.DUMMYFUNCTION("""COMPUTED_VALUE"""),2.42613046E8)</f>
        <v>242613046</v>
      </c>
      <c r="B967" s="1" t="str">
        <f>IFERROR(__xludf.DUMMYFUNCTION("""COMPUTED_VALUE"""),"GARNIS ADV 150/160 Type (F) MIRROR SILVER")</f>
        <v>GARNIS ADV 150/160 Type (F) MIRROR SILVER</v>
      </c>
    </row>
    <row r="968">
      <c r="A968" s="1">
        <f>IFERROR(__xludf.DUMMYFUNCTION("""COMPUTED_VALUE"""),5.73046234E8)</f>
        <v>573046234</v>
      </c>
      <c r="B968" s="1" t="str">
        <f>IFERROR(__xludf.DUMMYFUNCTION("""COMPUTED_VALUE"""),"GARNIS ADV 150/160 Type (G) MIRROR SILVER")</f>
        <v>GARNIS ADV 150/160 Type (G) MIRROR SILVER</v>
      </c>
    </row>
    <row r="969">
      <c r="A969" s="1">
        <f>IFERROR(__xludf.DUMMYFUNCTION("""COMPUTED_VALUE"""),2.24614093E8)</f>
        <v>224614093</v>
      </c>
      <c r="B969" s="1" t="str">
        <f>IFERROR(__xludf.DUMMYFUNCTION("""COMPUTED_VALUE"""),"GARNIS ADV 150/160 Type (A) MIRROR GOLD")</f>
        <v>GARNIS ADV 150/160 Type (A) MIRROR GOLD</v>
      </c>
    </row>
    <row r="970">
      <c r="A970" s="1">
        <f>IFERROR(__xludf.DUMMYFUNCTION("""COMPUTED_VALUE"""),9.44470746E8)</f>
        <v>944470746</v>
      </c>
      <c r="B970" s="1" t="str">
        <f>IFERROR(__xludf.DUMMYFUNCTION("""COMPUTED_VALUE"""),"GARNIS ADV 150/160 Type (B) MIRROR GOLD")</f>
        <v>GARNIS ADV 150/160 Type (B) MIRROR GOLD</v>
      </c>
    </row>
    <row r="971">
      <c r="A971" s="1">
        <f>IFERROR(__xludf.DUMMYFUNCTION("""COMPUTED_VALUE"""),4.84666933E8)</f>
        <v>484666933</v>
      </c>
      <c r="B971" s="1" t="str">
        <f>IFERROR(__xludf.DUMMYFUNCTION("""COMPUTED_VALUE"""),"GARNIS ADV 150/160 Type (C) MIRROR GOLD")</f>
        <v>GARNIS ADV 150/160 Type (C) MIRROR GOLD</v>
      </c>
    </row>
    <row r="972">
      <c r="A972" s="1">
        <f>IFERROR(__xludf.DUMMYFUNCTION("""COMPUTED_VALUE"""),6.61131761E8)</f>
        <v>661131761</v>
      </c>
      <c r="B972" s="1" t="str">
        <f>IFERROR(__xludf.DUMMYFUNCTION("""COMPUTED_VALUE"""),"GARNIS ADV 150/160 Type (D) MIRROR GOLD")</f>
        <v>GARNIS ADV 150/160 Type (D) MIRROR GOLD</v>
      </c>
    </row>
    <row r="973">
      <c r="A973" s="1">
        <f>IFERROR(__xludf.DUMMYFUNCTION("""COMPUTED_VALUE"""),1.28242888E8)</f>
        <v>128242888</v>
      </c>
      <c r="B973" s="1" t="str">
        <f>IFERROR(__xludf.DUMMYFUNCTION("""COMPUTED_VALUE"""),"GARNIS ADV 150/160 Type (E) MIRROR GOLD")</f>
        <v>GARNIS ADV 150/160 Type (E) MIRROR GOLD</v>
      </c>
    </row>
    <row r="974">
      <c r="A974" s="1">
        <f>IFERROR(__xludf.DUMMYFUNCTION("""COMPUTED_VALUE"""),5.64123567E8)</f>
        <v>564123567</v>
      </c>
      <c r="B974" s="1" t="str">
        <f>IFERROR(__xludf.DUMMYFUNCTION("""COMPUTED_VALUE"""),"GARNIS ADV 150/160 Type (F) MIRROR GOLD")</f>
        <v>GARNIS ADV 150/160 Type (F) MIRROR GOLD</v>
      </c>
    </row>
    <row r="975">
      <c r="A975" s="1">
        <f>IFERROR(__xludf.DUMMYFUNCTION("""COMPUTED_VALUE"""),9.08232857E8)</f>
        <v>908232857</v>
      </c>
      <c r="B975" s="1" t="str">
        <f>IFERROR(__xludf.DUMMYFUNCTION("""COMPUTED_VALUE"""),"GARNIS ADV 150/160 Type (G) MIRROR GOLD")</f>
        <v>GARNIS ADV 150/160 Type (G) MIRROR GOLD</v>
      </c>
    </row>
    <row r="976">
      <c r="A976" s="1">
        <f>IFERROR(__xludf.DUMMYFUNCTION("""COMPUTED_VALUE"""),2.84176985E8)</f>
        <v>284176985</v>
      </c>
      <c r="B976" s="1" t="str">
        <f>IFERROR(__xludf.DUMMYFUNCTION("""COMPUTED_VALUE"""),"GARNIS ADV 150/160 Type (A) MIRROR ROSEGOLD")</f>
        <v>GARNIS ADV 150/160 Type (A) MIRROR ROSEGOLD</v>
      </c>
    </row>
    <row r="977">
      <c r="A977" s="1">
        <f>IFERROR(__xludf.DUMMYFUNCTION("""COMPUTED_VALUE"""),5.98403459E8)</f>
        <v>598403459</v>
      </c>
      <c r="B977" s="1" t="str">
        <f>IFERROR(__xludf.DUMMYFUNCTION("""COMPUTED_VALUE"""),"GARNIS ADV 150/160 Type (B) MIRROR ROSEGOLD")</f>
        <v>GARNIS ADV 150/160 Type (B) MIRROR ROSEGOLD</v>
      </c>
    </row>
    <row r="978">
      <c r="A978" s="1">
        <f>IFERROR(__xludf.DUMMYFUNCTION("""COMPUTED_VALUE"""),2.52139562E8)</f>
        <v>252139562</v>
      </c>
      <c r="B978" s="1" t="str">
        <f>IFERROR(__xludf.DUMMYFUNCTION("""COMPUTED_VALUE"""),"GARNIS ADV 150/160 Type (C) MIRROR ROSEGOLD")</f>
        <v>GARNIS ADV 150/160 Type (C) MIRROR ROSEGOLD</v>
      </c>
    </row>
    <row r="979">
      <c r="A979" s="1">
        <f>IFERROR(__xludf.DUMMYFUNCTION("""COMPUTED_VALUE"""),9.50769899E8)</f>
        <v>950769899</v>
      </c>
      <c r="B979" s="1" t="str">
        <f>IFERROR(__xludf.DUMMYFUNCTION("""COMPUTED_VALUE"""),"GARNIS ADV 150/160 Type (D) MIRROR ROSEGOLD")</f>
        <v>GARNIS ADV 150/160 Type (D) MIRROR ROSEGOLD</v>
      </c>
    </row>
    <row r="980">
      <c r="A980" s="1">
        <f>IFERROR(__xludf.DUMMYFUNCTION("""COMPUTED_VALUE"""),1.65991086E8)</f>
        <v>165991086</v>
      </c>
      <c r="B980" s="1" t="str">
        <f>IFERROR(__xludf.DUMMYFUNCTION("""COMPUTED_VALUE"""),"GARNIS ADV 150/160 Type (E) MIRROR ROSEGOLD")</f>
        <v>GARNIS ADV 150/160 Type (E) MIRROR ROSEGOLD</v>
      </c>
    </row>
    <row r="981">
      <c r="A981" s="1">
        <f>IFERROR(__xludf.DUMMYFUNCTION("""COMPUTED_VALUE"""),4.69789931E8)</f>
        <v>469789931</v>
      </c>
      <c r="B981" s="1" t="str">
        <f>IFERROR(__xludf.DUMMYFUNCTION("""COMPUTED_VALUE"""),"GARNIS ADV 150/160 Type (F) MIRROR ROSEGOLD")</f>
        <v>GARNIS ADV 150/160 Type (F) MIRROR ROSEGOLD</v>
      </c>
    </row>
    <row r="982">
      <c r="A982" s="1">
        <f>IFERROR(__xludf.DUMMYFUNCTION("""COMPUTED_VALUE"""),8.92379014E8)</f>
        <v>892379014</v>
      </c>
      <c r="B982" s="1" t="str">
        <f>IFERROR(__xludf.DUMMYFUNCTION("""COMPUTED_VALUE"""),"GARNIS ADV 150/160 Type (G) MIRROR ROSEGOLD")</f>
        <v>GARNIS ADV 150/160 Type (G) MIRROR ROSEGOLD</v>
      </c>
    </row>
    <row r="983">
      <c r="A983" s="1">
        <f>IFERROR(__xludf.DUMMYFUNCTION("""COMPUTED_VALUE"""),6.69602924E8)</f>
        <v>669602924</v>
      </c>
      <c r="B983" s="1" t="str">
        <f>IFERROR(__xludf.DUMMYFUNCTION("""COMPUTED_VALUE"""),"GARNIS Lexi 125/155 Type (A) MIRROR MERAH")</f>
        <v>GARNIS Lexi 125/155 Type (A) MIRROR MERAH</v>
      </c>
    </row>
    <row r="984">
      <c r="A984" s="1">
        <f>IFERROR(__xludf.DUMMYFUNCTION("""COMPUTED_VALUE"""),5.79466507E8)</f>
        <v>579466507</v>
      </c>
      <c r="B984" s="1" t="str">
        <f>IFERROR(__xludf.DUMMYFUNCTION("""COMPUTED_VALUE"""),"GARNIS Lexi 125/155 Type (B) MIRROR MERAH")</f>
        <v>GARNIS Lexi 125/155 Type (B) MIRROR MERAH</v>
      </c>
    </row>
    <row r="985">
      <c r="A985" s="1">
        <f>IFERROR(__xludf.DUMMYFUNCTION("""COMPUTED_VALUE"""),2.87933488E8)</f>
        <v>287933488</v>
      </c>
      <c r="B985" s="1" t="str">
        <f>IFERROR(__xludf.DUMMYFUNCTION("""COMPUTED_VALUE"""),"GARNIS Lexi 125/155 Type (C) MIRROR MERAH")</f>
        <v>GARNIS Lexi 125/155 Type (C) MIRROR MERAH</v>
      </c>
    </row>
    <row r="986">
      <c r="A986" s="1">
        <f>IFERROR(__xludf.DUMMYFUNCTION("""COMPUTED_VALUE"""),2.79160327E8)</f>
        <v>279160327</v>
      </c>
      <c r="B986" s="1" t="str">
        <f>IFERROR(__xludf.DUMMYFUNCTION("""COMPUTED_VALUE"""),"GARNIS Lexi 125/155 Type (D) MIRROR MERAH")</f>
        <v>GARNIS Lexi 125/155 Type (D) MIRROR MERAH</v>
      </c>
    </row>
    <row r="987">
      <c r="A987" s="1">
        <f>IFERROR(__xludf.DUMMYFUNCTION("""COMPUTED_VALUE"""),2.71257949E8)</f>
        <v>271257949</v>
      </c>
      <c r="B987" s="1" t="str">
        <f>IFERROR(__xludf.DUMMYFUNCTION("""COMPUTED_VALUE"""),"GARNIS Lexi 125/155 Type (E) MIRROR MERAH")</f>
        <v>GARNIS Lexi 125/155 Type (E) MIRROR MERAH</v>
      </c>
    </row>
    <row r="988">
      <c r="A988" s="1">
        <f>IFERROR(__xludf.DUMMYFUNCTION("""COMPUTED_VALUE"""),8.63502088E8)</f>
        <v>863502088</v>
      </c>
      <c r="B988" s="1" t="str">
        <f>IFERROR(__xludf.DUMMYFUNCTION("""COMPUTED_VALUE"""),"GARNIS Lexi 125/155 Type (F) MIRROR MERAH")</f>
        <v>GARNIS Lexi 125/155 Type (F) MIRROR MERAH</v>
      </c>
    </row>
    <row r="989">
      <c r="A989" s="1">
        <f>IFERROR(__xludf.DUMMYFUNCTION("""COMPUTED_VALUE"""),1.72174303E8)</f>
        <v>172174303</v>
      </c>
      <c r="B989" s="1" t="str">
        <f>IFERROR(__xludf.DUMMYFUNCTION("""COMPUTED_VALUE"""),"GARNIS Lexi 125/155 Type (G) MIRROR MERAH")</f>
        <v>GARNIS Lexi 125/155 Type (G) MIRROR MERAH</v>
      </c>
    </row>
    <row r="990">
      <c r="A990" s="1">
        <f>IFERROR(__xludf.DUMMYFUNCTION("""COMPUTED_VALUE"""),1.60747272E8)</f>
        <v>160747272</v>
      </c>
      <c r="B990" s="1" t="str">
        <f>IFERROR(__xludf.DUMMYFUNCTION("""COMPUTED_VALUE"""),"GARNIS Lexi 125/155 Type (A) MIRROR BIRU")</f>
        <v>GARNIS Lexi 125/155 Type (A) MIRROR BIRU</v>
      </c>
    </row>
    <row r="991">
      <c r="A991" s="1">
        <f>IFERROR(__xludf.DUMMYFUNCTION("""COMPUTED_VALUE"""),7.14527067E8)</f>
        <v>714527067</v>
      </c>
      <c r="B991" s="1" t="str">
        <f>IFERROR(__xludf.DUMMYFUNCTION("""COMPUTED_VALUE"""),"GARNIS Lexi 125/155 Type (B) MIRROR BIRU")</f>
        <v>GARNIS Lexi 125/155 Type (B) MIRROR BIRU</v>
      </c>
    </row>
    <row r="992">
      <c r="A992" s="1">
        <f>IFERROR(__xludf.DUMMYFUNCTION("""COMPUTED_VALUE"""),3.94758846E8)</f>
        <v>394758846</v>
      </c>
      <c r="B992" s="1" t="str">
        <f>IFERROR(__xludf.DUMMYFUNCTION("""COMPUTED_VALUE"""),"GARNIS Lexi 125/155 Type (C) MIRROR BIRU")</f>
        <v>GARNIS Lexi 125/155 Type (C) MIRROR BIRU</v>
      </c>
    </row>
    <row r="993">
      <c r="A993" s="1">
        <f>IFERROR(__xludf.DUMMYFUNCTION("""COMPUTED_VALUE"""),8.68707785E8)</f>
        <v>868707785</v>
      </c>
      <c r="B993" s="1" t="str">
        <f>IFERROR(__xludf.DUMMYFUNCTION("""COMPUTED_VALUE"""),"GARNIS Lexi 125/155 Type (D) MIRROR BIRU")</f>
        <v>GARNIS Lexi 125/155 Type (D) MIRROR BIRU</v>
      </c>
    </row>
    <row r="994">
      <c r="A994" s="1">
        <f>IFERROR(__xludf.DUMMYFUNCTION("""COMPUTED_VALUE"""),3.34705108E8)</f>
        <v>334705108</v>
      </c>
      <c r="B994" s="1" t="str">
        <f>IFERROR(__xludf.DUMMYFUNCTION("""COMPUTED_VALUE"""),"GARNIS Lexi 125/155 Type (E) MIRROR BIRU")</f>
        <v>GARNIS Lexi 125/155 Type (E) MIRROR BIRU</v>
      </c>
    </row>
    <row r="995">
      <c r="A995" s="1">
        <f>IFERROR(__xludf.DUMMYFUNCTION("""COMPUTED_VALUE"""),2.10179725E8)</f>
        <v>210179725</v>
      </c>
      <c r="B995" s="1" t="str">
        <f>IFERROR(__xludf.DUMMYFUNCTION("""COMPUTED_VALUE"""),"GARNIS Lexi 125/155 Type (F) MIRROR BIRU")</f>
        <v>GARNIS Lexi 125/155 Type (F) MIRROR BIRU</v>
      </c>
    </row>
    <row r="996">
      <c r="A996" s="1">
        <f>IFERROR(__xludf.DUMMYFUNCTION("""COMPUTED_VALUE"""),9.9666255E8)</f>
        <v>996662550</v>
      </c>
      <c r="B996" s="1" t="str">
        <f>IFERROR(__xludf.DUMMYFUNCTION("""COMPUTED_VALUE"""),"GARNIS Lexi 125/155 Type (G) MIRROR BIRU")</f>
        <v>GARNIS Lexi 125/155 Type (G) MIRROR BIRU</v>
      </c>
    </row>
    <row r="997">
      <c r="A997" s="1">
        <f>IFERROR(__xludf.DUMMYFUNCTION("""COMPUTED_VALUE"""),3.74787573E8)</f>
        <v>374787573</v>
      </c>
      <c r="B997" s="1" t="str">
        <f>IFERROR(__xludf.DUMMYFUNCTION("""COMPUTED_VALUE"""),"GARNIS Lexi 125/155 Type (A) MIRROR SILVER")</f>
        <v>GARNIS Lexi 125/155 Type (A) MIRROR SILVER</v>
      </c>
    </row>
    <row r="998">
      <c r="A998" s="1">
        <f>IFERROR(__xludf.DUMMYFUNCTION("""COMPUTED_VALUE"""),7.6859478E8)</f>
        <v>768594780</v>
      </c>
      <c r="B998" s="1" t="str">
        <f>IFERROR(__xludf.DUMMYFUNCTION("""COMPUTED_VALUE"""),"GARNIS Lexi 125/155 Type (B) MIRROR SILVER")</f>
        <v>GARNIS Lexi 125/155 Type (B) MIRROR SILVER</v>
      </c>
    </row>
    <row r="999">
      <c r="A999" s="1">
        <f>IFERROR(__xludf.DUMMYFUNCTION("""COMPUTED_VALUE"""),7.15690147E8)</f>
        <v>715690147</v>
      </c>
      <c r="B999" s="1" t="str">
        <f>IFERROR(__xludf.DUMMYFUNCTION("""COMPUTED_VALUE"""),"GARNIS Lexi 125/155 Type (C) MIRROR SILVER")</f>
        <v>GARNIS Lexi 125/155 Type (C) MIRROR SILVER</v>
      </c>
    </row>
    <row r="1000">
      <c r="A1000" s="1">
        <f>IFERROR(__xludf.DUMMYFUNCTION("""COMPUTED_VALUE"""),6.31995051E8)</f>
        <v>631995051</v>
      </c>
      <c r="B1000" s="1" t="str">
        <f>IFERROR(__xludf.DUMMYFUNCTION("""COMPUTED_VALUE"""),"GARNIS Lexi 125/155 Type (D) MIRROR SILVER")</f>
        <v>GARNIS Lexi 125/155 Type (D) MIRROR SILVER</v>
      </c>
    </row>
    <row r="1001">
      <c r="A1001" s="1">
        <f>IFERROR(__xludf.DUMMYFUNCTION("""COMPUTED_VALUE"""),5.10322298E8)</f>
        <v>510322298</v>
      </c>
      <c r="B1001" s="1" t="str">
        <f>IFERROR(__xludf.DUMMYFUNCTION("""COMPUTED_VALUE"""),"GARNIS Lexi 125/155 Type (E) MIRROR SILVER")</f>
        <v>GARNIS Lexi 125/155 Type (E) MIRROR SILVER</v>
      </c>
    </row>
    <row r="1002">
      <c r="A1002" s="1">
        <f>IFERROR(__xludf.DUMMYFUNCTION("""COMPUTED_VALUE"""),4.89795328E8)</f>
        <v>489795328</v>
      </c>
      <c r="B1002" s="1" t="str">
        <f>IFERROR(__xludf.DUMMYFUNCTION("""COMPUTED_VALUE"""),"GARNIS Lexi 125/155 Type (F) MIRROR SILVER")</f>
        <v>GARNIS Lexi 125/155 Type (F) MIRROR SILVER</v>
      </c>
    </row>
    <row r="1003">
      <c r="A1003" s="1">
        <f>IFERROR(__xludf.DUMMYFUNCTION("""COMPUTED_VALUE"""),1.94909919E8)</f>
        <v>194909919</v>
      </c>
      <c r="B1003" s="1" t="str">
        <f>IFERROR(__xludf.DUMMYFUNCTION("""COMPUTED_VALUE"""),"GARNIS Lexi 125/155 Type (G) MIRROR SILVER")</f>
        <v>GARNIS Lexi 125/155 Type (G) MIRROR SILVER</v>
      </c>
    </row>
    <row r="1004">
      <c r="A1004" s="1">
        <f>IFERROR(__xludf.DUMMYFUNCTION("""COMPUTED_VALUE"""),2.98237321E8)</f>
        <v>298237321</v>
      </c>
      <c r="B1004" s="1" t="str">
        <f>IFERROR(__xludf.DUMMYFUNCTION("""COMPUTED_VALUE"""),"GARNIS Lexi 125/155 Type (A) MIRROR GOLD")</f>
        <v>GARNIS Lexi 125/155 Type (A) MIRROR GOLD</v>
      </c>
    </row>
    <row r="1005">
      <c r="A1005" s="1">
        <f>IFERROR(__xludf.DUMMYFUNCTION("""COMPUTED_VALUE"""),4.04551537E8)</f>
        <v>404551537</v>
      </c>
      <c r="B1005" s="1" t="str">
        <f>IFERROR(__xludf.DUMMYFUNCTION("""COMPUTED_VALUE"""),"GARNIS Lexi 125/155 Type (B) MIRROR GOLD")</f>
        <v>GARNIS Lexi 125/155 Type (B) MIRROR GOLD</v>
      </c>
    </row>
    <row r="1006">
      <c r="A1006" s="1">
        <f>IFERROR(__xludf.DUMMYFUNCTION("""COMPUTED_VALUE"""),5.93420978E8)</f>
        <v>593420978</v>
      </c>
      <c r="B1006" s="1" t="str">
        <f>IFERROR(__xludf.DUMMYFUNCTION("""COMPUTED_VALUE"""),"GARNIS Lexi 125/155 Type (C) MIRROR GOLD")</f>
        <v>GARNIS Lexi 125/155 Type (C) MIRROR GOLD</v>
      </c>
    </row>
    <row r="1007">
      <c r="A1007" s="1">
        <f>IFERROR(__xludf.DUMMYFUNCTION("""COMPUTED_VALUE"""),2.50811201E8)</f>
        <v>250811201</v>
      </c>
      <c r="B1007" s="1" t="str">
        <f>IFERROR(__xludf.DUMMYFUNCTION("""COMPUTED_VALUE"""),"GARNIS Lexi 125/155 Type (D) MIRROR GOLD")</f>
        <v>GARNIS Lexi 125/155 Type (D) MIRROR GOLD</v>
      </c>
    </row>
    <row r="1008">
      <c r="A1008" s="1">
        <f>IFERROR(__xludf.DUMMYFUNCTION("""COMPUTED_VALUE"""),8.14109031E8)</f>
        <v>814109031</v>
      </c>
      <c r="B1008" s="1" t="str">
        <f>IFERROR(__xludf.DUMMYFUNCTION("""COMPUTED_VALUE"""),"GARNIS Lexi 125/155 Type (E) MIRROR GOLD")</f>
        <v>GARNIS Lexi 125/155 Type (E) MIRROR GOLD</v>
      </c>
    </row>
    <row r="1009">
      <c r="A1009" s="1">
        <f>IFERROR(__xludf.DUMMYFUNCTION("""COMPUTED_VALUE"""),8.67226602E8)</f>
        <v>867226602</v>
      </c>
      <c r="B1009" s="1" t="str">
        <f>IFERROR(__xludf.DUMMYFUNCTION("""COMPUTED_VALUE"""),"GARNIS Lexi 125/155 Type (F) MIRROR GOLD")</f>
        <v>GARNIS Lexi 125/155 Type (F) MIRROR GOLD</v>
      </c>
    </row>
    <row r="1010">
      <c r="A1010" s="1">
        <f>IFERROR(__xludf.DUMMYFUNCTION("""COMPUTED_VALUE"""),5.11014197E8)</f>
        <v>511014197</v>
      </c>
      <c r="B1010" s="1" t="str">
        <f>IFERROR(__xludf.DUMMYFUNCTION("""COMPUTED_VALUE"""),"GARNIS Lexi 125/155 Type (G) MIRROR GOLD")</f>
        <v>GARNIS Lexi 125/155 Type (G) MIRROR GOLD</v>
      </c>
    </row>
    <row r="1011">
      <c r="A1011" s="1">
        <f>IFERROR(__xludf.DUMMYFUNCTION("""COMPUTED_VALUE"""),9.0509729E8)</f>
        <v>905097290</v>
      </c>
      <c r="B1011" s="1" t="str">
        <f>IFERROR(__xludf.DUMMYFUNCTION("""COMPUTED_VALUE"""),"GARNIS Lexi 125/155 Type (A) MIRROR ROSEGOLD")</f>
        <v>GARNIS Lexi 125/155 Type (A) MIRROR ROSEGOLD</v>
      </c>
    </row>
    <row r="1012">
      <c r="A1012" s="1">
        <f>IFERROR(__xludf.DUMMYFUNCTION("""COMPUTED_VALUE"""),7.58105269E8)</f>
        <v>758105269</v>
      </c>
      <c r="B1012" s="1" t="str">
        <f>IFERROR(__xludf.DUMMYFUNCTION("""COMPUTED_VALUE"""),"GARNIS Lexi 125/155 Type (B) MIRROR ROSEGOLD")</f>
        <v>GARNIS Lexi 125/155 Type (B) MIRROR ROSEGOLD</v>
      </c>
    </row>
    <row r="1013">
      <c r="A1013" s="1">
        <f>IFERROR(__xludf.DUMMYFUNCTION("""COMPUTED_VALUE"""),5.44756625E8)</f>
        <v>544756625</v>
      </c>
      <c r="B1013" s="1" t="str">
        <f>IFERROR(__xludf.DUMMYFUNCTION("""COMPUTED_VALUE"""),"GARNIS Lexi 125/155 Type (C) MIRROR ROSEGOLD")</f>
        <v>GARNIS Lexi 125/155 Type (C) MIRROR ROSEGOLD</v>
      </c>
    </row>
    <row r="1014">
      <c r="A1014" s="1">
        <f>IFERROR(__xludf.DUMMYFUNCTION("""COMPUTED_VALUE"""),9.54238702E8)</f>
        <v>954238702</v>
      </c>
      <c r="B1014" s="1" t="str">
        <f>IFERROR(__xludf.DUMMYFUNCTION("""COMPUTED_VALUE"""),"GARNIS Lexi 125/155 Type (D) MIRROR ROSEGOLD")</f>
        <v>GARNIS Lexi 125/155 Type (D) MIRROR ROSEGOLD</v>
      </c>
    </row>
    <row r="1015">
      <c r="A1015" s="1">
        <f>IFERROR(__xludf.DUMMYFUNCTION("""COMPUTED_VALUE"""),7.38140843E8)</f>
        <v>738140843</v>
      </c>
      <c r="B1015" s="1" t="str">
        <f>IFERROR(__xludf.DUMMYFUNCTION("""COMPUTED_VALUE"""),"GARNIS Lexi 125/155 Type (E) MIRROR ROSEGOLD")</f>
        <v>GARNIS Lexi 125/155 Type (E) MIRROR ROSEGOLD</v>
      </c>
    </row>
    <row r="1016">
      <c r="A1016" s="1">
        <f>IFERROR(__xludf.DUMMYFUNCTION("""COMPUTED_VALUE"""),3.68830713E8)</f>
        <v>368830713</v>
      </c>
      <c r="B1016" s="1" t="str">
        <f>IFERROR(__xludf.DUMMYFUNCTION("""COMPUTED_VALUE"""),"GARNIS Lexi 125/155 Type (F) MIRROR ROSEGOLD")</f>
        <v>GARNIS Lexi 125/155 Type (F) MIRROR ROSEGOLD</v>
      </c>
    </row>
    <row r="1017">
      <c r="A1017" s="1">
        <f>IFERROR(__xludf.DUMMYFUNCTION("""COMPUTED_VALUE"""),9.33046647E8)</f>
        <v>933046647</v>
      </c>
      <c r="B1017" s="1" t="str">
        <f>IFERROR(__xludf.DUMMYFUNCTION("""COMPUTED_VALUE"""),"GARNIS Lexi 125/155 Type (G) MIRROR ROSEGOLD")</f>
        <v>GARNIS Lexi 125/155 Type (G) MIRROR ROSEGOLD</v>
      </c>
    </row>
    <row r="1018">
      <c r="A1018" s="1"/>
      <c r="B1018" s="1"/>
    </row>
    <row r="1019">
      <c r="A1019" s="1"/>
      <c r="B1019" s="1"/>
    </row>
    <row r="1020">
      <c r="A1020" s="1"/>
      <c r="B1020" s="1"/>
    </row>
    <row r="1021">
      <c r="A1021" s="1"/>
      <c r="B1021" s="1"/>
    </row>
    <row r="1022">
      <c r="A1022" s="1"/>
      <c r="B1022" s="1"/>
    </row>
    <row r="1023">
      <c r="A1023" s="1"/>
      <c r="B1023" s="1"/>
    </row>
    <row r="1024">
      <c r="A1024" s="1"/>
      <c r="B1024" s="1"/>
    </row>
    <row r="1025">
      <c r="A1025" s="1"/>
      <c r="B1025" s="1"/>
    </row>
    <row r="1026">
      <c r="A1026" s="1"/>
      <c r="B1026" s="1"/>
    </row>
    <row r="1027">
      <c r="A1027" s="1"/>
      <c r="B1027" s="1"/>
    </row>
    <row r="1028">
      <c r="A1028" s="1"/>
      <c r="B1028" s="1"/>
    </row>
    <row r="1029">
      <c r="A1029" s="1"/>
      <c r="B1029" s="1"/>
    </row>
    <row r="1030">
      <c r="A1030" s="1"/>
      <c r="B1030" s="1"/>
    </row>
    <row r="1031">
      <c r="A1031" s="1"/>
      <c r="B1031" s="1"/>
    </row>
    <row r="1032">
      <c r="A1032" s="1"/>
      <c r="B1032" s="1"/>
    </row>
    <row r="1033">
      <c r="A1033" s="1"/>
      <c r="B1033" s="1"/>
    </row>
    <row r="1034">
      <c r="A1034" s="1"/>
      <c r="B1034" s="1"/>
    </row>
    <row r="1035">
      <c r="A1035" s="1"/>
      <c r="B1035" s="1"/>
    </row>
    <row r="1036">
      <c r="A1036" s="1"/>
      <c r="B1036" s="1"/>
    </row>
    <row r="1037">
      <c r="A1037" s="1"/>
      <c r="B1037" s="1"/>
    </row>
    <row r="1038">
      <c r="A1038" s="1"/>
      <c r="B1038" s="1"/>
    </row>
    <row r="1039">
      <c r="A1039" s="1"/>
      <c r="B1039" s="1"/>
    </row>
    <row r="1040">
      <c r="A1040" s="1"/>
      <c r="B1040" s="1"/>
    </row>
    <row r="1041">
      <c r="A1041" s="1"/>
      <c r="B1041" s="1"/>
    </row>
    <row r="1042">
      <c r="A1042" s="1"/>
      <c r="B1042" s="1"/>
    </row>
    <row r="1043">
      <c r="A1043" s="1"/>
      <c r="B1043" s="1"/>
    </row>
    <row r="1044">
      <c r="A1044" s="1"/>
      <c r="B1044" s="1"/>
    </row>
    <row r="1045">
      <c r="A1045" s="1"/>
      <c r="B1045" s="1"/>
    </row>
    <row r="1046">
      <c r="A1046" s="1"/>
      <c r="B1046" s="1"/>
    </row>
    <row r="1047">
      <c r="A1047" s="1"/>
      <c r="B1047" s="1"/>
    </row>
    <row r="1048">
      <c r="A1048" s="1"/>
      <c r="B1048" s="1"/>
    </row>
    <row r="1049">
      <c r="A1049" s="1"/>
      <c r="B1049" s="1"/>
    </row>
    <row r="1050">
      <c r="A1050" s="1"/>
      <c r="B1050" s="1"/>
    </row>
    <row r="1051">
      <c r="A1051" s="1"/>
      <c r="B1051" s="1"/>
    </row>
    <row r="1052">
      <c r="A1052" s="1"/>
      <c r="B1052" s="1"/>
    </row>
    <row r="1053">
      <c r="A1053" s="1"/>
      <c r="B1053" s="1"/>
    </row>
    <row r="1054">
      <c r="A1054" s="1"/>
      <c r="B1054" s="1"/>
    </row>
    <row r="1055">
      <c r="A1055" s="1"/>
      <c r="B1055" s="1"/>
    </row>
    <row r="1056">
      <c r="A1056" s="1"/>
      <c r="B1056" s="1"/>
    </row>
    <row r="1057">
      <c r="A1057" s="1"/>
      <c r="B1057" s="1"/>
    </row>
    <row r="1058">
      <c r="A1058" s="1"/>
      <c r="B1058" s="1"/>
    </row>
    <row r="1059">
      <c r="A1059" s="1"/>
      <c r="B1059" s="1"/>
    </row>
    <row r="1060">
      <c r="A1060" s="1"/>
      <c r="B1060" s="1"/>
    </row>
    <row r="1061">
      <c r="A1061" s="1"/>
      <c r="B1061" s="1"/>
    </row>
    <row r="1062">
      <c r="A1062" s="1"/>
      <c r="B1062" s="1"/>
    </row>
    <row r="1063">
      <c r="A1063" s="1"/>
      <c r="B1063" s="1"/>
    </row>
    <row r="1064">
      <c r="A1064" s="1"/>
      <c r="B1064" s="1"/>
    </row>
    <row r="1065">
      <c r="A1065" s="1"/>
      <c r="B1065" s="1"/>
    </row>
    <row r="1066">
      <c r="A1066" s="1"/>
      <c r="B1066" s="1"/>
    </row>
    <row r="1067">
      <c r="A1067" s="1"/>
      <c r="B1067" s="1"/>
    </row>
    <row r="1068">
      <c r="A1068" s="1"/>
      <c r="B1068" s="1"/>
    </row>
    <row r="1069">
      <c r="A1069" s="1"/>
      <c r="B1069" s="1"/>
    </row>
    <row r="1070">
      <c r="A1070" s="1"/>
      <c r="B1070" s="1"/>
    </row>
    <row r="1071">
      <c r="A1071" s="1"/>
      <c r="B1071" s="1"/>
    </row>
    <row r="1072">
      <c r="A1072" s="1"/>
      <c r="B1072" s="1"/>
    </row>
    <row r="1073">
      <c r="A1073" s="1"/>
      <c r="B1073" s="1"/>
    </row>
    <row r="1074">
      <c r="A1074" s="1"/>
      <c r="B1074" s="1"/>
    </row>
    <row r="1075">
      <c r="A1075" s="1"/>
      <c r="B1075" s="1"/>
    </row>
    <row r="1076">
      <c r="A1076" s="1"/>
      <c r="B1076" s="1"/>
    </row>
    <row r="1077">
      <c r="A1077" s="1"/>
      <c r="B1077" s="1"/>
    </row>
    <row r="1078">
      <c r="A1078" s="1"/>
      <c r="B1078" s="1"/>
    </row>
    <row r="1079">
      <c r="A1079" s="1"/>
      <c r="B1079" s="1"/>
    </row>
    <row r="1080">
      <c r="A1080" s="1"/>
      <c r="B1080" s="1"/>
    </row>
    <row r="1081">
      <c r="A1081" s="1"/>
      <c r="B1081" s="1"/>
    </row>
    <row r="1082">
      <c r="A1082" s="1"/>
      <c r="B1082" s="1"/>
    </row>
    <row r="1083">
      <c r="A1083" s="1"/>
      <c r="B1083" s="1"/>
    </row>
    <row r="1084">
      <c r="A1084" s="1"/>
      <c r="B1084" s="1"/>
    </row>
    <row r="1085">
      <c r="A1085" s="1"/>
      <c r="B1085" s="1"/>
    </row>
    <row r="1086">
      <c r="A1086" s="1"/>
      <c r="B1086" s="1"/>
    </row>
    <row r="1087">
      <c r="A1087" s="1"/>
      <c r="B1087" s="1"/>
    </row>
    <row r="1088">
      <c r="A1088" s="1"/>
      <c r="B1088" s="1"/>
    </row>
    <row r="1089">
      <c r="A1089" s="1"/>
      <c r="B1089" s="1"/>
    </row>
    <row r="1090">
      <c r="A1090" s="1"/>
      <c r="B1090" s="1"/>
    </row>
    <row r="1091">
      <c r="A1091" s="1"/>
      <c r="B1091" s="1"/>
    </row>
    <row r="1092">
      <c r="A1092" s="1"/>
      <c r="B1092" s="1"/>
    </row>
    <row r="1093">
      <c r="A1093" s="1"/>
      <c r="B1093" s="1"/>
    </row>
    <row r="1094">
      <c r="A1094" s="1"/>
      <c r="B1094" s="1"/>
    </row>
    <row r="1095">
      <c r="A1095" s="1"/>
      <c r="B1095" s="1"/>
    </row>
    <row r="1096">
      <c r="A1096" s="1"/>
      <c r="B1096" s="1"/>
    </row>
    <row r="1097">
      <c r="A1097" s="1"/>
      <c r="B1097" s="1"/>
    </row>
    <row r="1098">
      <c r="A1098" s="1"/>
      <c r="B1098" s="1"/>
    </row>
    <row r="1099">
      <c r="A1099" s="1"/>
      <c r="B1099" s="1"/>
    </row>
    <row r="1100">
      <c r="A1100" s="1"/>
      <c r="B1100" s="1"/>
    </row>
    <row r="1101">
      <c r="A1101" s="1"/>
      <c r="B1101" s="1"/>
    </row>
    <row r="1102">
      <c r="A1102" s="1"/>
      <c r="B1102" s="1"/>
    </row>
    <row r="1103">
      <c r="A1103" s="1"/>
      <c r="B1103" s="1"/>
    </row>
    <row r="1104">
      <c r="A1104" s="1"/>
      <c r="B1104" s="1"/>
    </row>
    <row r="1105">
      <c r="A1105" s="1"/>
      <c r="B1105" s="1"/>
    </row>
    <row r="1106">
      <c r="A1106" s="1"/>
      <c r="B1106" s="1"/>
    </row>
    <row r="1107">
      <c r="A1107" s="1"/>
      <c r="B1107" s="1"/>
    </row>
    <row r="1108">
      <c r="A1108" s="1"/>
      <c r="B1108" s="1"/>
    </row>
    <row r="1109">
      <c r="A1109" s="1"/>
      <c r="B1109" s="1"/>
    </row>
    <row r="1110">
      <c r="A1110" s="1"/>
      <c r="B1110" s="1"/>
    </row>
    <row r="1111">
      <c r="A1111" s="1"/>
      <c r="B1111" s="1"/>
    </row>
    <row r="1112">
      <c r="A1112" s="1"/>
      <c r="B1112" s="1"/>
    </row>
    <row r="1113">
      <c r="A1113" s="1"/>
      <c r="B1113" s="1"/>
    </row>
    <row r="1114">
      <c r="A1114" s="1"/>
      <c r="B1114" s="1"/>
    </row>
    <row r="1115">
      <c r="A1115" s="1"/>
      <c r="B1115" s="1"/>
    </row>
    <row r="1116">
      <c r="A1116" s="1"/>
      <c r="B1116" s="1"/>
    </row>
    <row r="1117">
      <c r="A1117" s="1"/>
      <c r="B1117" s="1"/>
    </row>
    <row r="1118">
      <c r="A1118" s="1"/>
      <c r="B1118" s="1"/>
    </row>
    <row r="1119">
      <c r="A1119" s="1"/>
      <c r="B1119" s="1"/>
    </row>
    <row r="1120">
      <c r="A1120" s="1"/>
      <c r="B1120" s="1"/>
    </row>
    <row r="1121">
      <c r="A1121" s="1"/>
      <c r="B1121" s="1"/>
    </row>
    <row r="1122">
      <c r="A1122" s="1"/>
      <c r="B1122" s="1"/>
    </row>
    <row r="1123">
      <c r="A1123" s="1"/>
      <c r="B1123" s="1"/>
    </row>
    <row r="1124">
      <c r="A1124" s="1"/>
      <c r="B1124" s="1"/>
    </row>
    <row r="1125">
      <c r="A1125" s="1"/>
      <c r="B1125" s="1"/>
    </row>
    <row r="1126">
      <c r="A1126" s="1"/>
      <c r="B1126" s="1"/>
    </row>
    <row r="1127">
      <c r="A1127" s="1"/>
      <c r="B1127" s="1"/>
    </row>
    <row r="1128">
      <c r="A1128" s="1"/>
      <c r="B1128" s="1"/>
    </row>
    <row r="1129">
      <c r="A1129" s="1"/>
      <c r="B1129" s="1"/>
    </row>
    <row r="1130">
      <c r="A1130" s="1"/>
      <c r="B1130" s="1"/>
    </row>
    <row r="1131">
      <c r="A1131" s="1"/>
      <c r="B1131" s="1"/>
    </row>
    <row r="1132">
      <c r="A1132" s="1"/>
      <c r="B1132" s="1"/>
    </row>
    <row r="1133">
      <c r="A1133" s="1"/>
      <c r="B1133" s="1"/>
    </row>
    <row r="1134">
      <c r="A1134" s="1"/>
      <c r="B1134" s="1"/>
    </row>
    <row r="1135">
      <c r="A1135" s="1"/>
      <c r="B1135" s="1"/>
    </row>
    <row r="1136">
      <c r="A1136" s="1"/>
      <c r="B1136" s="1"/>
    </row>
    <row r="1137">
      <c r="A1137" s="1"/>
      <c r="B1137" s="1"/>
    </row>
    <row r="1138">
      <c r="A1138" s="1"/>
      <c r="B1138" s="1"/>
    </row>
    <row r="1139">
      <c r="A1139" s="1"/>
      <c r="B1139" s="1"/>
    </row>
    <row r="1140">
      <c r="A1140" s="1"/>
      <c r="B1140" s="1"/>
    </row>
    <row r="1141">
      <c r="A1141" s="1"/>
      <c r="B1141" s="1"/>
    </row>
    <row r="1142">
      <c r="A1142" s="1"/>
      <c r="B1142" s="1"/>
    </row>
    <row r="1143">
      <c r="A1143" s="1"/>
      <c r="B1143" s="1"/>
    </row>
    <row r="1144">
      <c r="A1144" s="1"/>
      <c r="B1144" s="1"/>
    </row>
    <row r="1145">
      <c r="A1145" s="1"/>
      <c r="B1145" s="1"/>
    </row>
    <row r="1146">
      <c r="A1146" s="1"/>
      <c r="B1146" s="1"/>
    </row>
    <row r="1147">
      <c r="A1147" s="1"/>
      <c r="B1147" s="1"/>
    </row>
    <row r="1148">
      <c r="A1148" s="1"/>
      <c r="B1148" s="1"/>
    </row>
    <row r="1149">
      <c r="A1149" s="1"/>
      <c r="B1149" s="1"/>
    </row>
    <row r="1150">
      <c r="A1150" s="1"/>
      <c r="B1150" s="1"/>
    </row>
    <row r="1151">
      <c r="A1151" s="1"/>
      <c r="B1151" s="1"/>
    </row>
    <row r="1152">
      <c r="A1152" s="1"/>
      <c r="B1152" s="1"/>
    </row>
    <row r="1153">
      <c r="A1153" s="1"/>
      <c r="B1153" s="1"/>
    </row>
    <row r="1154">
      <c r="A1154" s="1"/>
      <c r="B1154" s="1"/>
    </row>
    <row r="1155">
      <c r="A1155" s="1"/>
      <c r="B1155" s="1"/>
    </row>
    <row r="1156">
      <c r="A1156" s="1"/>
      <c r="B1156" s="1"/>
    </row>
    <row r="1157">
      <c r="A1157" s="1"/>
      <c r="B1157" s="1"/>
    </row>
    <row r="1158">
      <c r="A1158" s="1"/>
      <c r="B1158" s="1"/>
    </row>
    <row r="1159">
      <c r="A1159" s="1"/>
      <c r="B1159" s="1"/>
    </row>
    <row r="1160">
      <c r="A1160" s="1"/>
      <c r="B1160" s="1"/>
    </row>
    <row r="1161">
      <c r="A1161" s="1"/>
      <c r="B1161" s="1"/>
    </row>
    <row r="1162">
      <c r="A1162" s="1"/>
      <c r="B1162" s="1"/>
    </row>
    <row r="1163">
      <c r="A1163" s="1"/>
      <c r="B1163" s="1"/>
    </row>
    <row r="1164">
      <c r="A1164" s="1"/>
      <c r="B1164" s="1"/>
    </row>
    <row r="1165">
      <c r="A1165" s="1"/>
      <c r="B1165" s="1"/>
    </row>
    <row r="1166">
      <c r="A1166" s="1"/>
      <c r="B1166" s="1"/>
    </row>
    <row r="1167">
      <c r="A1167" s="1"/>
      <c r="B1167" s="1"/>
    </row>
    <row r="1168">
      <c r="A1168" s="1"/>
      <c r="B1168" s="1"/>
    </row>
    <row r="1169">
      <c r="A1169" s="1"/>
      <c r="B1169" s="1"/>
    </row>
    <row r="1170">
      <c r="A1170" s="1"/>
      <c r="B1170" s="1"/>
    </row>
    <row r="1171">
      <c r="A1171" s="1"/>
      <c r="B1171" s="1"/>
    </row>
    <row r="1172">
      <c r="A1172" s="1"/>
      <c r="B1172" s="1"/>
    </row>
    <row r="1173">
      <c r="A1173" s="1"/>
      <c r="B1173" s="1"/>
    </row>
    <row r="1174">
      <c r="A1174" s="1"/>
      <c r="B1174" s="1"/>
    </row>
    <row r="1175">
      <c r="A1175" s="1"/>
      <c r="B1175" s="1"/>
    </row>
    <row r="1176">
      <c r="A1176" s="1"/>
      <c r="B1176" s="1"/>
    </row>
    <row r="1177">
      <c r="A1177" s="1"/>
      <c r="B1177" s="1"/>
    </row>
    <row r="1178">
      <c r="A1178" s="1"/>
      <c r="B1178" s="1"/>
    </row>
    <row r="1179">
      <c r="A1179" s="1"/>
      <c r="B1179" s="1"/>
    </row>
    <row r="1180">
      <c r="A1180" s="1"/>
      <c r="B1180" s="1"/>
    </row>
    <row r="1181">
      <c r="A1181" s="1"/>
      <c r="B1181" s="1"/>
    </row>
    <row r="1182">
      <c r="A1182" s="1"/>
      <c r="B1182" s="1"/>
    </row>
    <row r="1183">
      <c r="A1183" s="1"/>
      <c r="B1183" s="1"/>
    </row>
    <row r="1184">
      <c r="A1184" s="1"/>
      <c r="B1184" s="1"/>
    </row>
    <row r="1185">
      <c r="A1185" s="1"/>
      <c r="B1185" s="1"/>
    </row>
    <row r="1186">
      <c r="A1186" s="1"/>
      <c r="B1186" s="1"/>
    </row>
    <row r="1187">
      <c r="A1187" s="1"/>
      <c r="B1187" s="1"/>
    </row>
    <row r="1188">
      <c r="A1188" s="1"/>
      <c r="B1188" s="1"/>
    </row>
    <row r="1189">
      <c r="A1189" s="1"/>
      <c r="B1189" s="1"/>
    </row>
    <row r="1190">
      <c r="A1190" s="1"/>
      <c r="B1190" s="1"/>
    </row>
    <row r="1191">
      <c r="A1191" s="1"/>
      <c r="B1191" s="1"/>
    </row>
    <row r="1192">
      <c r="A1192" s="1"/>
      <c r="B1192" s="1"/>
    </row>
    <row r="1193">
      <c r="A1193" s="1"/>
      <c r="B1193" s="1"/>
    </row>
    <row r="1194">
      <c r="A1194" s="1"/>
      <c r="B1194" s="1"/>
    </row>
    <row r="1195">
      <c r="A1195" s="1"/>
      <c r="B1195" s="1"/>
    </row>
    <row r="1196">
      <c r="A1196" s="1"/>
      <c r="B1196" s="1"/>
    </row>
    <row r="1197">
      <c r="A1197" s="1"/>
      <c r="B1197" s="1"/>
    </row>
    <row r="1198">
      <c r="A1198" s="1"/>
      <c r="B1198" s="1"/>
    </row>
    <row r="1199">
      <c r="A1199" s="1"/>
      <c r="B1199" s="1"/>
    </row>
    <row r="1200">
      <c r="A1200" s="1"/>
      <c r="B1200" s="1"/>
    </row>
    <row r="1201">
      <c r="A1201" s="1"/>
      <c r="B1201" s="1"/>
    </row>
    <row r="1202">
      <c r="A1202" s="1"/>
      <c r="B1202" s="1"/>
    </row>
    <row r="1203">
      <c r="A1203" s="1"/>
      <c r="B1203" s="1"/>
    </row>
    <row r="1204">
      <c r="A1204" s="1"/>
      <c r="B1204" s="1"/>
    </row>
    <row r="1205">
      <c r="A1205" s="1"/>
      <c r="B1205" s="1"/>
    </row>
    <row r="1206">
      <c r="A1206" s="1"/>
      <c r="B1206" s="1"/>
    </row>
    <row r="1207">
      <c r="A1207" s="1"/>
      <c r="B1207" s="1"/>
    </row>
    <row r="1208">
      <c r="A1208" s="1"/>
      <c r="B1208" s="1"/>
    </row>
    <row r="1209">
      <c r="A1209" s="1"/>
      <c r="B1209" s="1"/>
    </row>
    <row r="1210">
      <c r="A1210" s="1"/>
      <c r="B1210" s="1"/>
    </row>
    <row r="1211">
      <c r="A1211" s="1"/>
      <c r="B1211" s="1"/>
    </row>
    <row r="1212">
      <c r="A1212" s="1"/>
      <c r="B1212" s="1"/>
    </row>
    <row r="1213">
      <c r="A1213" s="1"/>
      <c r="B1213" s="1"/>
    </row>
    <row r="1214">
      <c r="A1214" s="1"/>
      <c r="B1214" s="1"/>
    </row>
    <row r="1215">
      <c r="A1215" s="1"/>
      <c r="B1215" s="1"/>
    </row>
    <row r="1216">
      <c r="A1216" s="1"/>
      <c r="B1216" s="1"/>
    </row>
    <row r="1217">
      <c r="A1217" s="1"/>
      <c r="B1217" s="1"/>
    </row>
    <row r="1218">
      <c r="A1218" s="1"/>
      <c r="B1218" s="1"/>
    </row>
    <row r="1219">
      <c r="A1219" s="1"/>
      <c r="B1219" s="1"/>
    </row>
    <row r="1220">
      <c r="A1220" s="1"/>
      <c r="B1220" s="1"/>
    </row>
    <row r="1221">
      <c r="A1221" s="1"/>
      <c r="B1221" s="1"/>
    </row>
    <row r="1222">
      <c r="A1222" s="1"/>
      <c r="B1222" s="1"/>
    </row>
    <row r="1223">
      <c r="A1223" s="1"/>
      <c r="B1223" s="1"/>
    </row>
    <row r="1224">
      <c r="A1224" s="1"/>
      <c r="B1224" s="1"/>
    </row>
    <row r="1225">
      <c r="A1225" s="1"/>
      <c r="B1225" s="1"/>
    </row>
    <row r="1226">
      <c r="A1226" s="1"/>
      <c r="B1226" s="1"/>
    </row>
    <row r="1227">
      <c r="A1227" s="1"/>
      <c r="B1227" s="1"/>
    </row>
    <row r="1228">
      <c r="A1228" s="1"/>
      <c r="B1228" s="1"/>
    </row>
    <row r="1229">
      <c r="A1229" s="1"/>
      <c r="B1229" s="1"/>
    </row>
    <row r="1230">
      <c r="A1230" s="1"/>
      <c r="B1230" s="1"/>
    </row>
    <row r="1231">
      <c r="A1231" s="1"/>
      <c r="B1231" s="1"/>
    </row>
    <row r="1232">
      <c r="A1232" s="1"/>
      <c r="B1232" s="1"/>
    </row>
    <row r="1233">
      <c r="A1233" s="1"/>
      <c r="B1233" s="1"/>
    </row>
    <row r="1234">
      <c r="A1234" s="1"/>
      <c r="B1234" s="1"/>
    </row>
    <row r="1235">
      <c r="A1235" s="1"/>
      <c r="B1235" s="1"/>
    </row>
    <row r="1236">
      <c r="A1236" s="1"/>
      <c r="B1236" s="1"/>
    </row>
    <row r="1237">
      <c r="A1237" s="1"/>
      <c r="B1237" s="1"/>
    </row>
    <row r="1238">
      <c r="A1238" s="1"/>
      <c r="B1238" s="1"/>
    </row>
    <row r="1239">
      <c r="A1239" s="1"/>
      <c r="B1239" s="1"/>
    </row>
    <row r="1240">
      <c r="A1240" s="1"/>
      <c r="B1240" s="1"/>
    </row>
    <row r="1241">
      <c r="A1241" s="1"/>
      <c r="B1241" s="1"/>
    </row>
    <row r="1242">
      <c r="A1242" s="1"/>
      <c r="B1242" s="1"/>
    </row>
    <row r="1243">
      <c r="A1243" s="1"/>
      <c r="B1243" s="1"/>
    </row>
    <row r="1244">
      <c r="A1244" s="1"/>
      <c r="B1244" s="1"/>
    </row>
    <row r="1245">
      <c r="A1245" s="1"/>
      <c r="B1245" s="1"/>
    </row>
    <row r="1246">
      <c r="A1246" s="1"/>
      <c r="B1246" s="1"/>
    </row>
    <row r="1247">
      <c r="A1247" s="1"/>
      <c r="B1247" s="1"/>
    </row>
    <row r="1248">
      <c r="A1248" s="1"/>
      <c r="B1248" s="1"/>
    </row>
    <row r="1249">
      <c r="A1249" s="1"/>
      <c r="B1249" s="1"/>
    </row>
    <row r="1250">
      <c r="A1250" s="1"/>
      <c r="B1250" s="1"/>
    </row>
    <row r="1251">
      <c r="A1251" s="1"/>
      <c r="B1251" s="1"/>
    </row>
    <row r="1252">
      <c r="A1252" s="1"/>
      <c r="B1252" s="1"/>
    </row>
    <row r="1253">
      <c r="A1253" s="1"/>
      <c r="B1253" s="1"/>
    </row>
    <row r="1254">
      <c r="A1254" s="1"/>
      <c r="B1254" s="1"/>
    </row>
    <row r="1255">
      <c r="A1255" s="1"/>
      <c r="B1255" s="1"/>
    </row>
    <row r="1256">
      <c r="A1256" s="1"/>
      <c r="B1256" s="1"/>
    </row>
    <row r="1257">
      <c r="A1257" s="1"/>
      <c r="B1257" s="1"/>
    </row>
    <row r="1258">
      <c r="A1258" s="1"/>
      <c r="B1258" s="1"/>
    </row>
    <row r="1259">
      <c r="A1259" s="1"/>
      <c r="B1259" s="1"/>
    </row>
    <row r="1260">
      <c r="A1260" s="1"/>
      <c r="B1260" s="1"/>
    </row>
    <row r="1261">
      <c r="A1261" s="1"/>
      <c r="B1261" s="1"/>
    </row>
    <row r="1262">
      <c r="A1262" s="1"/>
      <c r="B1262" s="1"/>
    </row>
    <row r="1263">
      <c r="A1263" s="1"/>
      <c r="B1263" s="1"/>
    </row>
    <row r="1264">
      <c r="A1264" s="1"/>
      <c r="B1264" s="1"/>
    </row>
    <row r="1265">
      <c r="A1265" s="1"/>
      <c r="B1265" s="1"/>
    </row>
    <row r="1266">
      <c r="A1266" s="1"/>
      <c r="B1266" s="1"/>
    </row>
    <row r="1267">
      <c r="A1267" s="1"/>
      <c r="B1267" s="1"/>
    </row>
    <row r="1268">
      <c r="A1268" s="1"/>
      <c r="B1268" s="1"/>
    </row>
    <row r="1269">
      <c r="A1269" s="1"/>
      <c r="B1269" s="1"/>
    </row>
    <row r="1270">
      <c r="A1270" s="1"/>
      <c r="B1270" s="1"/>
    </row>
    <row r="1271">
      <c r="A1271" s="1"/>
      <c r="B1271" s="1"/>
    </row>
    <row r="1272">
      <c r="A1272" s="1"/>
      <c r="B1272" s="1"/>
    </row>
    <row r="1273">
      <c r="A1273" s="1"/>
      <c r="B1273" s="1"/>
    </row>
    <row r="1274">
      <c r="A1274" s="1"/>
      <c r="B1274" s="1"/>
    </row>
    <row r="1275">
      <c r="A1275" s="1"/>
      <c r="B1275" s="1"/>
    </row>
    <row r="1276">
      <c r="A1276" s="1"/>
      <c r="B1276" s="1"/>
    </row>
    <row r="1277">
      <c r="A1277" s="1"/>
      <c r="B1277" s="1"/>
    </row>
    <row r="1278">
      <c r="A1278" s="1"/>
      <c r="B1278" s="1"/>
    </row>
    <row r="1279">
      <c r="A1279" s="1"/>
      <c r="B1279" s="1"/>
    </row>
    <row r="1280">
      <c r="A1280" s="1"/>
      <c r="B1280" s="1"/>
    </row>
    <row r="1281">
      <c r="A1281" s="1"/>
      <c r="B1281" s="1"/>
    </row>
    <row r="1282">
      <c r="A1282" s="1"/>
      <c r="B1282" s="1"/>
    </row>
    <row r="1283">
      <c r="A1283" s="1"/>
      <c r="B1283" s="1"/>
    </row>
    <row r="1284">
      <c r="A1284" s="1"/>
      <c r="B1284" s="1"/>
    </row>
    <row r="1285">
      <c r="A1285" s="1"/>
      <c r="B1285" s="1"/>
    </row>
    <row r="1286">
      <c r="A1286" s="1"/>
      <c r="B1286" s="1"/>
    </row>
    <row r="1287">
      <c r="A1287" s="1"/>
      <c r="B1287" s="1"/>
    </row>
    <row r="1288">
      <c r="A1288" s="1"/>
      <c r="B1288" s="1"/>
    </row>
    <row r="1289">
      <c r="A1289" s="1"/>
      <c r="B1289" s="1"/>
    </row>
    <row r="1290">
      <c r="A1290" s="1"/>
      <c r="B1290" s="1"/>
    </row>
    <row r="1291">
      <c r="A1291" s="1"/>
      <c r="B1291" s="1"/>
    </row>
    <row r="1292">
      <c r="A1292" s="1"/>
      <c r="B1292" s="1"/>
    </row>
    <row r="1293">
      <c r="A1293" s="1"/>
      <c r="B1293" s="1"/>
    </row>
    <row r="1294">
      <c r="A1294" s="1"/>
      <c r="B1294" s="1"/>
    </row>
    <row r="1295">
      <c r="A1295" s="1"/>
      <c r="B1295" s="1"/>
    </row>
    <row r="1296">
      <c r="A1296" s="1"/>
      <c r="B1296" s="1"/>
    </row>
    <row r="1297">
      <c r="A1297" s="1"/>
      <c r="B1297" s="1"/>
    </row>
    <row r="1298">
      <c r="A1298" s="1"/>
      <c r="B1298" s="1"/>
    </row>
    <row r="1299">
      <c r="A1299" s="1"/>
      <c r="B1299" s="1"/>
    </row>
    <row r="1300">
      <c r="A1300" s="1"/>
      <c r="B1300" s="1"/>
    </row>
    <row r="1301">
      <c r="A1301" s="1"/>
      <c r="B1301" s="1"/>
    </row>
    <row r="1302">
      <c r="A1302" s="1"/>
      <c r="B1302" s="1"/>
    </row>
    <row r="1303">
      <c r="A1303" s="1"/>
      <c r="B1303" s="1"/>
    </row>
    <row r="1304">
      <c r="A1304" s="1"/>
      <c r="B1304" s="1"/>
    </row>
    <row r="1305">
      <c r="A1305" s="1"/>
      <c r="B1305" s="1"/>
    </row>
    <row r="1306">
      <c r="A1306" s="1"/>
      <c r="B1306" s="1"/>
    </row>
    <row r="1307">
      <c r="A1307" s="1"/>
      <c r="B1307" s="1"/>
    </row>
    <row r="1308">
      <c r="A1308" s="1"/>
      <c r="B1308" s="1"/>
    </row>
    <row r="1309">
      <c r="A1309" s="1"/>
      <c r="B1309" s="1"/>
    </row>
    <row r="1310">
      <c r="A1310" s="1"/>
      <c r="B1310" s="1"/>
    </row>
    <row r="1311">
      <c r="A1311" s="1"/>
      <c r="B1311" s="1"/>
    </row>
    <row r="1312">
      <c r="A1312" s="1"/>
      <c r="B1312" s="1"/>
    </row>
    <row r="1313">
      <c r="A1313" s="1"/>
      <c r="B1313" s="1"/>
    </row>
    <row r="1314">
      <c r="A1314" s="1"/>
      <c r="B1314" s="1"/>
    </row>
    <row r="1315">
      <c r="A1315" s="1"/>
      <c r="B1315" s="1"/>
    </row>
    <row r="1316">
      <c r="A1316" s="1"/>
      <c r="B1316" s="1"/>
    </row>
    <row r="1317">
      <c r="A1317" s="1"/>
      <c r="B1317" s="1"/>
    </row>
    <row r="1318">
      <c r="A1318" s="1"/>
      <c r="B1318" s="1"/>
    </row>
    <row r="1319">
      <c r="A1319" s="1"/>
      <c r="B1319" s="1"/>
    </row>
    <row r="1320">
      <c r="A1320" s="1"/>
      <c r="B1320" s="1"/>
    </row>
    <row r="1321">
      <c r="A1321" s="1"/>
      <c r="B1321" s="1"/>
    </row>
    <row r="1322">
      <c r="A1322" s="1"/>
      <c r="B1322" s="1"/>
    </row>
    <row r="1323">
      <c r="A1323" s="1"/>
      <c r="B1323" s="1"/>
    </row>
    <row r="1324">
      <c r="A1324" s="1"/>
      <c r="B1324" s="1"/>
    </row>
    <row r="1325">
      <c r="A1325" s="1"/>
      <c r="B1325" s="1"/>
    </row>
    <row r="1326">
      <c r="A1326" s="1"/>
      <c r="B1326" s="1"/>
    </row>
    <row r="1327">
      <c r="A1327" s="1"/>
      <c r="B1327" s="1"/>
    </row>
    <row r="1328">
      <c r="A1328" s="1"/>
      <c r="B1328" s="1"/>
    </row>
    <row r="1329">
      <c r="A1329" s="1"/>
      <c r="B1329" s="1"/>
    </row>
    <row r="1330">
      <c r="A1330" s="1"/>
      <c r="B1330" s="1"/>
    </row>
    <row r="1331">
      <c r="A1331" s="1"/>
      <c r="B1331" s="1"/>
    </row>
    <row r="1332">
      <c r="A1332" s="1"/>
      <c r="B1332" s="1"/>
    </row>
    <row r="1333">
      <c r="A1333" s="1"/>
      <c r="B1333" s="1"/>
    </row>
    <row r="1334">
      <c r="A1334" s="1"/>
      <c r="B1334" s="1"/>
    </row>
    <row r="1335">
      <c r="A1335" s="1"/>
      <c r="B1335" s="1"/>
    </row>
    <row r="1336">
      <c r="A1336" s="1"/>
      <c r="B1336" s="1"/>
    </row>
    <row r="1337">
      <c r="A1337" s="1"/>
      <c r="B1337" s="1"/>
    </row>
    <row r="1338">
      <c r="A1338" s="1"/>
      <c r="B1338" s="1"/>
    </row>
    <row r="1339">
      <c r="A1339" s="1"/>
      <c r="B1339" s="1"/>
    </row>
    <row r="1340">
      <c r="A1340" s="1"/>
      <c r="B1340" s="1"/>
    </row>
    <row r="1341">
      <c r="A1341" s="1"/>
      <c r="B1341" s="1"/>
    </row>
    <row r="1342">
      <c r="A1342" s="1"/>
      <c r="B1342" s="1"/>
    </row>
    <row r="1343">
      <c r="A1343" s="1"/>
      <c r="B1343" s="1"/>
    </row>
    <row r="1344">
      <c r="A1344" s="1"/>
      <c r="B1344" s="1"/>
    </row>
    <row r="1345">
      <c r="A1345" s="1"/>
      <c r="B1345" s="1"/>
    </row>
    <row r="1346">
      <c r="A1346" s="1"/>
      <c r="B1346" s="1"/>
    </row>
    <row r="1347">
      <c r="A1347" s="1"/>
      <c r="B1347" s="1"/>
    </row>
    <row r="1348">
      <c r="A1348" s="1"/>
      <c r="B1348" s="1"/>
    </row>
    <row r="1349">
      <c r="A1349" s="1"/>
      <c r="B1349" s="1"/>
    </row>
    <row r="1350">
      <c r="A1350" s="1"/>
      <c r="B1350" s="1"/>
    </row>
    <row r="1351">
      <c r="A1351" s="1"/>
      <c r="B1351" s="1"/>
    </row>
    <row r="1352">
      <c r="A1352" s="1"/>
      <c r="B1352" s="1"/>
    </row>
    <row r="1353">
      <c r="A1353" s="1"/>
      <c r="B1353" s="1"/>
    </row>
    <row r="1354">
      <c r="A1354" s="1"/>
      <c r="B1354" s="1"/>
    </row>
    <row r="1355">
      <c r="A1355" s="1"/>
      <c r="B1355" s="1"/>
    </row>
    <row r="1356">
      <c r="A1356" s="1"/>
      <c r="B1356" s="1"/>
    </row>
    <row r="1357">
      <c r="A1357" s="1"/>
      <c r="B1357" s="1"/>
    </row>
    <row r="1358">
      <c r="A1358" s="1"/>
      <c r="B1358" s="1"/>
    </row>
    <row r="1359">
      <c r="A1359" s="1"/>
      <c r="B1359" s="1"/>
    </row>
    <row r="1360">
      <c r="A1360" s="1"/>
      <c r="B1360" s="1"/>
    </row>
    <row r="1361">
      <c r="A1361" s="1"/>
      <c r="B1361" s="1"/>
    </row>
    <row r="1362">
      <c r="A1362" s="1"/>
      <c r="B1362" s="1"/>
    </row>
    <row r="1363">
      <c r="A1363" s="1"/>
      <c r="B1363" s="1"/>
    </row>
    <row r="1364">
      <c r="A1364" s="1"/>
      <c r="B1364" s="1"/>
    </row>
    <row r="1365">
      <c r="A1365" s="1"/>
      <c r="B1365" s="1"/>
    </row>
    <row r="1366">
      <c r="A1366" s="1"/>
      <c r="B1366" s="1"/>
    </row>
    <row r="1367">
      <c r="A1367" s="1"/>
      <c r="B1367" s="1"/>
    </row>
    <row r="1368">
      <c r="A1368" s="1"/>
      <c r="B1368" s="1"/>
    </row>
    <row r="1369">
      <c r="A1369" s="1"/>
      <c r="B1369" s="1"/>
    </row>
    <row r="1370">
      <c r="A1370" s="1"/>
      <c r="B1370" s="1"/>
    </row>
    <row r="1371">
      <c r="A1371" s="1"/>
      <c r="B1371" s="1"/>
    </row>
    <row r="1372">
      <c r="A1372" s="1"/>
      <c r="B1372" s="1"/>
    </row>
    <row r="1373">
      <c r="A1373" s="1"/>
      <c r="B1373" s="1"/>
    </row>
    <row r="1374">
      <c r="A1374" s="1"/>
      <c r="B1374" s="1"/>
    </row>
    <row r="1375">
      <c r="A1375" s="1"/>
      <c r="B1375" s="1"/>
    </row>
    <row r="1376">
      <c r="A1376" s="1"/>
      <c r="B1376" s="1"/>
    </row>
    <row r="1377">
      <c r="A1377" s="1"/>
      <c r="B1377" s="1"/>
    </row>
    <row r="1378">
      <c r="A1378" s="1"/>
      <c r="B1378" s="1"/>
    </row>
    <row r="1379">
      <c r="A1379" s="1"/>
      <c r="B1379" s="1"/>
    </row>
    <row r="1380">
      <c r="A1380" s="1"/>
      <c r="B1380" s="1"/>
    </row>
    <row r="1381">
      <c r="A1381" s="1"/>
      <c r="B1381" s="1"/>
    </row>
    <row r="1382">
      <c r="A1382" s="1"/>
      <c r="B1382" s="1"/>
    </row>
    <row r="1383">
      <c r="A1383" s="1"/>
      <c r="B1383" s="1"/>
    </row>
    <row r="1384">
      <c r="A1384" s="1"/>
      <c r="B1384" s="1"/>
    </row>
    <row r="1385">
      <c r="A1385" s="1"/>
      <c r="B1385" s="1"/>
    </row>
    <row r="1386">
      <c r="A1386" s="1"/>
      <c r="B1386" s="1"/>
    </row>
    <row r="1387">
      <c r="A1387" s="1"/>
      <c r="B1387" s="1"/>
    </row>
    <row r="1388">
      <c r="A1388" s="1"/>
      <c r="B1388" s="1"/>
    </row>
    <row r="1389">
      <c r="A1389" s="1"/>
      <c r="B1389" s="1"/>
    </row>
    <row r="1390">
      <c r="A1390" s="1"/>
      <c r="B1390" s="1"/>
    </row>
    <row r="1391">
      <c r="A1391" s="1"/>
      <c r="B1391" s="1"/>
    </row>
    <row r="1392">
      <c r="A1392" s="1"/>
      <c r="B1392" s="1"/>
    </row>
    <row r="1393">
      <c r="A1393" s="1"/>
      <c r="B1393" s="1"/>
    </row>
    <row r="1394">
      <c r="A1394" s="1"/>
      <c r="B1394" s="1"/>
    </row>
    <row r="1395">
      <c r="A1395" s="1"/>
      <c r="B1395" s="1"/>
    </row>
    <row r="1396">
      <c r="A1396" s="1"/>
      <c r="B1396" s="1"/>
    </row>
    <row r="1397">
      <c r="A1397" s="1"/>
      <c r="B1397" s="1"/>
    </row>
    <row r="1398">
      <c r="A1398" s="1"/>
      <c r="B1398" s="1"/>
    </row>
    <row r="1399">
      <c r="A1399" s="1"/>
      <c r="B1399" s="1"/>
    </row>
    <row r="1400">
      <c r="A1400" s="1"/>
      <c r="B1400" s="1"/>
    </row>
    <row r="1401">
      <c r="A1401" s="1"/>
      <c r="B1401" s="1"/>
    </row>
    <row r="1402">
      <c r="A1402" s="1"/>
      <c r="B1402" s="1"/>
    </row>
    <row r="1403">
      <c r="A1403" s="1"/>
      <c r="B1403" s="1"/>
    </row>
    <row r="1404">
      <c r="A1404" s="1"/>
      <c r="B1404" s="1"/>
    </row>
    <row r="1405">
      <c r="A1405" s="1"/>
      <c r="B1405" s="1"/>
    </row>
    <row r="1406">
      <c r="A1406" s="1"/>
      <c r="B1406" s="1"/>
    </row>
    <row r="1407">
      <c r="A1407" s="1"/>
      <c r="B1407" s="1"/>
    </row>
    <row r="1408">
      <c r="A1408" s="1"/>
      <c r="B1408" s="1"/>
    </row>
    <row r="1409">
      <c r="A1409" s="1"/>
      <c r="B1409" s="1"/>
    </row>
    <row r="1410">
      <c r="A1410" s="1"/>
      <c r="B1410" s="1"/>
    </row>
    <row r="1411">
      <c r="A1411" s="1"/>
      <c r="B1411" s="1"/>
    </row>
    <row r="1412">
      <c r="A1412" s="1"/>
      <c r="B1412" s="1"/>
    </row>
    <row r="1413">
      <c r="A1413" s="1"/>
      <c r="B1413" s="1"/>
    </row>
    <row r="1414">
      <c r="A1414" s="1"/>
      <c r="B1414" s="1"/>
    </row>
    <row r="1415">
      <c r="A1415" s="1"/>
      <c r="B1415" s="1"/>
    </row>
    <row r="1416">
      <c r="A1416" s="1"/>
      <c r="B1416" s="1"/>
    </row>
    <row r="1417">
      <c r="A1417" s="1"/>
      <c r="B1417" s="1"/>
    </row>
    <row r="1418">
      <c r="A1418" s="1"/>
      <c r="B1418" s="1"/>
    </row>
    <row r="1419">
      <c r="A1419" s="1"/>
      <c r="B1419" s="1"/>
    </row>
    <row r="1420">
      <c r="A1420" s="1"/>
      <c r="B1420" s="1"/>
    </row>
    <row r="1421">
      <c r="A1421" s="1"/>
      <c r="B1421" s="1"/>
    </row>
    <row r="1422">
      <c r="A1422" s="1"/>
      <c r="B1422" s="1"/>
    </row>
    <row r="1423">
      <c r="A1423" s="1"/>
      <c r="B1423" s="1"/>
    </row>
    <row r="1424">
      <c r="A1424" s="1"/>
      <c r="B1424" s="1"/>
    </row>
    <row r="1425">
      <c r="A1425" s="1"/>
      <c r="B1425" s="1"/>
    </row>
    <row r="1426">
      <c r="A1426" s="1"/>
      <c r="B1426" s="1"/>
    </row>
    <row r="1427">
      <c r="A1427" s="1"/>
      <c r="B1427" s="1"/>
    </row>
    <row r="1428">
      <c r="A1428" s="1"/>
      <c r="B1428" s="1"/>
    </row>
    <row r="1429">
      <c r="A1429" s="1"/>
      <c r="B1429" s="1"/>
    </row>
    <row r="1430">
      <c r="A1430" s="1"/>
      <c r="B1430" s="1"/>
    </row>
    <row r="1431">
      <c r="A1431" s="1"/>
      <c r="B1431" s="1"/>
    </row>
    <row r="1432">
      <c r="A1432" s="1"/>
      <c r="B1432" s="1"/>
    </row>
    <row r="1433">
      <c r="A1433" s="1"/>
      <c r="B1433" s="1"/>
    </row>
    <row r="1434">
      <c r="A1434" s="1"/>
      <c r="B1434" s="1"/>
    </row>
    <row r="1435">
      <c r="A1435" s="1"/>
      <c r="B1435" s="1"/>
    </row>
    <row r="1436">
      <c r="A1436" s="1"/>
      <c r="B1436" s="1"/>
    </row>
    <row r="1437">
      <c r="A1437" s="1"/>
      <c r="B1437" s="1"/>
    </row>
    <row r="1438">
      <c r="A1438" s="1"/>
      <c r="B1438" s="1"/>
    </row>
    <row r="1439">
      <c r="A1439" s="1"/>
      <c r="B1439" s="1"/>
    </row>
    <row r="1440">
      <c r="A1440" s="1"/>
      <c r="B1440" s="1"/>
    </row>
    <row r="1441">
      <c r="A1441" s="1"/>
      <c r="B1441" s="1"/>
    </row>
    <row r="1442">
      <c r="A1442" s="1"/>
      <c r="B1442" s="1"/>
    </row>
    <row r="1443">
      <c r="A1443" s="1"/>
      <c r="B1443" s="1"/>
    </row>
    <row r="1444">
      <c r="A1444" s="1"/>
      <c r="B1444" s="1"/>
    </row>
    <row r="1445">
      <c r="A1445" s="1"/>
      <c r="B1445" s="1"/>
    </row>
    <row r="1446">
      <c r="A1446" s="1"/>
      <c r="B1446" s="1"/>
    </row>
    <row r="1447">
      <c r="A1447" s="1"/>
      <c r="B1447" s="1"/>
    </row>
    <row r="1448">
      <c r="A1448" s="1"/>
      <c r="B1448" s="1"/>
    </row>
    <row r="1449">
      <c r="A1449" s="1"/>
      <c r="B1449" s="1"/>
    </row>
    <row r="1450">
      <c r="A1450" s="1"/>
      <c r="B1450" s="1"/>
    </row>
    <row r="1451">
      <c r="A1451" s="1"/>
      <c r="B1451" s="1"/>
    </row>
    <row r="1452">
      <c r="A1452" s="1"/>
      <c r="B1452" s="1"/>
    </row>
    <row r="1453">
      <c r="A1453" s="1"/>
      <c r="B1453" s="1"/>
    </row>
    <row r="1454">
      <c r="A1454" s="1"/>
      <c r="B1454" s="1"/>
    </row>
    <row r="1455">
      <c r="A1455" s="1"/>
      <c r="B1455" s="1"/>
    </row>
    <row r="1456">
      <c r="A1456" s="1"/>
      <c r="B1456" s="1"/>
    </row>
    <row r="1457">
      <c r="A1457" s="1"/>
      <c r="B1457" s="1"/>
    </row>
    <row r="1458">
      <c r="A1458" s="1"/>
      <c r="B1458" s="1"/>
    </row>
    <row r="1459">
      <c r="A1459" s="1"/>
      <c r="B1459" s="1"/>
    </row>
    <row r="1460">
      <c r="A1460" s="1"/>
      <c r="B1460" s="1"/>
    </row>
    <row r="1461">
      <c r="A1461" s="1"/>
      <c r="B1461" s="1"/>
    </row>
    <row r="1462">
      <c r="A1462" s="1"/>
      <c r="B1462" s="1"/>
    </row>
    <row r="1463">
      <c r="A1463" s="1"/>
      <c r="B1463" s="1"/>
    </row>
    <row r="1464">
      <c r="A1464" s="1"/>
      <c r="B1464" s="1"/>
    </row>
    <row r="1465">
      <c r="A1465" s="1"/>
      <c r="B1465" s="1"/>
    </row>
    <row r="1466">
      <c r="A1466" s="1"/>
      <c r="B1466" s="1"/>
    </row>
    <row r="1467">
      <c r="A1467" s="1"/>
      <c r="B1467" s="1"/>
    </row>
    <row r="1468">
      <c r="A1468" s="1"/>
      <c r="B1468" s="1"/>
    </row>
    <row r="1469">
      <c r="A1469" s="1"/>
      <c r="B1469" s="1"/>
    </row>
    <row r="1470">
      <c r="A1470" s="1"/>
      <c r="B1470" s="1"/>
    </row>
    <row r="1471">
      <c r="A1471" s="1"/>
      <c r="B1471" s="1"/>
    </row>
    <row r="1472">
      <c r="A1472" s="1"/>
      <c r="B1472" s="1"/>
    </row>
    <row r="1473">
      <c r="A1473" s="1"/>
      <c r="B1473" s="1"/>
    </row>
    <row r="1474">
      <c r="A1474" s="1"/>
      <c r="B1474" s="1"/>
    </row>
    <row r="1475">
      <c r="A1475" s="1"/>
      <c r="B1475" s="1"/>
    </row>
    <row r="1476">
      <c r="A1476" s="1"/>
      <c r="B1476" s="1"/>
    </row>
    <row r="1477">
      <c r="A1477" s="1"/>
      <c r="B1477" s="1"/>
    </row>
    <row r="1478">
      <c r="A1478" s="1"/>
      <c r="B1478" s="1"/>
    </row>
    <row r="1479">
      <c r="A1479" s="1"/>
      <c r="B1479" s="1"/>
    </row>
    <row r="1480">
      <c r="A1480" s="1"/>
      <c r="B1480" s="1"/>
    </row>
    <row r="1481">
      <c r="A1481" s="1"/>
      <c r="B1481" s="1"/>
    </row>
    <row r="1482">
      <c r="A1482" s="1"/>
      <c r="B1482" s="1"/>
    </row>
    <row r="1483">
      <c r="A1483" s="1"/>
      <c r="B1483" s="1"/>
    </row>
    <row r="1484">
      <c r="A1484" s="1"/>
      <c r="B1484" s="1"/>
    </row>
    <row r="1485">
      <c r="A1485" s="1"/>
      <c r="B1485" s="1"/>
    </row>
    <row r="1486">
      <c r="A1486" s="1"/>
      <c r="B1486" s="1"/>
    </row>
    <row r="1487">
      <c r="A1487" s="1"/>
      <c r="B1487" s="1"/>
    </row>
    <row r="1488">
      <c r="A1488" s="1"/>
      <c r="B1488" s="1"/>
    </row>
    <row r="1489">
      <c r="A1489" s="1"/>
      <c r="B1489" s="1"/>
    </row>
    <row r="1490">
      <c r="A1490" s="1"/>
      <c r="B1490" s="1"/>
    </row>
    <row r="1491">
      <c r="A1491" s="1"/>
      <c r="B1491" s="1"/>
    </row>
    <row r="1492">
      <c r="A1492" s="1"/>
      <c r="B1492" s="1"/>
    </row>
    <row r="1493">
      <c r="A1493" s="1"/>
      <c r="B1493" s="1"/>
    </row>
    <row r="1494">
      <c r="A1494" s="1"/>
      <c r="B1494" s="1"/>
    </row>
    <row r="1495">
      <c r="A1495" s="1"/>
      <c r="B1495" s="1"/>
    </row>
    <row r="1496">
      <c r="A1496" s="1"/>
      <c r="B1496" s="1"/>
    </row>
    <row r="1497">
      <c r="A1497" s="1"/>
      <c r="B1497" s="1"/>
    </row>
    <row r="1498">
      <c r="A1498" s="1"/>
      <c r="B1498" s="1"/>
    </row>
    <row r="1499">
      <c r="A1499" s="1"/>
      <c r="B1499" s="1"/>
    </row>
    <row r="1500">
      <c r="A1500" s="1"/>
      <c r="B1500" s="1"/>
    </row>
    <row r="1501">
      <c r="A1501" s="1"/>
      <c r="B1501" s="1"/>
    </row>
    <row r="1502">
      <c r="A1502" s="1"/>
      <c r="B1502" s="1"/>
    </row>
    <row r="1503">
      <c r="A1503" s="1"/>
      <c r="B1503" s="1"/>
    </row>
    <row r="1504">
      <c r="A1504" s="1"/>
      <c r="B1504" s="1"/>
    </row>
    <row r="1505">
      <c r="A1505" s="1"/>
      <c r="B1505" s="1"/>
    </row>
    <row r="1506">
      <c r="A1506" s="1"/>
      <c r="B1506" s="1"/>
    </row>
    <row r="1507">
      <c r="A1507" s="1"/>
      <c r="B1507" s="1"/>
    </row>
    <row r="1508">
      <c r="A1508" s="1"/>
      <c r="B1508" s="1"/>
    </row>
    <row r="1509">
      <c r="A1509" s="1"/>
      <c r="B1509" s="1"/>
    </row>
    <row r="1510">
      <c r="A1510" s="1"/>
      <c r="B1510" s="1"/>
    </row>
    <row r="1511">
      <c r="A1511" s="1"/>
      <c r="B1511" s="1"/>
    </row>
    <row r="1512">
      <c r="A1512" s="1"/>
      <c r="B1512" s="1"/>
    </row>
    <row r="1513">
      <c r="A1513" s="1"/>
      <c r="B1513" s="1"/>
    </row>
    <row r="1514">
      <c r="A1514" s="1"/>
      <c r="B1514" s="1"/>
    </row>
    <row r="1515">
      <c r="A1515" s="1"/>
      <c r="B1515" s="1"/>
    </row>
    <row r="1516">
      <c r="A1516" s="1"/>
      <c r="B1516" s="1"/>
    </row>
    <row r="1517">
      <c r="A1517" s="1"/>
      <c r="B1517" s="1"/>
    </row>
  </sheetData>
  <drawing r:id="rId1"/>
</worksheet>
</file>