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HP\00_HODNOTA_ZA_PENIAZE\01x_INVESTICIE\02_NDS\02_D1_DOKONCENIE\D1_Visnove\Podklady_Verejne\"/>
    </mc:Choice>
  </mc:AlternateContent>
  <bookViews>
    <workbookView xWindow="0" yWindow="0" windowWidth="28800" windowHeight="14235"/>
  </bookViews>
  <sheets>
    <sheet name="sumar" sheetId="6" r:id="rId1"/>
    <sheet name="scenare" sheetId="8" r:id="rId2"/>
    <sheet name="useky" sheetId="9" r:id="rId3"/>
    <sheet name="opex" sheetId="5" r:id="rId4"/>
    <sheet name="prinosy" sheetId="1" r:id="rId5"/>
    <sheet name="1_cas" sheetId="7" r:id="rId6"/>
    <sheet name="3_spotreba" sheetId="4" r:id="rId7"/>
    <sheet name="4_nehodovost" sheetId="2" r:id="rId8"/>
    <sheet name="5_externality" sheetId="3" r:id="rId9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I3" i="5"/>
  <c r="C7" i="5"/>
  <c r="C6" i="5"/>
  <c r="AL11" i="6"/>
  <c r="C18" i="3"/>
  <c r="C14" i="3"/>
  <c r="C17" i="3"/>
  <c r="C11" i="4"/>
  <c r="C15" i="5"/>
  <c r="C14" i="5"/>
  <c r="I2" i="5"/>
  <c r="C13" i="5"/>
  <c r="H2" i="5"/>
  <c r="J2" i="5"/>
  <c r="K2" i="5"/>
  <c r="C16" i="5"/>
  <c r="H3" i="5"/>
  <c r="J3" i="5"/>
  <c r="K3" i="5"/>
  <c r="K4" i="5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L3" i="6"/>
  <c r="E23" i="9"/>
  <c r="D27" i="9"/>
  <c r="C27" i="9"/>
  <c r="E27" i="9"/>
  <c r="F27" i="9"/>
  <c r="D4" i="9"/>
  <c r="D25" i="9"/>
  <c r="C25" i="9"/>
  <c r="E25" i="9"/>
  <c r="F24" i="9"/>
  <c r="D3" i="9"/>
  <c r="C4" i="9"/>
  <c r="C3" i="9"/>
  <c r="D19" i="9"/>
  <c r="E19" i="9"/>
  <c r="F19" i="9"/>
  <c r="F16" i="9"/>
  <c r="E15" i="9"/>
  <c r="C19" i="9"/>
  <c r="E17" i="9"/>
  <c r="D17" i="9"/>
  <c r="C17" i="9"/>
  <c r="D2" i="9"/>
  <c r="D6" i="9"/>
  <c r="C2" i="9"/>
  <c r="C6" i="9"/>
  <c r="D5" i="9"/>
  <c r="C5" i="9"/>
  <c r="C12" i="1"/>
  <c r="C5" i="1"/>
  <c r="C10" i="7"/>
  <c r="C13" i="1"/>
  <c r="C6" i="1"/>
  <c r="H2" i="1"/>
  <c r="H3" i="1"/>
  <c r="C7" i="1"/>
  <c r="I2" i="1"/>
  <c r="I3" i="1"/>
  <c r="J3" i="1"/>
  <c r="K3" i="1"/>
  <c r="H5" i="1"/>
  <c r="H6" i="1"/>
  <c r="I5" i="1"/>
  <c r="I6" i="1"/>
  <c r="J6" i="1"/>
  <c r="K6" i="1"/>
  <c r="C5" i="4"/>
  <c r="C18" i="1"/>
  <c r="C12" i="4"/>
  <c r="C19" i="1"/>
  <c r="H8" i="1"/>
  <c r="H9" i="1"/>
  <c r="I8" i="1"/>
  <c r="I9" i="1"/>
  <c r="J9" i="1"/>
  <c r="K9" i="1"/>
  <c r="C21" i="1"/>
  <c r="H11" i="1"/>
  <c r="H12" i="1"/>
  <c r="I11" i="1"/>
  <c r="I12" i="1"/>
  <c r="J12" i="1"/>
  <c r="K12" i="1"/>
  <c r="C22" i="3"/>
  <c r="C24" i="3"/>
  <c r="C27" i="3"/>
  <c r="C30" i="3"/>
  <c r="C24" i="1"/>
  <c r="C23" i="3"/>
  <c r="C25" i="3"/>
  <c r="C31" i="3"/>
  <c r="C25" i="1"/>
  <c r="H14" i="1"/>
  <c r="H15" i="1"/>
  <c r="I14" i="1"/>
  <c r="I15" i="1"/>
  <c r="J15" i="1"/>
  <c r="K15" i="1"/>
  <c r="L5" i="6"/>
  <c r="L6" i="6"/>
  <c r="L7" i="6"/>
  <c r="L8" i="6"/>
  <c r="L9" i="6"/>
  <c r="L10" i="6"/>
  <c r="M5" i="6"/>
  <c r="M6" i="6"/>
  <c r="M7" i="6"/>
  <c r="M8" i="6"/>
  <c r="M9" i="6"/>
  <c r="M10" i="6"/>
  <c r="N5" i="6"/>
  <c r="N6" i="6"/>
  <c r="N7" i="6"/>
  <c r="N8" i="6"/>
  <c r="N9" i="6"/>
  <c r="N10" i="6"/>
  <c r="O5" i="6"/>
  <c r="O6" i="6"/>
  <c r="O7" i="6"/>
  <c r="O8" i="6"/>
  <c r="O9" i="6"/>
  <c r="O10" i="6"/>
  <c r="P5" i="6"/>
  <c r="P6" i="6"/>
  <c r="P7" i="6"/>
  <c r="P8" i="6"/>
  <c r="P9" i="6"/>
  <c r="P10" i="6"/>
  <c r="Q5" i="6"/>
  <c r="Q6" i="6"/>
  <c r="Q7" i="6"/>
  <c r="Q8" i="6"/>
  <c r="Q9" i="6"/>
  <c r="Q10" i="6"/>
  <c r="R5" i="6"/>
  <c r="R6" i="6"/>
  <c r="R7" i="6"/>
  <c r="R8" i="6"/>
  <c r="R9" i="6"/>
  <c r="R10" i="6"/>
  <c r="S5" i="6"/>
  <c r="S6" i="6"/>
  <c r="S7" i="6"/>
  <c r="S8" i="6"/>
  <c r="S9" i="6"/>
  <c r="S10" i="6"/>
  <c r="T5" i="6"/>
  <c r="T6" i="6"/>
  <c r="T7" i="6"/>
  <c r="T8" i="6"/>
  <c r="T9" i="6"/>
  <c r="T10" i="6"/>
  <c r="U5" i="6"/>
  <c r="U6" i="6"/>
  <c r="U7" i="6"/>
  <c r="U8" i="6"/>
  <c r="U9" i="6"/>
  <c r="U10" i="6"/>
  <c r="V5" i="6"/>
  <c r="V6" i="6"/>
  <c r="V7" i="6"/>
  <c r="V8" i="6"/>
  <c r="V9" i="6"/>
  <c r="V10" i="6"/>
  <c r="W5" i="6"/>
  <c r="W6" i="6"/>
  <c r="W7" i="6"/>
  <c r="W8" i="6"/>
  <c r="W9" i="6"/>
  <c r="W10" i="6"/>
  <c r="X5" i="6"/>
  <c r="X6" i="6"/>
  <c r="X7" i="6"/>
  <c r="X8" i="6"/>
  <c r="X9" i="6"/>
  <c r="X10" i="6"/>
  <c r="Y5" i="6"/>
  <c r="Y6" i="6"/>
  <c r="Y7" i="6"/>
  <c r="Y8" i="6"/>
  <c r="Y9" i="6"/>
  <c r="Y10" i="6"/>
  <c r="Z5" i="6"/>
  <c r="Z6" i="6"/>
  <c r="Z7" i="6"/>
  <c r="Z8" i="6"/>
  <c r="Z9" i="6"/>
  <c r="Z10" i="6"/>
  <c r="AA5" i="6"/>
  <c r="AA6" i="6"/>
  <c r="AA7" i="6"/>
  <c r="AA8" i="6"/>
  <c r="AA9" i="6"/>
  <c r="AA10" i="6"/>
  <c r="AB5" i="6"/>
  <c r="AB6" i="6"/>
  <c r="AB7" i="6"/>
  <c r="AB8" i="6"/>
  <c r="AB9" i="6"/>
  <c r="AB10" i="6"/>
  <c r="AC5" i="6"/>
  <c r="AC6" i="6"/>
  <c r="AC7" i="6"/>
  <c r="AC8" i="6"/>
  <c r="AC9" i="6"/>
  <c r="AC10" i="6"/>
  <c r="AD5" i="6"/>
  <c r="AD6" i="6"/>
  <c r="AD7" i="6"/>
  <c r="AD8" i="6"/>
  <c r="AD9" i="6"/>
  <c r="AD10" i="6"/>
  <c r="AE5" i="6"/>
  <c r="AE6" i="6"/>
  <c r="AE7" i="6"/>
  <c r="AE8" i="6"/>
  <c r="AE9" i="6"/>
  <c r="AE10" i="6"/>
  <c r="AF5" i="6"/>
  <c r="AF6" i="6"/>
  <c r="AF7" i="6"/>
  <c r="AF8" i="6"/>
  <c r="AF9" i="6"/>
  <c r="AF10" i="6"/>
  <c r="AG5" i="6"/>
  <c r="AG6" i="6"/>
  <c r="AG7" i="6"/>
  <c r="AG8" i="6"/>
  <c r="AG9" i="6"/>
  <c r="AG10" i="6"/>
  <c r="AH5" i="6"/>
  <c r="AH6" i="6"/>
  <c r="AH7" i="6"/>
  <c r="AH8" i="6"/>
  <c r="AH9" i="6"/>
  <c r="AH10" i="6"/>
  <c r="AI5" i="6"/>
  <c r="AI6" i="6"/>
  <c r="AI7" i="6"/>
  <c r="AI8" i="6"/>
  <c r="AI9" i="6"/>
  <c r="AI10" i="6"/>
  <c r="AJ5" i="6"/>
  <c r="AJ6" i="6"/>
  <c r="AJ7" i="6"/>
  <c r="AJ8" i="6"/>
  <c r="AJ9" i="6"/>
  <c r="AJ10" i="6"/>
  <c r="AK5" i="6"/>
  <c r="AK6" i="6"/>
  <c r="AK7" i="6"/>
  <c r="AK8" i="6"/>
  <c r="AK9" i="6"/>
  <c r="AK10" i="6"/>
  <c r="AL5" i="6"/>
  <c r="AL6" i="6"/>
  <c r="AL7" i="6"/>
  <c r="AL8" i="6"/>
  <c r="AL9" i="6"/>
  <c r="AL10" i="6"/>
  <c r="H10" i="6"/>
  <c r="I2" i="6"/>
  <c r="I4" i="6"/>
  <c r="J2" i="6"/>
  <c r="J4" i="6"/>
  <c r="K2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H4" i="6"/>
  <c r="H11" i="6"/>
  <c r="H13" i="6"/>
  <c r="C11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I12" i="6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Q8" i="8"/>
  <c r="P8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K7" i="8"/>
  <c r="J7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E6" i="8"/>
  <c r="D6" i="8"/>
  <c r="D33" i="8"/>
  <c r="E33" i="8"/>
  <c r="H2" i="6"/>
  <c r="H12" i="6"/>
  <c r="H5" i="6"/>
  <c r="H6" i="6"/>
  <c r="H7" i="6"/>
  <c r="H8" i="6"/>
  <c r="H9" i="6"/>
  <c r="H3" i="6"/>
  <c r="K33" i="8"/>
  <c r="L32" i="8"/>
  <c r="L33" i="8"/>
  <c r="J33" i="8"/>
  <c r="I3" i="8"/>
  <c r="I4" i="8"/>
  <c r="I5" i="8"/>
  <c r="I6" i="8"/>
  <c r="I33" i="8"/>
  <c r="I34" i="8"/>
  <c r="Q33" i="8"/>
  <c r="R32" i="8"/>
  <c r="R33" i="8"/>
  <c r="P33" i="8"/>
  <c r="O3" i="8"/>
  <c r="O4" i="8"/>
  <c r="O5" i="8"/>
  <c r="O6" i="8"/>
  <c r="O7" i="8"/>
  <c r="O33" i="8"/>
  <c r="O34" i="8"/>
  <c r="O36" i="8"/>
  <c r="F32" i="8"/>
  <c r="F33" i="8"/>
  <c r="C3" i="8"/>
  <c r="C4" i="8"/>
  <c r="C5" i="8"/>
  <c r="C33" i="8"/>
  <c r="C34" i="8"/>
  <c r="I36" i="8"/>
  <c r="O35" i="8"/>
  <c r="I35" i="8"/>
  <c r="C35" i="8"/>
  <c r="C14" i="2"/>
  <c r="C9" i="7"/>
  <c r="C18" i="6"/>
  <c r="C10" i="6"/>
  <c r="H4" i="5"/>
  <c r="I4" i="5"/>
  <c r="J4" i="5"/>
  <c r="C20" i="3"/>
  <c r="C19" i="3"/>
  <c r="C22" i="1"/>
  <c r="C15" i="2"/>
  <c r="J11" i="1"/>
  <c r="J14" i="1"/>
  <c r="J2" i="1"/>
  <c r="J5" i="1"/>
  <c r="J8" i="1"/>
</calcChain>
</file>

<file path=xl/sharedStrings.xml><?xml version="1.0" encoding="utf-8"?>
<sst xmlns="http://schemas.openxmlformats.org/spreadsheetml/2006/main" count="411" uniqueCount="212">
  <si>
    <t>Hodnota času OA</t>
  </si>
  <si>
    <t>EUR/t/h</t>
  </si>
  <si>
    <t>EUR/os/h</t>
  </si>
  <si>
    <t>voz/24h</t>
  </si>
  <si>
    <t>Podiel NV</t>
  </si>
  <si>
    <t xml:space="preserve">Položka </t>
  </si>
  <si>
    <t xml:space="preserve">Jednotka </t>
  </si>
  <si>
    <t>Hodnota</t>
  </si>
  <si>
    <t>V0</t>
  </si>
  <si>
    <t>V1</t>
  </si>
  <si>
    <t>Dĺžka</t>
  </si>
  <si>
    <t>km</t>
  </si>
  <si>
    <t>km/h</t>
  </si>
  <si>
    <t>Obsadenosť OA</t>
  </si>
  <si>
    <t>os/voz</t>
  </si>
  <si>
    <t>Obsadenosť NV</t>
  </si>
  <si>
    <t>Hodnota času NV náklad</t>
  </si>
  <si>
    <t>t/voz</t>
  </si>
  <si>
    <t>Denná intenzita OA</t>
  </si>
  <si>
    <t>Denná intenzita NV</t>
  </si>
  <si>
    <t>Hodnota času NV</t>
  </si>
  <si>
    <t>M EUR</t>
  </si>
  <si>
    <t>Cena na km</t>
  </si>
  <si>
    <t>M EUR/km</t>
  </si>
  <si>
    <t>rok</t>
  </si>
  <si>
    <t>delta</t>
  </si>
  <si>
    <t>Priemerná rýchlosť OA</t>
  </si>
  <si>
    <t>Priemerná rýchlosť NV</t>
  </si>
  <si>
    <t>M EUR/rok</t>
  </si>
  <si>
    <t>Časový náklad za rok</t>
  </si>
  <si>
    <t>Časový náklad za deň</t>
  </si>
  <si>
    <t>EUR/deň</t>
  </si>
  <si>
    <t>Čas cesty OA</t>
  </si>
  <si>
    <t>h</t>
  </si>
  <si>
    <t>Čas cesty NV</t>
  </si>
  <si>
    <t>Prevádzkový náklad za deň</t>
  </si>
  <si>
    <t>EUR/km</t>
  </si>
  <si>
    <t>Náklady na prevádzku NV</t>
  </si>
  <si>
    <t>Náklady na prevádzku OA</t>
  </si>
  <si>
    <t>Prevádzkový náklad za rok</t>
  </si>
  <si>
    <t>Spotreba za deň</t>
  </si>
  <si>
    <t>Finančné vstupy</t>
  </si>
  <si>
    <t>Ekonomické vstupy</t>
  </si>
  <si>
    <t>Priemerný náklad NV</t>
  </si>
  <si>
    <t>Prevádzka</t>
  </si>
  <si>
    <t>l/km</t>
  </si>
  <si>
    <t>Spotreba NV</t>
  </si>
  <si>
    <t>Konverzný faktor</t>
  </si>
  <si>
    <t>Cena diesel</t>
  </si>
  <si>
    <t>EUR/l</t>
  </si>
  <si>
    <t>Cena benzín</t>
  </si>
  <si>
    <t>Cena na palivo OA</t>
  </si>
  <si>
    <t>Cena na palivo NV</t>
  </si>
  <si>
    <t>Pozn</t>
  </si>
  <si>
    <t>Priemer 2019, auto.sme.sk</t>
  </si>
  <si>
    <t>Spotreba za rok</t>
  </si>
  <si>
    <t>Prevedenie dopravy na D1 z I/18</t>
  </si>
  <si>
    <t>V1 total</t>
  </si>
  <si>
    <t>V1 s prevedením</t>
  </si>
  <si>
    <t>Smrteľné</t>
  </si>
  <si>
    <t>EUR/zr</t>
  </si>
  <si>
    <t>zr/neh</t>
  </si>
  <si>
    <t>neh/1e8 vozkm</t>
  </si>
  <si>
    <t>I/18 náklad na vozkm</t>
  </si>
  <si>
    <t>EUR/vozkm</t>
  </si>
  <si>
    <t>D1 náklad na vozkm</t>
  </si>
  <si>
    <t>Ťažké</t>
  </si>
  <si>
    <t>Ľahké</t>
  </si>
  <si>
    <t>Materiálne</t>
  </si>
  <si>
    <t>Cena zranenia</t>
  </si>
  <si>
    <t>Počet zranení na nehodu</t>
  </si>
  <si>
    <t>Korekcie neohlásených nehôd</t>
  </si>
  <si>
    <t>Frekvencie D1</t>
  </si>
  <si>
    <t>Frekvencie I/18</t>
  </si>
  <si>
    <t>D1</t>
  </si>
  <si>
    <t>I/18</t>
  </si>
  <si>
    <t>Externality za deň</t>
  </si>
  <si>
    <t>Externality za rok</t>
  </si>
  <si>
    <t>NOx</t>
  </si>
  <si>
    <t>NMVOC</t>
  </si>
  <si>
    <t>SO2</t>
  </si>
  <si>
    <t>EUR/t</t>
  </si>
  <si>
    <t>CO2eq</t>
  </si>
  <si>
    <t>CO2</t>
  </si>
  <si>
    <t>CH4</t>
  </si>
  <si>
    <t>N2O</t>
  </si>
  <si>
    <t>hustota benzínu</t>
  </si>
  <si>
    <t>kg/l</t>
  </si>
  <si>
    <t>hustota nafty</t>
  </si>
  <si>
    <t>g/kg</t>
  </si>
  <si>
    <t>Nox</t>
  </si>
  <si>
    <t>OA benzín</t>
  </si>
  <si>
    <t>OA nafta</t>
  </si>
  <si>
    <t>ĽNV</t>
  </si>
  <si>
    <t>NV</t>
  </si>
  <si>
    <t>BUS</t>
  </si>
  <si>
    <t>NMOC</t>
  </si>
  <si>
    <t>PM2.5</t>
  </si>
  <si>
    <t>Exhaláty OA</t>
  </si>
  <si>
    <t>Exhaláty NV</t>
  </si>
  <si>
    <t>Skleníkové plyny OA</t>
  </si>
  <si>
    <t>Podiel naftových OA</t>
  </si>
  <si>
    <t>podiel naftových OA</t>
  </si>
  <si>
    <t>Skleníkové plyny NV</t>
  </si>
  <si>
    <t>Množstvo</t>
  </si>
  <si>
    <t>Spotreba</t>
  </si>
  <si>
    <t>Externality</t>
  </si>
  <si>
    <t>Jednotkový hluk OA</t>
  </si>
  <si>
    <t>Jednotkový hluk NV</t>
  </si>
  <si>
    <t>Suma OA</t>
  </si>
  <si>
    <t>Suma NV</t>
  </si>
  <si>
    <t>Externality OA</t>
  </si>
  <si>
    <t>Externality NV</t>
  </si>
  <si>
    <t>Nehodovosť za deň</t>
  </si>
  <si>
    <t>Nehodovosť za rok</t>
  </si>
  <si>
    <t>Konverzný faktor OPEX</t>
  </si>
  <si>
    <t>m2</t>
  </si>
  <si>
    <t>Plocha D1</t>
  </si>
  <si>
    <t>EUR/m2/rok</t>
  </si>
  <si>
    <t>Bežné výdavky</t>
  </si>
  <si>
    <t>Pravidelné výdavky</t>
  </si>
  <si>
    <t>Vozovka</t>
  </si>
  <si>
    <t>Most</t>
  </si>
  <si>
    <t>Tunel</t>
  </si>
  <si>
    <t>Bežný prevádzkový náklad za rok</t>
  </si>
  <si>
    <t>Pravidelný prevádzkový náklad za rok</t>
  </si>
  <si>
    <t>V0 a V1</t>
  </si>
  <si>
    <t>Mosty</t>
  </si>
  <si>
    <t>Plocha mostov D1</t>
  </si>
  <si>
    <t>Plocha tunela D1</t>
  </si>
  <si>
    <t>Sum</t>
  </si>
  <si>
    <t>Náklady</t>
  </si>
  <si>
    <t>Prínosy</t>
  </si>
  <si>
    <t>Čas</t>
  </si>
  <si>
    <t>Nehodovosť</t>
  </si>
  <si>
    <t>Položka</t>
  </si>
  <si>
    <t>Jednotka</t>
  </si>
  <si>
    <t>EUR/vozh</t>
  </si>
  <si>
    <t>Priemer troch kategórií NV</t>
  </si>
  <si>
    <t>Plocha I/18</t>
  </si>
  <si>
    <t>Dĺžky objektov</t>
  </si>
  <si>
    <t>Jednotková cena</t>
  </si>
  <si>
    <t>1. Čas</t>
  </si>
  <si>
    <t>2. Prevádzka</t>
  </si>
  <si>
    <t>3. Spotreba</t>
  </si>
  <si>
    <t>4. Nehodovosť</t>
  </si>
  <si>
    <t>5. Externality</t>
  </si>
  <si>
    <t>NPV</t>
  </si>
  <si>
    <t>Zostatok</t>
  </si>
  <si>
    <t>BCR</t>
  </si>
  <si>
    <t>CAPEX</t>
  </si>
  <si>
    <t>OPEX</t>
  </si>
  <si>
    <t>Ekonomické</t>
  </si>
  <si>
    <t>Životnosť mostov a tunelov</t>
  </si>
  <si>
    <t>Konverzný faktor CAPEX</t>
  </si>
  <si>
    <t>Projekt</t>
  </si>
  <si>
    <t>Diskontný faktor</t>
  </si>
  <si>
    <t>Dopravné vstupy</t>
  </si>
  <si>
    <t>Net</t>
  </si>
  <si>
    <t>Plochy ciest</t>
  </si>
  <si>
    <t>Predpoklad</t>
  </si>
  <si>
    <t>Denná intenzita 2019</t>
  </si>
  <si>
    <t>Denná intenzita 2015</t>
  </si>
  <si>
    <t>Dĺžka variantu 0, I/18</t>
  </si>
  <si>
    <t>Dĺžka variantu 1, D1</t>
  </si>
  <si>
    <t>Podiel tunelov a mostov na cene</t>
  </si>
  <si>
    <t>Základná dĺžka stavby</t>
  </si>
  <si>
    <t>Základná dĺžka užívania</t>
  </si>
  <si>
    <t>Stavba</t>
  </si>
  <si>
    <t>Čistý prínos</t>
  </si>
  <si>
    <t>Total</t>
  </si>
  <si>
    <t>U1</t>
  </si>
  <si>
    <t>Rýchlosť OA</t>
  </si>
  <si>
    <t>Čas OA</t>
  </si>
  <si>
    <t>Rýchlosť NV</t>
  </si>
  <si>
    <t>Čas NV</t>
  </si>
  <si>
    <t>U2</t>
  </si>
  <si>
    <t>Extra</t>
  </si>
  <si>
    <t>Avg</t>
  </si>
  <si>
    <t>Popis</t>
  </si>
  <si>
    <t>Starý úsek I/18</t>
  </si>
  <si>
    <t>Nový úsek D1</t>
  </si>
  <si>
    <t>Diaľnica</t>
  </si>
  <si>
    <t>Variant 0</t>
  </si>
  <si>
    <t>Variant 1</t>
  </si>
  <si>
    <t>PHZ celkovo 2020</t>
  </si>
  <si>
    <t>Intra, ZA</t>
  </si>
  <si>
    <t>Dĺžka ekonomického posúdenia</t>
  </si>
  <si>
    <t>Priemer z metodiky OPII</t>
  </si>
  <si>
    <t>Šírka 11,5 m</t>
  </si>
  <si>
    <t>Šírka pruhu 11,5 m</t>
  </si>
  <si>
    <t>Šírka pruhu 8 m, opravené 10/02/2020</t>
  </si>
  <si>
    <t>Spotreba OA benzín</t>
  </si>
  <si>
    <t>Spotreba OA nafta</t>
  </si>
  <si>
    <t>Zdroj</t>
  </si>
  <si>
    <t>Metodika OPII</t>
  </si>
  <si>
    <t>CBA R2 Soroška</t>
  </si>
  <si>
    <t>CSD 2015</t>
  </si>
  <si>
    <t>Metodika OPII: 20 EUR/m2 každých 12 rokov, priemer na rok</t>
  </si>
  <si>
    <t>Extravilán</t>
  </si>
  <si>
    <t>Intravilán</t>
  </si>
  <si>
    <t>Skleníkové multiplikátory</t>
  </si>
  <si>
    <t>Odhad</t>
  </si>
  <si>
    <t>Výpočty</t>
  </si>
  <si>
    <t>CBA z 2016</t>
  </si>
  <si>
    <t>CBA úseku</t>
  </si>
  <si>
    <t>Od mostu cez Váh na I/11</t>
  </si>
  <si>
    <t>Roky výstavby</t>
  </si>
  <si>
    <t>Metodika OPII: 526 EUR/m2 každých 15 rokov, priemer na rok</t>
  </si>
  <si>
    <t>Ročný servis tunela Višňové</t>
  </si>
  <si>
    <t>Údaj z pôvodnej CBA</t>
  </si>
  <si>
    <t>Vozovka a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</si>
</sst>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4" fontId="0" fillId="0" borderId="0" xfId="0" applyNumberFormat="1"/>
    <xf numFmtId="0" fontId="0" fillId="2" borderId="0" xfId="0" applyFont="1" applyFill="1"/>
    <xf numFmtId="167" fontId="0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ont="1" applyFill="1"/>
    <xf numFmtId="164" fontId="0" fillId="2" borderId="0" xfId="0" applyNumberFormat="1" applyFont="1" applyFill="1"/>
    <xf numFmtId="0" fontId="1" fillId="2" borderId="0" xfId="0" applyFont="1" applyFill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 applyFont="1"/>
    <xf numFmtId="4" fontId="1" fillId="0" borderId="0" xfId="0" applyNumberFormat="1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ont="1"/>
    <xf numFmtId="2" fontId="0" fillId="3" borderId="0" xfId="0" applyNumberFormat="1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tabSelected="1" zoomScaleNormal="100" workbookViewId="0">
      <selection activeCell="F24" sqref="F24"/>
    </sheetView>
  </sheetViews>
  <sheetFormatPr defaultRowHeight="15" x14ac:dyDescent="0.25"/>
  <cols>
    <col min="1" max="1" width="30.42578125" bestFit="1" customWidth="1"/>
    <col min="2" max="2" width="10.140625" bestFit="1" customWidth="1"/>
    <col min="3" max="3" width="5" bestFit="1" customWidth="1"/>
    <col min="4" max="4" width="23.5703125" customWidth="1"/>
    <col min="5" max="5" width="8.5703125" bestFit="1" customWidth="1"/>
    <col min="6" max="6" width="11.85546875" bestFit="1" customWidth="1"/>
    <col min="7" max="7" width="9" bestFit="1" customWidth="1"/>
    <col min="8" max="8" width="5.5703125" bestFit="1" customWidth="1"/>
    <col min="9" max="11" width="6.28515625" bestFit="1" customWidth="1"/>
    <col min="12" max="37" width="5" bestFit="1" customWidth="1"/>
    <col min="38" max="38" width="5.5703125" bestFit="1" customWidth="1"/>
  </cols>
  <sheetData>
    <row r="1" spans="1:46" s="1" customFormat="1" x14ac:dyDescent="0.25">
      <c r="A1" s="1" t="s">
        <v>155</v>
      </c>
      <c r="D1" s="1" t="s">
        <v>194</v>
      </c>
      <c r="F1" s="1" t="s">
        <v>135</v>
      </c>
      <c r="G1" s="1" t="s">
        <v>136</v>
      </c>
      <c r="H1" s="1" t="s">
        <v>147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/>
      <c r="AN1"/>
      <c r="AO1"/>
      <c r="AP1"/>
      <c r="AQ1"/>
      <c r="AR1"/>
      <c r="AS1"/>
      <c r="AT1"/>
    </row>
    <row r="2" spans="1:46" x14ac:dyDescent="0.25">
      <c r="A2" t="s">
        <v>163</v>
      </c>
      <c r="B2" t="s">
        <v>11</v>
      </c>
      <c r="C2" s="4">
        <v>21</v>
      </c>
      <c r="D2" t="s">
        <v>206</v>
      </c>
      <c r="E2" s="1" t="s">
        <v>131</v>
      </c>
      <c r="F2" t="s">
        <v>168</v>
      </c>
      <c r="G2" t="s">
        <v>21</v>
      </c>
      <c r="H2" s="4">
        <f t="shared" ref="H2:H12" si="0">NPV($C$15,I2:AL2)</f>
        <v>388.06284418529316</v>
      </c>
      <c r="I2" s="4">
        <f>$C$9/3*$C$19</f>
        <v>142.5</v>
      </c>
      <c r="J2" s="4">
        <f>$C$9/3*$C$19</f>
        <v>142.5</v>
      </c>
      <c r="K2" s="4">
        <f>$C$9/3*$C$19</f>
        <v>142.5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46" x14ac:dyDescent="0.25">
      <c r="A3" t="s">
        <v>164</v>
      </c>
      <c r="B3" t="s">
        <v>11</v>
      </c>
      <c r="C3" s="4">
        <v>13.5</v>
      </c>
      <c r="F3" t="s">
        <v>44</v>
      </c>
      <c r="G3" t="s">
        <v>21</v>
      </c>
      <c r="H3" s="4">
        <f t="shared" si="0"/>
        <v>186.18804614143346</v>
      </c>
      <c r="I3" s="8">
        <v>0</v>
      </c>
      <c r="J3" s="8">
        <v>0</v>
      </c>
      <c r="K3" s="8">
        <v>0</v>
      </c>
      <c r="L3" s="9">
        <f>opex!$K$4*$C$20</f>
        <v>14.719350000000002</v>
      </c>
      <c r="M3" s="9">
        <f>opex!$K$4*$C$20</f>
        <v>14.719350000000002</v>
      </c>
      <c r="N3" s="9">
        <f>opex!$K$4*$C$20</f>
        <v>14.719350000000002</v>
      </c>
      <c r="O3" s="9">
        <f>opex!$K$4*$C$20</f>
        <v>14.719350000000002</v>
      </c>
      <c r="P3" s="9">
        <f>opex!$K$4*$C$20</f>
        <v>14.719350000000002</v>
      </c>
      <c r="Q3" s="9">
        <f>opex!$K$4*$C$20</f>
        <v>14.719350000000002</v>
      </c>
      <c r="R3" s="9">
        <f>opex!$K$4*$C$20</f>
        <v>14.719350000000002</v>
      </c>
      <c r="S3" s="9">
        <f>opex!$K$4*$C$20</f>
        <v>14.719350000000002</v>
      </c>
      <c r="T3" s="9">
        <f>opex!$K$4*$C$20</f>
        <v>14.719350000000002</v>
      </c>
      <c r="U3" s="9">
        <f>opex!$K$4*$C$20</f>
        <v>14.719350000000002</v>
      </c>
      <c r="V3" s="9">
        <f>opex!$K$4*$C$20</f>
        <v>14.719350000000002</v>
      </c>
      <c r="W3" s="9">
        <f>opex!$K$4*$C$20</f>
        <v>14.719350000000002</v>
      </c>
      <c r="X3" s="9">
        <f>opex!$K$4*$C$20</f>
        <v>14.719350000000002</v>
      </c>
      <c r="Y3" s="9">
        <f>opex!$K$4*$C$20</f>
        <v>14.719350000000002</v>
      </c>
      <c r="Z3" s="9">
        <f>opex!$K$4*$C$20</f>
        <v>14.719350000000002</v>
      </c>
      <c r="AA3" s="9">
        <f>opex!$K$4*$C$20</f>
        <v>14.719350000000002</v>
      </c>
      <c r="AB3" s="9">
        <f>opex!$K$4*$C$20</f>
        <v>14.719350000000002</v>
      </c>
      <c r="AC3" s="9">
        <f>opex!$K$4*$C$20</f>
        <v>14.719350000000002</v>
      </c>
      <c r="AD3" s="9">
        <f>opex!$K$4*$C$20</f>
        <v>14.719350000000002</v>
      </c>
      <c r="AE3" s="9">
        <f>opex!$K$4*$C$20</f>
        <v>14.719350000000002</v>
      </c>
      <c r="AF3" s="9">
        <f>opex!$K$4*$C$20</f>
        <v>14.719350000000002</v>
      </c>
      <c r="AG3" s="9">
        <f>opex!$K$4*$C$20</f>
        <v>14.719350000000002</v>
      </c>
      <c r="AH3" s="9">
        <f>opex!$K$4*$C$20</f>
        <v>14.719350000000002</v>
      </c>
      <c r="AI3" s="9">
        <f>opex!$K$4*$C$20</f>
        <v>14.719350000000002</v>
      </c>
      <c r="AJ3" s="9">
        <f>opex!$K$4*$C$20</f>
        <v>14.719350000000002</v>
      </c>
      <c r="AK3" s="9">
        <f>opex!$K$4*$C$20</f>
        <v>14.719350000000002</v>
      </c>
      <c r="AL3" s="9">
        <f>opex!$K$4*$C$20</f>
        <v>14.719350000000002</v>
      </c>
    </row>
    <row r="4" spans="1:46" x14ac:dyDescent="0.25">
      <c r="F4" s="1" t="s">
        <v>170</v>
      </c>
      <c r="G4" s="1" t="s">
        <v>21</v>
      </c>
      <c r="H4" s="18">
        <f t="shared" si="0"/>
        <v>574.25089032672645</v>
      </c>
      <c r="I4" s="18">
        <f>SUM(I2:I3)</f>
        <v>142.5</v>
      </c>
      <c r="J4" s="18">
        <f t="shared" ref="J4:AL4" si="1">SUM(J2:J3)</f>
        <v>142.5</v>
      </c>
      <c r="K4" s="18">
        <f t="shared" si="1"/>
        <v>142.5</v>
      </c>
      <c r="L4" s="18">
        <f t="shared" si="1"/>
        <v>14.719350000000002</v>
      </c>
      <c r="M4" s="18">
        <f t="shared" si="1"/>
        <v>14.719350000000002</v>
      </c>
      <c r="N4" s="18">
        <f t="shared" si="1"/>
        <v>14.719350000000002</v>
      </c>
      <c r="O4" s="18">
        <f t="shared" si="1"/>
        <v>14.719350000000002</v>
      </c>
      <c r="P4" s="18">
        <f t="shared" si="1"/>
        <v>14.719350000000002</v>
      </c>
      <c r="Q4" s="18">
        <f t="shared" si="1"/>
        <v>14.719350000000002</v>
      </c>
      <c r="R4" s="18">
        <f t="shared" si="1"/>
        <v>14.719350000000002</v>
      </c>
      <c r="S4" s="18">
        <f t="shared" si="1"/>
        <v>14.719350000000002</v>
      </c>
      <c r="T4" s="18">
        <f t="shared" si="1"/>
        <v>14.719350000000002</v>
      </c>
      <c r="U4" s="18">
        <f t="shared" si="1"/>
        <v>14.719350000000002</v>
      </c>
      <c r="V4" s="18">
        <f t="shared" si="1"/>
        <v>14.719350000000002</v>
      </c>
      <c r="W4" s="18">
        <f t="shared" si="1"/>
        <v>14.719350000000002</v>
      </c>
      <c r="X4" s="18">
        <f t="shared" si="1"/>
        <v>14.719350000000002</v>
      </c>
      <c r="Y4" s="18">
        <f t="shared" si="1"/>
        <v>14.719350000000002</v>
      </c>
      <c r="Z4" s="18">
        <f t="shared" si="1"/>
        <v>14.719350000000002</v>
      </c>
      <c r="AA4" s="18">
        <f t="shared" si="1"/>
        <v>14.719350000000002</v>
      </c>
      <c r="AB4" s="18">
        <f t="shared" si="1"/>
        <v>14.719350000000002</v>
      </c>
      <c r="AC4" s="18">
        <f t="shared" si="1"/>
        <v>14.719350000000002</v>
      </c>
      <c r="AD4" s="18">
        <f t="shared" si="1"/>
        <v>14.719350000000002</v>
      </c>
      <c r="AE4" s="18">
        <f t="shared" si="1"/>
        <v>14.719350000000002</v>
      </c>
      <c r="AF4" s="18">
        <f t="shared" si="1"/>
        <v>14.719350000000002</v>
      </c>
      <c r="AG4" s="18">
        <f t="shared" si="1"/>
        <v>14.719350000000002</v>
      </c>
      <c r="AH4" s="18">
        <f t="shared" si="1"/>
        <v>14.719350000000002</v>
      </c>
      <c r="AI4" s="18">
        <f t="shared" si="1"/>
        <v>14.719350000000002</v>
      </c>
      <c r="AJ4" s="18">
        <f t="shared" si="1"/>
        <v>14.719350000000002</v>
      </c>
      <c r="AK4" s="18">
        <f t="shared" si="1"/>
        <v>14.719350000000002</v>
      </c>
      <c r="AL4" s="18">
        <f t="shared" si="1"/>
        <v>14.719350000000002</v>
      </c>
    </row>
    <row r="5" spans="1:46" x14ac:dyDescent="0.25">
      <c r="A5" s="1" t="s">
        <v>157</v>
      </c>
      <c r="E5" s="1" t="s">
        <v>132</v>
      </c>
      <c r="F5" t="s">
        <v>133</v>
      </c>
      <c r="G5" t="s">
        <v>21</v>
      </c>
      <c r="H5" s="4">
        <f t="shared" si="0"/>
        <v>352.58529129848819</v>
      </c>
      <c r="I5">
        <v>0</v>
      </c>
      <c r="J5">
        <v>0</v>
      </c>
      <c r="K5">
        <v>0</v>
      </c>
      <c r="L5" s="9">
        <f>prinosy!$K$3</f>
        <v>27.874111228021981</v>
      </c>
      <c r="M5" s="9">
        <f>prinosy!$K$3</f>
        <v>27.874111228021981</v>
      </c>
      <c r="N5" s="9">
        <f>prinosy!$K$3</f>
        <v>27.874111228021981</v>
      </c>
      <c r="O5" s="9">
        <f>prinosy!$K$3</f>
        <v>27.874111228021981</v>
      </c>
      <c r="P5" s="9">
        <f>prinosy!$K$3</f>
        <v>27.874111228021981</v>
      </c>
      <c r="Q5" s="9">
        <f>prinosy!$K$3</f>
        <v>27.874111228021981</v>
      </c>
      <c r="R5" s="9">
        <f>prinosy!$K$3</f>
        <v>27.874111228021981</v>
      </c>
      <c r="S5" s="9">
        <f>prinosy!$K$3</f>
        <v>27.874111228021981</v>
      </c>
      <c r="T5" s="9">
        <f>prinosy!$K$3</f>
        <v>27.874111228021981</v>
      </c>
      <c r="U5" s="9">
        <f>prinosy!$K$3</f>
        <v>27.874111228021981</v>
      </c>
      <c r="V5" s="9">
        <f>prinosy!$K$3</f>
        <v>27.874111228021981</v>
      </c>
      <c r="W5" s="9">
        <f>prinosy!$K$3</f>
        <v>27.874111228021981</v>
      </c>
      <c r="X5" s="9">
        <f>prinosy!$K$3</f>
        <v>27.874111228021981</v>
      </c>
      <c r="Y5" s="9">
        <f>prinosy!$K$3</f>
        <v>27.874111228021981</v>
      </c>
      <c r="Z5" s="9">
        <f>prinosy!$K$3</f>
        <v>27.874111228021981</v>
      </c>
      <c r="AA5" s="9">
        <f>prinosy!$K$3</f>
        <v>27.874111228021981</v>
      </c>
      <c r="AB5" s="9">
        <f>prinosy!$K$3</f>
        <v>27.874111228021981</v>
      </c>
      <c r="AC5" s="9">
        <f>prinosy!$K$3</f>
        <v>27.874111228021981</v>
      </c>
      <c r="AD5" s="9">
        <f>prinosy!$K$3</f>
        <v>27.874111228021981</v>
      </c>
      <c r="AE5" s="9">
        <f>prinosy!$K$3</f>
        <v>27.874111228021981</v>
      </c>
      <c r="AF5" s="9">
        <f>prinosy!$K$3</f>
        <v>27.874111228021981</v>
      </c>
      <c r="AG5" s="9">
        <f>prinosy!$K$3</f>
        <v>27.874111228021981</v>
      </c>
      <c r="AH5" s="9">
        <f>prinosy!$K$3</f>
        <v>27.874111228021981</v>
      </c>
      <c r="AI5" s="9">
        <f>prinosy!$K$3</f>
        <v>27.874111228021981</v>
      </c>
      <c r="AJ5" s="9">
        <f>prinosy!$K$3</f>
        <v>27.874111228021981</v>
      </c>
      <c r="AK5" s="9">
        <f>prinosy!$K$3</f>
        <v>27.874111228021981</v>
      </c>
      <c r="AL5" s="9">
        <f>prinosy!$K$3</f>
        <v>27.874111228021981</v>
      </c>
    </row>
    <row r="6" spans="1:46" x14ac:dyDescent="0.25">
      <c r="A6" t="s">
        <v>56</v>
      </c>
      <c r="C6">
        <v>0.85</v>
      </c>
      <c r="D6" t="s">
        <v>204</v>
      </c>
      <c r="F6" t="s">
        <v>105</v>
      </c>
      <c r="G6" t="s">
        <v>21</v>
      </c>
      <c r="H6" s="4">
        <f t="shared" si="0"/>
        <v>254.31479993309728</v>
      </c>
      <c r="I6">
        <v>0</v>
      </c>
      <c r="J6">
        <v>0</v>
      </c>
      <c r="K6">
        <v>0</v>
      </c>
      <c r="L6" s="9">
        <f>prinosy!$K$6</f>
        <v>20.105203464843754</v>
      </c>
      <c r="M6" s="9">
        <f>prinosy!$K$6</f>
        <v>20.105203464843754</v>
      </c>
      <c r="N6" s="9">
        <f>prinosy!$K$6</f>
        <v>20.105203464843754</v>
      </c>
      <c r="O6" s="9">
        <f>prinosy!$K$6</f>
        <v>20.105203464843754</v>
      </c>
      <c r="P6" s="9">
        <f>prinosy!$K$6</f>
        <v>20.105203464843754</v>
      </c>
      <c r="Q6" s="9">
        <f>prinosy!$K$6</f>
        <v>20.105203464843754</v>
      </c>
      <c r="R6" s="9">
        <f>prinosy!$K$6</f>
        <v>20.105203464843754</v>
      </c>
      <c r="S6" s="9">
        <f>prinosy!$K$6</f>
        <v>20.105203464843754</v>
      </c>
      <c r="T6" s="9">
        <f>prinosy!$K$6</f>
        <v>20.105203464843754</v>
      </c>
      <c r="U6" s="9">
        <f>prinosy!$K$6</f>
        <v>20.105203464843754</v>
      </c>
      <c r="V6" s="9">
        <f>prinosy!$K$6</f>
        <v>20.105203464843754</v>
      </c>
      <c r="W6" s="9">
        <f>prinosy!$K$6</f>
        <v>20.105203464843754</v>
      </c>
      <c r="X6" s="9">
        <f>prinosy!$K$6</f>
        <v>20.105203464843754</v>
      </c>
      <c r="Y6" s="9">
        <f>prinosy!$K$6</f>
        <v>20.105203464843754</v>
      </c>
      <c r="Z6" s="9">
        <f>prinosy!$K$6</f>
        <v>20.105203464843754</v>
      </c>
      <c r="AA6" s="9">
        <f>prinosy!$K$6</f>
        <v>20.105203464843754</v>
      </c>
      <c r="AB6" s="9">
        <f>prinosy!$K$6</f>
        <v>20.105203464843754</v>
      </c>
      <c r="AC6" s="9">
        <f>prinosy!$K$6</f>
        <v>20.105203464843754</v>
      </c>
      <c r="AD6" s="9">
        <f>prinosy!$K$6</f>
        <v>20.105203464843754</v>
      </c>
      <c r="AE6" s="9">
        <f>prinosy!$K$6</f>
        <v>20.105203464843754</v>
      </c>
      <c r="AF6" s="9">
        <f>prinosy!$K$6</f>
        <v>20.105203464843754</v>
      </c>
      <c r="AG6" s="9">
        <f>prinosy!$K$6</f>
        <v>20.105203464843754</v>
      </c>
      <c r="AH6" s="9">
        <f>prinosy!$K$6</f>
        <v>20.105203464843754</v>
      </c>
      <c r="AI6" s="9">
        <f>prinosy!$K$6</f>
        <v>20.105203464843754</v>
      </c>
      <c r="AJ6" s="9">
        <f>prinosy!$K$6</f>
        <v>20.105203464843754</v>
      </c>
      <c r="AK6" s="9">
        <f>prinosy!$K$6</f>
        <v>20.105203464843754</v>
      </c>
      <c r="AL6" s="9">
        <f>prinosy!$K$6</f>
        <v>20.105203464843754</v>
      </c>
    </row>
    <row r="7" spans="1:46" x14ac:dyDescent="0.25">
      <c r="F7" t="s">
        <v>44</v>
      </c>
      <c r="G7" t="s">
        <v>21</v>
      </c>
      <c r="H7" s="4">
        <f t="shared" si="0"/>
        <v>92.035508611424859</v>
      </c>
      <c r="I7">
        <v>0</v>
      </c>
      <c r="J7">
        <v>0</v>
      </c>
      <c r="K7">
        <v>0</v>
      </c>
      <c r="L7" s="9">
        <f>prinosy!$K$9</f>
        <v>7.2759926953125031</v>
      </c>
      <c r="M7" s="9">
        <f>prinosy!$K$9</f>
        <v>7.2759926953125031</v>
      </c>
      <c r="N7" s="9">
        <f>prinosy!$K$9</f>
        <v>7.2759926953125031</v>
      </c>
      <c r="O7" s="9">
        <f>prinosy!$K$9</f>
        <v>7.2759926953125031</v>
      </c>
      <c r="P7" s="9">
        <f>prinosy!$K$9</f>
        <v>7.2759926953125031</v>
      </c>
      <c r="Q7" s="9">
        <f>prinosy!$K$9</f>
        <v>7.2759926953125031</v>
      </c>
      <c r="R7" s="9">
        <f>prinosy!$K$9</f>
        <v>7.2759926953125031</v>
      </c>
      <c r="S7" s="9">
        <f>prinosy!$K$9</f>
        <v>7.2759926953125031</v>
      </c>
      <c r="T7" s="9">
        <f>prinosy!$K$9</f>
        <v>7.2759926953125031</v>
      </c>
      <c r="U7" s="9">
        <f>prinosy!$K$9</f>
        <v>7.2759926953125031</v>
      </c>
      <c r="V7" s="9">
        <f>prinosy!$K$9</f>
        <v>7.2759926953125031</v>
      </c>
      <c r="W7" s="9">
        <f>prinosy!$K$9</f>
        <v>7.2759926953125031</v>
      </c>
      <c r="X7" s="9">
        <f>prinosy!$K$9</f>
        <v>7.2759926953125031</v>
      </c>
      <c r="Y7" s="9">
        <f>prinosy!$K$9</f>
        <v>7.2759926953125031</v>
      </c>
      <c r="Z7" s="9">
        <f>prinosy!$K$9</f>
        <v>7.2759926953125031</v>
      </c>
      <c r="AA7" s="9">
        <f>prinosy!$K$9</f>
        <v>7.2759926953125031</v>
      </c>
      <c r="AB7" s="9">
        <f>prinosy!$K$9</f>
        <v>7.2759926953125031</v>
      </c>
      <c r="AC7" s="9">
        <f>prinosy!$K$9</f>
        <v>7.2759926953125031</v>
      </c>
      <c r="AD7" s="9">
        <f>prinosy!$K$9</f>
        <v>7.2759926953125031</v>
      </c>
      <c r="AE7" s="9">
        <f>prinosy!$K$9</f>
        <v>7.2759926953125031</v>
      </c>
      <c r="AF7" s="9">
        <f>prinosy!$K$9</f>
        <v>7.2759926953125031</v>
      </c>
      <c r="AG7" s="9">
        <f>prinosy!$K$9</f>
        <v>7.2759926953125031</v>
      </c>
      <c r="AH7" s="9">
        <f>prinosy!$K$9</f>
        <v>7.2759926953125031</v>
      </c>
      <c r="AI7" s="9">
        <f>prinosy!$K$9</f>
        <v>7.2759926953125031</v>
      </c>
      <c r="AJ7" s="9">
        <f>prinosy!$K$9</f>
        <v>7.2759926953125031</v>
      </c>
      <c r="AK7" s="9">
        <f>prinosy!$K$9</f>
        <v>7.2759926953125031</v>
      </c>
      <c r="AL7" s="9">
        <f>prinosy!$K$9</f>
        <v>7.2759926953125031</v>
      </c>
    </row>
    <row r="8" spans="1:46" x14ac:dyDescent="0.25">
      <c r="A8" s="1" t="s">
        <v>41</v>
      </c>
      <c r="F8" t="s">
        <v>134</v>
      </c>
      <c r="G8" t="s">
        <v>21</v>
      </c>
      <c r="H8" s="4">
        <f t="shared" si="0"/>
        <v>21.766994138287572</v>
      </c>
      <c r="I8">
        <v>0</v>
      </c>
      <c r="J8">
        <v>0</v>
      </c>
      <c r="K8">
        <v>0</v>
      </c>
      <c r="L8" s="9">
        <f>prinosy!$K$12</f>
        <v>1.7208194178375007</v>
      </c>
      <c r="M8" s="9">
        <f>prinosy!$K$12</f>
        <v>1.7208194178375007</v>
      </c>
      <c r="N8" s="9">
        <f>prinosy!$K$12</f>
        <v>1.7208194178375007</v>
      </c>
      <c r="O8" s="9">
        <f>prinosy!$K$12</f>
        <v>1.7208194178375007</v>
      </c>
      <c r="P8" s="9">
        <f>prinosy!$K$12</f>
        <v>1.7208194178375007</v>
      </c>
      <c r="Q8" s="9">
        <f>prinosy!$K$12</f>
        <v>1.7208194178375007</v>
      </c>
      <c r="R8" s="9">
        <f>prinosy!$K$12</f>
        <v>1.7208194178375007</v>
      </c>
      <c r="S8" s="9">
        <f>prinosy!$K$12</f>
        <v>1.7208194178375007</v>
      </c>
      <c r="T8" s="9">
        <f>prinosy!$K$12</f>
        <v>1.7208194178375007</v>
      </c>
      <c r="U8" s="9">
        <f>prinosy!$K$12</f>
        <v>1.7208194178375007</v>
      </c>
      <c r="V8" s="9">
        <f>prinosy!$K$12</f>
        <v>1.7208194178375007</v>
      </c>
      <c r="W8" s="9">
        <f>prinosy!$K$12</f>
        <v>1.7208194178375007</v>
      </c>
      <c r="X8" s="9">
        <f>prinosy!$K$12</f>
        <v>1.7208194178375007</v>
      </c>
      <c r="Y8" s="9">
        <f>prinosy!$K$12</f>
        <v>1.7208194178375007</v>
      </c>
      <c r="Z8" s="9">
        <f>prinosy!$K$12</f>
        <v>1.7208194178375007</v>
      </c>
      <c r="AA8" s="9">
        <f>prinosy!$K$12</f>
        <v>1.7208194178375007</v>
      </c>
      <c r="AB8" s="9">
        <f>prinosy!$K$12</f>
        <v>1.7208194178375007</v>
      </c>
      <c r="AC8" s="9">
        <f>prinosy!$K$12</f>
        <v>1.7208194178375007</v>
      </c>
      <c r="AD8" s="9">
        <f>prinosy!$K$12</f>
        <v>1.7208194178375007</v>
      </c>
      <c r="AE8" s="9">
        <f>prinosy!$K$12</f>
        <v>1.7208194178375007</v>
      </c>
      <c r="AF8" s="9">
        <f>prinosy!$K$12</f>
        <v>1.7208194178375007</v>
      </c>
      <c r="AG8" s="9">
        <f>prinosy!$K$12</f>
        <v>1.7208194178375007</v>
      </c>
      <c r="AH8" s="9">
        <f>prinosy!$K$12</f>
        <v>1.7208194178375007</v>
      </c>
      <c r="AI8" s="9">
        <f>prinosy!$K$12</f>
        <v>1.7208194178375007</v>
      </c>
      <c r="AJ8" s="9">
        <f>prinosy!$K$12</f>
        <v>1.7208194178375007</v>
      </c>
      <c r="AK8" s="9">
        <f>prinosy!$K$12</f>
        <v>1.7208194178375007</v>
      </c>
      <c r="AL8" s="9">
        <f>prinosy!$K$12</f>
        <v>1.7208194178375007</v>
      </c>
    </row>
    <row r="9" spans="1:46" x14ac:dyDescent="0.25">
      <c r="A9" t="s">
        <v>185</v>
      </c>
      <c r="B9" t="s">
        <v>21</v>
      </c>
      <c r="C9" s="13">
        <v>475</v>
      </c>
      <c r="F9" t="s">
        <v>106</v>
      </c>
      <c r="G9" t="s">
        <v>21</v>
      </c>
      <c r="H9" s="4">
        <f t="shared" si="0"/>
        <v>104.66390708464648</v>
      </c>
      <c r="I9">
        <v>0</v>
      </c>
      <c r="J9">
        <v>0</v>
      </c>
      <c r="K9">
        <v>0</v>
      </c>
      <c r="L9" s="9">
        <f>prinosy!$K$15</f>
        <v>8.2743479652615406</v>
      </c>
      <c r="M9" s="9">
        <f>prinosy!$K$15</f>
        <v>8.2743479652615406</v>
      </c>
      <c r="N9" s="9">
        <f>prinosy!$K$15</f>
        <v>8.2743479652615406</v>
      </c>
      <c r="O9" s="9">
        <f>prinosy!$K$15</f>
        <v>8.2743479652615406</v>
      </c>
      <c r="P9" s="9">
        <f>prinosy!$K$15</f>
        <v>8.2743479652615406</v>
      </c>
      <c r="Q9" s="9">
        <f>prinosy!$K$15</f>
        <v>8.2743479652615406</v>
      </c>
      <c r="R9" s="9">
        <f>prinosy!$K$15</f>
        <v>8.2743479652615406</v>
      </c>
      <c r="S9" s="9">
        <f>prinosy!$K$15</f>
        <v>8.2743479652615406</v>
      </c>
      <c r="T9" s="9">
        <f>prinosy!$K$15</f>
        <v>8.2743479652615406</v>
      </c>
      <c r="U9" s="9">
        <f>prinosy!$K$15</f>
        <v>8.2743479652615406</v>
      </c>
      <c r="V9" s="9">
        <f>prinosy!$K$15</f>
        <v>8.2743479652615406</v>
      </c>
      <c r="W9" s="9">
        <f>prinosy!$K$15</f>
        <v>8.2743479652615406</v>
      </c>
      <c r="X9" s="9">
        <f>prinosy!$K$15</f>
        <v>8.2743479652615406</v>
      </c>
      <c r="Y9" s="9">
        <f>prinosy!$K$15</f>
        <v>8.2743479652615406</v>
      </c>
      <c r="Z9" s="9">
        <f>prinosy!$K$15</f>
        <v>8.2743479652615406</v>
      </c>
      <c r="AA9" s="9">
        <f>prinosy!$K$15</f>
        <v>8.2743479652615406</v>
      </c>
      <c r="AB9" s="9">
        <f>prinosy!$K$15</f>
        <v>8.2743479652615406</v>
      </c>
      <c r="AC9" s="9">
        <f>prinosy!$K$15</f>
        <v>8.2743479652615406</v>
      </c>
      <c r="AD9" s="9">
        <f>prinosy!$K$15</f>
        <v>8.2743479652615406</v>
      </c>
      <c r="AE9" s="9">
        <f>prinosy!$K$15</f>
        <v>8.2743479652615406</v>
      </c>
      <c r="AF9" s="9">
        <f>prinosy!$K$15</f>
        <v>8.2743479652615406</v>
      </c>
      <c r="AG9" s="9">
        <f>prinosy!$K$15</f>
        <v>8.2743479652615406</v>
      </c>
      <c r="AH9" s="9">
        <f>prinosy!$K$15</f>
        <v>8.2743479652615406</v>
      </c>
      <c r="AI9" s="9">
        <f>prinosy!$K$15</f>
        <v>8.2743479652615406</v>
      </c>
      <c r="AJ9" s="9">
        <f>prinosy!$K$15</f>
        <v>8.2743479652615406</v>
      </c>
      <c r="AK9" s="9">
        <f>prinosy!$K$15</f>
        <v>8.2743479652615406</v>
      </c>
      <c r="AL9" s="9">
        <f>prinosy!$K$15</f>
        <v>8.2743479652615406</v>
      </c>
    </row>
    <row r="10" spans="1:46" x14ac:dyDescent="0.25">
      <c r="A10" t="s">
        <v>22</v>
      </c>
      <c r="B10" t="s">
        <v>23</v>
      </c>
      <c r="C10" s="4">
        <f>C9/C3</f>
        <v>35.185185185185183</v>
      </c>
      <c r="F10" s="1" t="s">
        <v>170</v>
      </c>
      <c r="G10" s="1" t="s">
        <v>21</v>
      </c>
      <c r="H10" s="18">
        <f t="shared" si="0"/>
        <v>825.36650106594459</v>
      </c>
      <c r="I10" s="19">
        <v>0</v>
      </c>
      <c r="J10" s="19">
        <v>0</v>
      </c>
      <c r="K10" s="19">
        <v>0</v>
      </c>
      <c r="L10" s="19">
        <f t="shared" ref="L10:AL10" si="2">SUM(L5:L9)</f>
        <v>65.250474771277283</v>
      </c>
      <c r="M10" s="19">
        <f t="shared" si="2"/>
        <v>65.250474771277283</v>
      </c>
      <c r="N10" s="19">
        <f t="shared" si="2"/>
        <v>65.250474771277283</v>
      </c>
      <c r="O10" s="19">
        <f t="shared" si="2"/>
        <v>65.250474771277283</v>
      </c>
      <c r="P10" s="19">
        <f t="shared" si="2"/>
        <v>65.250474771277283</v>
      </c>
      <c r="Q10" s="19">
        <f t="shared" si="2"/>
        <v>65.250474771277283</v>
      </c>
      <c r="R10" s="19">
        <f t="shared" si="2"/>
        <v>65.250474771277283</v>
      </c>
      <c r="S10" s="19">
        <f t="shared" si="2"/>
        <v>65.250474771277283</v>
      </c>
      <c r="T10" s="19">
        <f t="shared" si="2"/>
        <v>65.250474771277283</v>
      </c>
      <c r="U10" s="19">
        <f t="shared" si="2"/>
        <v>65.250474771277283</v>
      </c>
      <c r="V10" s="19">
        <f t="shared" si="2"/>
        <v>65.250474771277283</v>
      </c>
      <c r="W10" s="19">
        <f t="shared" si="2"/>
        <v>65.250474771277283</v>
      </c>
      <c r="X10" s="19">
        <f t="shared" si="2"/>
        <v>65.250474771277283</v>
      </c>
      <c r="Y10" s="19">
        <f t="shared" si="2"/>
        <v>65.250474771277283</v>
      </c>
      <c r="Z10" s="19">
        <f t="shared" si="2"/>
        <v>65.250474771277283</v>
      </c>
      <c r="AA10" s="19">
        <f t="shared" si="2"/>
        <v>65.250474771277283</v>
      </c>
      <c r="AB10" s="19">
        <f t="shared" si="2"/>
        <v>65.250474771277283</v>
      </c>
      <c r="AC10" s="19">
        <f t="shared" si="2"/>
        <v>65.250474771277283</v>
      </c>
      <c r="AD10" s="19">
        <f t="shared" si="2"/>
        <v>65.250474771277283</v>
      </c>
      <c r="AE10" s="19">
        <f t="shared" si="2"/>
        <v>65.250474771277283</v>
      </c>
      <c r="AF10" s="19">
        <f t="shared" si="2"/>
        <v>65.250474771277283</v>
      </c>
      <c r="AG10" s="19">
        <f t="shared" si="2"/>
        <v>65.250474771277283</v>
      </c>
      <c r="AH10" s="19">
        <f t="shared" si="2"/>
        <v>65.250474771277283</v>
      </c>
      <c r="AI10" s="19">
        <f t="shared" si="2"/>
        <v>65.250474771277283</v>
      </c>
      <c r="AJ10" s="19">
        <f t="shared" si="2"/>
        <v>65.250474771277283</v>
      </c>
      <c r="AK10" s="19">
        <f t="shared" si="2"/>
        <v>65.250474771277283</v>
      </c>
      <c r="AL10" s="19">
        <f t="shared" si="2"/>
        <v>65.250474771277283</v>
      </c>
    </row>
    <row r="11" spans="1:46" x14ac:dyDescent="0.25">
      <c r="A11" t="s">
        <v>165</v>
      </c>
      <c r="C11">
        <f>3/4</f>
        <v>0.75</v>
      </c>
      <c r="D11" t="s">
        <v>202</v>
      </c>
      <c r="E11" t="s">
        <v>148</v>
      </c>
      <c r="G11" s="1" t="s">
        <v>21</v>
      </c>
      <c r="H11" s="20">
        <f t="shared" si="0"/>
        <v>60.172597741064031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4">
        <f>C9*C11*(C12-C18)/C12</f>
        <v>260.0625</v>
      </c>
    </row>
    <row r="12" spans="1:46" x14ac:dyDescent="0.25">
      <c r="A12" t="s">
        <v>153</v>
      </c>
      <c r="B12" t="s">
        <v>24</v>
      </c>
      <c r="C12">
        <v>100</v>
      </c>
      <c r="E12" s="17" t="s">
        <v>130</v>
      </c>
      <c r="F12" s="11" t="s">
        <v>169</v>
      </c>
      <c r="G12" s="11" t="s">
        <v>21</v>
      </c>
      <c r="H12" s="14">
        <f t="shared" si="0"/>
        <v>251.11561073921794</v>
      </c>
      <c r="I12" s="12">
        <f t="shared" ref="I12:AL12" si="3">I10-I4</f>
        <v>-142.5</v>
      </c>
      <c r="J12" s="12">
        <f t="shared" si="3"/>
        <v>-142.5</v>
      </c>
      <c r="K12" s="12">
        <f t="shared" si="3"/>
        <v>-142.5</v>
      </c>
      <c r="L12" s="12">
        <f t="shared" si="3"/>
        <v>50.531124771277277</v>
      </c>
      <c r="M12" s="12">
        <f t="shared" si="3"/>
        <v>50.531124771277277</v>
      </c>
      <c r="N12" s="12">
        <f t="shared" si="3"/>
        <v>50.531124771277277</v>
      </c>
      <c r="O12" s="12">
        <f t="shared" si="3"/>
        <v>50.531124771277277</v>
      </c>
      <c r="P12" s="12">
        <f t="shared" si="3"/>
        <v>50.531124771277277</v>
      </c>
      <c r="Q12" s="12">
        <f t="shared" si="3"/>
        <v>50.531124771277277</v>
      </c>
      <c r="R12" s="12">
        <f t="shared" si="3"/>
        <v>50.531124771277277</v>
      </c>
      <c r="S12" s="12">
        <f t="shared" si="3"/>
        <v>50.531124771277277</v>
      </c>
      <c r="T12" s="12">
        <f t="shared" si="3"/>
        <v>50.531124771277277</v>
      </c>
      <c r="U12" s="12">
        <f t="shared" si="3"/>
        <v>50.531124771277277</v>
      </c>
      <c r="V12" s="12">
        <f t="shared" si="3"/>
        <v>50.531124771277277</v>
      </c>
      <c r="W12" s="12">
        <f t="shared" si="3"/>
        <v>50.531124771277277</v>
      </c>
      <c r="X12" s="12">
        <f t="shared" si="3"/>
        <v>50.531124771277277</v>
      </c>
      <c r="Y12" s="12">
        <f t="shared" si="3"/>
        <v>50.531124771277277</v>
      </c>
      <c r="Z12" s="12">
        <f t="shared" si="3"/>
        <v>50.531124771277277</v>
      </c>
      <c r="AA12" s="12">
        <f t="shared" si="3"/>
        <v>50.531124771277277</v>
      </c>
      <c r="AB12" s="12">
        <f t="shared" si="3"/>
        <v>50.531124771277277</v>
      </c>
      <c r="AC12" s="12">
        <f t="shared" si="3"/>
        <v>50.531124771277277</v>
      </c>
      <c r="AD12" s="12">
        <f t="shared" si="3"/>
        <v>50.531124771277277</v>
      </c>
      <c r="AE12" s="12">
        <f t="shared" si="3"/>
        <v>50.531124771277277</v>
      </c>
      <c r="AF12" s="12">
        <f t="shared" si="3"/>
        <v>50.531124771277277</v>
      </c>
      <c r="AG12" s="12">
        <f t="shared" si="3"/>
        <v>50.531124771277277</v>
      </c>
      <c r="AH12" s="12">
        <f t="shared" si="3"/>
        <v>50.531124771277277</v>
      </c>
      <c r="AI12" s="12">
        <f t="shared" si="3"/>
        <v>50.531124771277277</v>
      </c>
      <c r="AJ12" s="12">
        <f t="shared" si="3"/>
        <v>50.531124771277277</v>
      </c>
      <c r="AK12" s="12">
        <f t="shared" si="3"/>
        <v>50.531124771277277</v>
      </c>
      <c r="AL12" s="12">
        <f t="shared" si="3"/>
        <v>50.531124771277277</v>
      </c>
    </row>
    <row r="13" spans="1:46" x14ac:dyDescent="0.25">
      <c r="E13" t="s">
        <v>149</v>
      </c>
      <c r="H13" s="26">
        <f>(H10+H11)/H4</f>
        <v>1.5420770149841148</v>
      </c>
    </row>
    <row r="14" spans="1:46" x14ac:dyDescent="0.25">
      <c r="A14" s="1" t="s">
        <v>152</v>
      </c>
    </row>
    <row r="15" spans="1:46" x14ac:dyDescent="0.25">
      <c r="A15" t="s">
        <v>156</v>
      </c>
      <c r="C15">
        <v>0.05</v>
      </c>
    </row>
    <row r="16" spans="1:46" x14ac:dyDescent="0.25">
      <c r="A16" t="s">
        <v>187</v>
      </c>
      <c r="B16" t="s">
        <v>24</v>
      </c>
      <c r="C16">
        <v>30</v>
      </c>
    </row>
    <row r="17" spans="1:4" x14ac:dyDescent="0.25">
      <c r="A17" t="s">
        <v>166</v>
      </c>
      <c r="B17" t="s">
        <v>24</v>
      </c>
      <c r="C17">
        <v>3</v>
      </c>
    </row>
    <row r="18" spans="1:4" x14ac:dyDescent="0.25">
      <c r="A18" t="s">
        <v>167</v>
      </c>
      <c r="B18" t="s">
        <v>24</v>
      </c>
      <c r="C18">
        <f>C16-C17</f>
        <v>27</v>
      </c>
    </row>
    <row r="19" spans="1:4" x14ac:dyDescent="0.25">
      <c r="A19" t="s">
        <v>154</v>
      </c>
      <c r="C19">
        <v>0.9</v>
      </c>
      <c r="D19" t="s">
        <v>188</v>
      </c>
    </row>
    <row r="20" spans="1:4" x14ac:dyDescent="0.25">
      <c r="A20" t="s">
        <v>115</v>
      </c>
      <c r="C20">
        <v>0.9</v>
      </c>
      <c r="D20" t="s">
        <v>188</v>
      </c>
    </row>
    <row r="22" spans="1:4" x14ac:dyDescent="0.25">
      <c r="A22" s="22"/>
      <c r="B22" s="23"/>
      <c r="C22" s="23"/>
    </row>
    <row r="23" spans="1:4" x14ac:dyDescent="0.25">
      <c r="A23" s="22"/>
      <c r="B23" s="23"/>
      <c r="C23" s="23"/>
    </row>
    <row r="24" spans="1:4" x14ac:dyDescent="0.25">
      <c r="A24" s="23"/>
      <c r="B24" s="23"/>
      <c r="C24" s="23"/>
    </row>
    <row r="25" spans="1:4" x14ac:dyDescent="0.25">
      <c r="A25" s="23"/>
      <c r="B25" s="23"/>
      <c r="C25" s="23"/>
    </row>
    <row r="26" spans="1:4" x14ac:dyDescent="0.25">
      <c r="A26" s="22"/>
      <c r="B26" s="23"/>
      <c r="C26" s="23"/>
    </row>
    <row r="27" spans="1:4" x14ac:dyDescent="0.25">
      <c r="A27" s="23"/>
      <c r="B27" s="23"/>
      <c r="C27" s="23"/>
    </row>
    <row r="28" spans="1:4" x14ac:dyDescent="0.25">
      <c r="A28" s="23"/>
      <c r="B28" s="23"/>
      <c r="C28" s="24"/>
    </row>
    <row r="29" spans="1:4" x14ac:dyDescent="0.25">
      <c r="A29" s="23"/>
      <c r="B29" s="23"/>
      <c r="C2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I34" sqref="I34"/>
    </sheetView>
  </sheetViews>
  <sheetFormatPr defaultRowHeight="15" x14ac:dyDescent="0.25"/>
  <cols>
    <col min="1" max="1" width="13.5703125" bestFit="1" customWidth="1"/>
  </cols>
  <sheetData>
    <row r="1" spans="1:18" x14ac:dyDescent="0.25">
      <c r="A1" s="1" t="s">
        <v>207</v>
      </c>
      <c r="B1" s="1">
        <v>3</v>
      </c>
      <c r="C1" s="1"/>
      <c r="D1" s="1"/>
      <c r="E1" s="1"/>
      <c r="F1" s="1"/>
      <c r="G1" s="1"/>
      <c r="H1" s="1">
        <v>4</v>
      </c>
      <c r="I1" s="1"/>
      <c r="J1" s="1"/>
      <c r="K1" s="1"/>
      <c r="L1" s="1"/>
      <c r="M1" s="1"/>
      <c r="N1" s="1">
        <v>5</v>
      </c>
      <c r="O1" s="1"/>
      <c r="P1" s="1"/>
      <c r="Q1" s="1"/>
      <c r="R1" s="1"/>
    </row>
    <row r="2" spans="1:18" x14ac:dyDescent="0.25">
      <c r="B2" s="1"/>
      <c r="C2" s="1" t="s">
        <v>150</v>
      </c>
      <c r="D2" s="1" t="s">
        <v>151</v>
      </c>
      <c r="E2" s="1" t="s">
        <v>132</v>
      </c>
      <c r="F2" s="1" t="s">
        <v>148</v>
      </c>
      <c r="H2" s="1"/>
      <c r="I2" s="1" t="s">
        <v>150</v>
      </c>
      <c r="J2" s="1" t="s">
        <v>151</v>
      </c>
      <c r="K2" s="1" t="s">
        <v>132</v>
      </c>
      <c r="L2" s="1" t="s">
        <v>148</v>
      </c>
      <c r="N2" s="1"/>
      <c r="O2" s="1" t="s">
        <v>150</v>
      </c>
      <c r="P2" s="1" t="s">
        <v>151</v>
      </c>
      <c r="Q2" s="1" t="s">
        <v>132</v>
      </c>
      <c r="R2" s="1" t="s">
        <v>148</v>
      </c>
    </row>
    <row r="3" spans="1:18" x14ac:dyDescent="0.25">
      <c r="B3">
        <v>2020</v>
      </c>
      <c r="C3" s="4">
        <f>sumar!$C$9/B$1*sumar!$C$19</f>
        <v>142.5</v>
      </c>
      <c r="D3" s="5">
        <v>0</v>
      </c>
      <c r="E3" s="5">
        <v>0</v>
      </c>
      <c r="F3">
        <v>0</v>
      </c>
      <c r="H3">
        <v>2020</v>
      </c>
      <c r="I3" s="4">
        <f>sumar!$C$9/H$1*sumar!$C$19</f>
        <v>106.875</v>
      </c>
      <c r="J3" s="5">
        <v>0</v>
      </c>
      <c r="K3" s="5">
        <v>0</v>
      </c>
      <c r="L3">
        <v>0</v>
      </c>
      <c r="N3">
        <v>2020</v>
      </c>
      <c r="O3" s="4">
        <f>sumar!$C$9/N$1*sumar!$C$19</f>
        <v>85.5</v>
      </c>
      <c r="P3" s="5">
        <v>0</v>
      </c>
      <c r="Q3" s="5">
        <v>0</v>
      </c>
      <c r="R3">
        <v>0</v>
      </c>
    </row>
    <row r="4" spans="1:18" x14ac:dyDescent="0.25">
      <c r="B4">
        <v>2021</v>
      </c>
      <c r="C4" s="4">
        <f>sumar!$C$9/B$1*sumar!$C$19</f>
        <v>142.5</v>
      </c>
      <c r="D4" s="5">
        <v>0</v>
      </c>
      <c r="E4" s="5">
        <v>0</v>
      </c>
      <c r="F4">
        <v>0</v>
      </c>
      <c r="H4">
        <v>2021</v>
      </c>
      <c r="I4" s="4">
        <f>sumar!$C$9/H$1*sumar!$C$19</f>
        <v>106.875</v>
      </c>
      <c r="J4" s="5">
        <v>0</v>
      </c>
      <c r="K4" s="5">
        <v>0</v>
      </c>
      <c r="L4">
        <v>0</v>
      </c>
      <c r="N4">
        <v>2021</v>
      </c>
      <c r="O4" s="4">
        <f>sumar!$C$9/N$1*sumar!$C$19</f>
        <v>85.5</v>
      </c>
      <c r="P4" s="5">
        <v>0</v>
      </c>
      <c r="Q4" s="5">
        <v>0</v>
      </c>
      <c r="R4">
        <v>0</v>
      </c>
    </row>
    <row r="5" spans="1:18" x14ac:dyDescent="0.25">
      <c r="B5">
        <v>2022</v>
      </c>
      <c r="C5" s="4">
        <f>sumar!$C$9/B$1*sumar!$C$19</f>
        <v>142.5</v>
      </c>
      <c r="D5" s="5">
        <v>0</v>
      </c>
      <c r="E5" s="5">
        <v>0</v>
      </c>
      <c r="F5">
        <v>0</v>
      </c>
      <c r="H5">
        <v>2022</v>
      </c>
      <c r="I5" s="4">
        <f>sumar!$C$9/H$1*sumar!$C$19</f>
        <v>106.875</v>
      </c>
      <c r="J5" s="5">
        <v>0</v>
      </c>
      <c r="K5" s="5">
        <v>0</v>
      </c>
      <c r="L5">
        <v>0</v>
      </c>
      <c r="N5">
        <v>2022</v>
      </c>
      <c r="O5" s="4">
        <f>sumar!$C$9/N$1*sumar!$C$19</f>
        <v>85.5</v>
      </c>
      <c r="P5" s="5">
        <v>0</v>
      </c>
      <c r="Q5" s="5">
        <v>0</v>
      </c>
      <c r="R5">
        <v>0</v>
      </c>
    </row>
    <row r="6" spans="1:18" x14ac:dyDescent="0.25">
      <c r="B6">
        <v>2023</v>
      </c>
      <c r="C6">
        <v>0</v>
      </c>
      <c r="D6" s="9">
        <f>sumar!$L$3</f>
        <v>14.719350000000002</v>
      </c>
      <c r="E6" s="4">
        <f>SUM(sumar!$L$5:$L$9)</f>
        <v>65.250474771277283</v>
      </c>
      <c r="F6">
        <v>0</v>
      </c>
      <c r="H6">
        <v>2023</v>
      </c>
      <c r="I6" s="4">
        <f>sumar!$C$9/H$1*sumar!$C$19</f>
        <v>106.875</v>
      </c>
      <c r="J6" s="5">
        <v>0</v>
      </c>
      <c r="K6" s="5">
        <v>0</v>
      </c>
      <c r="L6">
        <v>0</v>
      </c>
      <c r="N6">
        <v>2023</v>
      </c>
      <c r="O6" s="4">
        <f>sumar!$C$9/N$1*sumar!$C$19</f>
        <v>85.5</v>
      </c>
      <c r="P6" s="5">
        <v>0</v>
      </c>
      <c r="Q6" s="5">
        <v>0</v>
      </c>
      <c r="R6">
        <v>0</v>
      </c>
    </row>
    <row r="7" spans="1:18" x14ac:dyDescent="0.25">
      <c r="B7">
        <v>2024</v>
      </c>
      <c r="C7">
        <v>0</v>
      </c>
      <c r="D7" s="9">
        <f>sumar!$L$3</f>
        <v>14.719350000000002</v>
      </c>
      <c r="E7" s="4">
        <f>SUM(sumar!$L$5:$L$9)</f>
        <v>65.250474771277283</v>
      </c>
      <c r="F7">
        <v>0</v>
      </c>
      <c r="H7">
        <v>2024</v>
      </c>
      <c r="I7">
        <v>0</v>
      </c>
      <c r="J7" s="9">
        <f>sumar!$L$3</f>
        <v>14.719350000000002</v>
      </c>
      <c r="K7" s="4">
        <f>SUM(sumar!$L$5:$L$9)</f>
        <v>65.250474771277283</v>
      </c>
      <c r="L7">
        <v>0</v>
      </c>
      <c r="N7">
        <v>2024</v>
      </c>
      <c r="O7" s="4">
        <f>sumar!$C$9/N$1*sumar!$C$19</f>
        <v>85.5</v>
      </c>
      <c r="P7" s="5">
        <v>0</v>
      </c>
      <c r="Q7" s="5">
        <v>0</v>
      </c>
      <c r="R7">
        <v>0</v>
      </c>
    </row>
    <row r="8" spans="1:18" x14ac:dyDescent="0.25">
      <c r="B8">
        <v>2025</v>
      </c>
      <c r="C8">
        <v>0</v>
      </c>
      <c r="D8" s="9">
        <f>sumar!$L$3</f>
        <v>14.719350000000002</v>
      </c>
      <c r="E8" s="4">
        <f>SUM(sumar!$L$5:$L$9)</f>
        <v>65.250474771277283</v>
      </c>
      <c r="F8">
        <v>0</v>
      </c>
      <c r="H8">
        <v>2025</v>
      </c>
      <c r="I8">
        <v>0</v>
      </c>
      <c r="J8" s="9">
        <f>sumar!$L$3</f>
        <v>14.719350000000002</v>
      </c>
      <c r="K8" s="4">
        <f>SUM(sumar!$L$5:$L$9)</f>
        <v>65.250474771277283</v>
      </c>
      <c r="L8">
        <v>0</v>
      </c>
      <c r="N8">
        <v>2025</v>
      </c>
      <c r="O8">
        <v>0</v>
      </c>
      <c r="P8" s="4">
        <f>sumar!$L$3</f>
        <v>14.719350000000002</v>
      </c>
      <c r="Q8" s="4">
        <f>SUM(sumar!$L$5:$L$9)</f>
        <v>65.250474771277283</v>
      </c>
      <c r="R8">
        <v>0</v>
      </c>
    </row>
    <row r="9" spans="1:18" x14ac:dyDescent="0.25">
      <c r="B9">
        <v>2026</v>
      </c>
      <c r="C9">
        <v>0</v>
      </c>
      <c r="D9" s="9">
        <f>sumar!$L$3</f>
        <v>14.719350000000002</v>
      </c>
      <c r="E9" s="4">
        <f>SUM(sumar!$L$5:$L$9)</f>
        <v>65.250474771277283</v>
      </c>
      <c r="F9">
        <v>0</v>
      </c>
      <c r="H9">
        <v>2026</v>
      </c>
      <c r="I9">
        <v>0</v>
      </c>
      <c r="J9" s="9">
        <f>sumar!$L$3</f>
        <v>14.719350000000002</v>
      </c>
      <c r="K9" s="4">
        <f>SUM(sumar!$L$5:$L$9)</f>
        <v>65.250474771277283</v>
      </c>
      <c r="L9">
        <v>0</v>
      </c>
      <c r="N9">
        <v>2026</v>
      </c>
      <c r="O9">
        <v>0</v>
      </c>
      <c r="P9" s="4">
        <f>sumar!$L$3</f>
        <v>14.719350000000002</v>
      </c>
      <c r="Q9" s="4">
        <f>SUM(sumar!$L$5:$L$9)</f>
        <v>65.250474771277283</v>
      </c>
      <c r="R9">
        <v>0</v>
      </c>
    </row>
    <row r="10" spans="1:18" x14ac:dyDescent="0.25">
      <c r="B10">
        <v>2027</v>
      </c>
      <c r="C10">
        <v>0</v>
      </c>
      <c r="D10" s="9">
        <f>sumar!$L$3</f>
        <v>14.719350000000002</v>
      </c>
      <c r="E10" s="4">
        <f>SUM(sumar!$L$5:$L$9)</f>
        <v>65.250474771277283</v>
      </c>
      <c r="F10">
        <v>0</v>
      </c>
      <c r="H10">
        <v>2027</v>
      </c>
      <c r="I10">
        <v>0</v>
      </c>
      <c r="J10" s="9">
        <f>sumar!$L$3</f>
        <v>14.719350000000002</v>
      </c>
      <c r="K10" s="4">
        <f>SUM(sumar!$L$5:$L$9)</f>
        <v>65.250474771277283</v>
      </c>
      <c r="L10">
        <v>0</v>
      </c>
      <c r="N10">
        <v>2027</v>
      </c>
      <c r="O10">
        <v>0</v>
      </c>
      <c r="P10" s="4">
        <f>sumar!$L$3</f>
        <v>14.719350000000002</v>
      </c>
      <c r="Q10" s="4">
        <f>SUM(sumar!$L$5:$L$9)</f>
        <v>65.250474771277283</v>
      </c>
      <c r="R10">
        <v>0</v>
      </c>
    </row>
    <row r="11" spans="1:18" x14ac:dyDescent="0.25">
      <c r="B11">
        <v>2028</v>
      </c>
      <c r="C11">
        <v>0</v>
      </c>
      <c r="D11" s="9">
        <f>sumar!$L$3</f>
        <v>14.719350000000002</v>
      </c>
      <c r="E11" s="4">
        <f>SUM(sumar!$L$5:$L$9)</f>
        <v>65.250474771277283</v>
      </c>
      <c r="F11">
        <v>0</v>
      </c>
      <c r="H11">
        <v>2028</v>
      </c>
      <c r="I11">
        <v>0</v>
      </c>
      <c r="J11" s="9">
        <f>sumar!$L$3</f>
        <v>14.719350000000002</v>
      </c>
      <c r="K11" s="4">
        <f>SUM(sumar!$L$5:$L$9)</f>
        <v>65.250474771277283</v>
      </c>
      <c r="L11">
        <v>0</v>
      </c>
      <c r="N11">
        <v>2028</v>
      </c>
      <c r="O11">
        <v>0</v>
      </c>
      <c r="P11" s="4">
        <f>sumar!$L$3</f>
        <v>14.719350000000002</v>
      </c>
      <c r="Q11" s="4">
        <f>SUM(sumar!$L$5:$L$9)</f>
        <v>65.250474771277283</v>
      </c>
      <c r="R11">
        <v>0</v>
      </c>
    </row>
    <row r="12" spans="1:18" x14ac:dyDescent="0.25">
      <c r="B12">
        <v>2029</v>
      </c>
      <c r="C12">
        <v>0</v>
      </c>
      <c r="D12" s="9">
        <f>sumar!$L$3</f>
        <v>14.719350000000002</v>
      </c>
      <c r="E12" s="4">
        <f>SUM(sumar!$L$5:$L$9)</f>
        <v>65.250474771277283</v>
      </c>
      <c r="F12">
        <v>0</v>
      </c>
      <c r="H12">
        <v>2029</v>
      </c>
      <c r="I12">
        <v>0</v>
      </c>
      <c r="J12" s="9">
        <f>sumar!$L$3</f>
        <v>14.719350000000002</v>
      </c>
      <c r="K12" s="4">
        <f>SUM(sumar!$L$5:$L$9)</f>
        <v>65.250474771277283</v>
      </c>
      <c r="L12">
        <v>0</v>
      </c>
      <c r="N12">
        <v>2029</v>
      </c>
      <c r="O12">
        <v>0</v>
      </c>
      <c r="P12" s="4">
        <f>sumar!$L$3</f>
        <v>14.719350000000002</v>
      </c>
      <c r="Q12" s="4">
        <f>SUM(sumar!$L$5:$L$9)</f>
        <v>65.250474771277283</v>
      </c>
      <c r="R12">
        <v>0</v>
      </c>
    </row>
    <row r="13" spans="1:18" x14ac:dyDescent="0.25">
      <c r="B13">
        <v>2030</v>
      </c>
      <c r="C13">
        <v>0</v>
      </c>
      <c r="D13" s="9">
        <f>sumar!$L$3</f>
        <v>14.719350000000002</v>
      </c>
      <c r="E13" s="4">
        <f>SUM(sumar!$L$5:$L$9)</f>
        <v>65.250474771277283</v>
      </c>
      <c r="F13">
        <v>0</v>
      </c>
      <c r="H13">
        <v>2030</v>
      </c>
      <c r="I13">
        <v>0</v>
      </c>
      <c r="J13" s="9">
        <f>sumar!$L$3</f>
        <v>14.719350000000002</v>
      </c>
      <c r="K13" s="4">
        <f>SUM(sumar!$L$5:$L$9)</f>
        <v>65.250474771277283</v>
      </c>
      <c r="L13">
        <v>0</v>
      </c>
      <c r="N13">
        <v>2030</v>
      </c>
      <c r="O13">
        <v>0</v>
      </c>
      <c r="P13" s="4">
        <f>sumar!$L$3</f>
        <v>14.719350000000002</v>
      </c>
      <c r="Q13" s="4">
        <f>SUM(sumar!$L$5:$L$9)</f>
        <v>65.250474771277283</v>
      </c>
      <c r="R13">
        <v>0</v>
      </c>
    </row>
    <row r="14" spans="1:18" x14ac:dyDescent="0.25">
      <c r="B14">
        <v>2031</v>
      </c>
      <c r="C14">
        <v>0</v>
      </c>
      <c r="D14" s="9">
        <f>sumar!$L$3</f>
        <v>14.719350000000002</v>
      </c>
      <c r="E14" s="4">
        <f>SUM(sumar!$L$5:$L$9)</f>
        <v>65.250474771277283</v>
      </c>
      <c r="F14">
        <v>0</v>
      </c>
      <c r="H14">
        <v>2031</v>
      </c>
      <c r="I14">
        <v>0</v>
      </c>
      <c r="J14" s="9">
        <f>sumar!$L$3</f>
        <v>14.719350000000002</v>
      </c>
      <c r="K14" s="4">
        <f>SUM(sumar!$L$5:$L$9)</f>
        <v>65.250474771277283</v>
      </c>
      <c r="L14">
        <v>0</v>
      </c>
      <c r="N14">
        <v>2031</v>
      </c>
      <c r="O14">
        <v>0</v>
      </c>
      <c r="P14" s="4">
        <f>sumar!$L$3</f>
        <v>14.719350000000002</v>
      </c>
      <c r="Q14" s="4">
        <f>SUM(sumar!$L$5:$L$9)</f>
        <v>65.250474771277283</v>
      </c>
      <c r="R14">
        <v>0</v>
      </c>
    </row>
    <row r="15" spans="1:18" x14ac:dyDescent="0.25">
      <c r="B15">
        <v>2032</v>
      </c>
      <c r="C15">
        <v>0</v>
      </c>
      <c r="D15" s="9">
        <f>sumar!$L$3</f>
        <v>14.719350000000002</v>
      </c>
      <c r="E15" s="4">
        <f>SUM(sumar!$L$5:$L$9)</f>
        <v>65.250474771277283</v>
      </c>
      <c r="F15">
        <v>0</v>
      </c>
      <c r="H15">
        <v>2032</v>
      </c>
      <c r="I15">
        <v>0</v>
      </c>
      <c r="J15" s="9">
        <f>sumar!$L$3</f>
        <v>14.719350000000002</v>
      </c>
      <c r="K15" s="4">
        <f>SUM(sumar!$L$5:$L$9)</f>
        <v>65.250474771277283</v>
      </c>
      <c r="L15">
        <v>0</v>
      </c>
      <c r="N15">
        <v>2032</v>
      </c>
      <c r="O15">
        <v>0</v>
      </c>
      <c r="P15" s="4">
        <f>sumar!$L$3</f>
        <v>14.719350000000002</v>
      </c>
      <c r="Q15" s="4">
        <f>SUM(sumar!$L$5:$L$9)</f>
        <v>65.250474771277283</v>
      </c>
      <c r="R15">
        <v>0</v>
      </c>
    </row>
    <row r="16" spans="1:18" x14ac:dyDescent="0.25">
      <c r="B16">
        <v>2033</v>
      </c>
      <c r="C16">
        <v>0</v>
      </c>
      <c r="D16" s="9">
        <f>sumar!$L$3</f>
        <v>14.719350000000002</v>
      </c>
      <c r="E16" s="4">
        <f>SUM(sumar!$L$5:$L$9)</f>
        <v>65.250474771277283</v>
      </c>
      <c r="F16">
        <v>0</v>
      </c>
      <c r="H16">
        <v>2033</v>
      </c>
      <c r="I16">
        <v>0</v>
      </c>
      <c r="J16" s="9">
        <f>sumar!$L$3</f>
        <v>14.719350000000002</v>
      </c>
      <c r="K16" s="4">
        <f>SUM(sumar!$L$5:$L$9)</f>
        <v>65.250474771277283</v>
      </c>
      <c r="L16">
        <v>0</v>
      </c>
      <c r="N16">
        <v>2033</v>
      </c>
      <c r="O16">
        <v>0</v>
      </c>
      <c r="P16" s="4">
        <f>sumar!$L$3</f>
        <v>14.719350000000002</v>
      </c>
      <c r="Q16" s="4">
        <f>SUM(sumar!$L$5:$L$9)</f>
        <v>65.250474771277283</v>
      </c>
      <c r="R16">
        <v>0</v>
      </c>
    </row>
    <row r="17" spans="2:18" x14ac:dyDescent="0.25">
      <c r="B17">
        <v>2034</v>
      </c>
      <c r="C17">
        <v>0</v>
      </c>
      <c r="D17" s="9">
        <f>sumar!$L$3</f>
        <v>14.719350000000002</v>
      </c>
      <c r="E17" s="4">
        <f>SUM(sumar!$L$5:$L$9)</f>
        <v>65.250474771277283</v>
      </c>
      <c r="F17">
        <v>0</v>
      </c>
      <c r="H17">
        <v>2034</v>
      </c>
      <c r="I17">
        <v>0</v>
      </c>
      <c r="J17" s="9">
        <f>sumar!$L$3</f>
        <v>14.719350000000002</v>
      </c>
      <c r="K17" s="4">
        <f>SUM(sumar!$L$5:$L$9)</f>
        <v>65.250474771277283</v>
      </c>
      <c r="L17">
        <v>0</v>
      </c>
      <c r="N17">
        <v>2034</v>
      </c>
      <c r="O17">
        <v>0</v>
      </c>
      <c r="P17" s="4">
        <f>sumar!$L$3</f>
        <v>14.719350000000002</v>
      </c>
      <c r="Q17" s="4">
        <f>SUM(sumar!$L$5:$L$9)</f>
        <v>65.250474771277283</v>
      </c>
      <c r="R17">
        <v>0</v>
      </c>
    </row>
    <row r="18" spans="2:18" x14ac:dyDescent="0.25">
      <c r="B18">
        <v>2035</v>
      </c>
      <c r="C18">
        <v>0</v>
      </c>
      <c r="D18" s="9">
        <f>sumar!$L$3</f>
        <v>14.719350000000002</v>
      </c>
      <c r="E18" s="4">
        <f>SUM(sumar!$L$5:$L$9)</f>
        <v>65.250474771277283</v>
      </c>
      <c r="F18">
        <v>0</v>
      </c>
      <c r="H18">
        <v>2035</v>
      </c>
      <c r="I18">
        <v>0</v>
      </c>
      <c r="J18" s="9">
        <f>sumar!$L$3</f>
        <v>14.719350000000002</v>
      </c>
      <c r="K18" s="4">
        <f>SUM(sumar!$L$5:$L$9)</f>
        <v>65.250474771277283</v>
      </c>
      <c r="L18">
        <v>0</v>
      </c>
      <c r="N18">
        <v>2035</v>
      </c>
      <c r="O18">
        <v>0</v>
      </c>
      <c r="P18" s="4">
        <f>sumar!$L$3</f>
        <v>14.719350000000002</v>
      </c>
      <c r="Q18" s="4">
        <f>SUM(sumar!$L$5:$L$9)</f>
        <v>65.250474771277283</v>
      </c>
      <c r="R18">
        <v>0</v>
      </c>
    </row>
    <row r="19" spans="2:18" x14ac:dyDescent="0.25">
      <c r="B19">
        <v>2036</v>
      </c>
      <c r="C19">
        <v>0</v>
      </c>
      <c r="D19" s="9">
        <f>sumar!$L$3</f>
        <v>14.719350000000002</v>
      </c>
      <c r="E19" s="4">
        <f>SUM(sumar!$L$5:$L$9)</f>
        <v>65.250474771277283</v>
      </c>
      <c r="F19">
        <v>0</v>
      </c>
      <c r="H19">
        <v>2036</v>
      </c>
      <c r="I19">
        <v>0</v>
      </c>
      <c r="J19" s="9">
        <f>sumar!$L$3</f>
        <v>14.719350000000002</v>
      </c>
      <c r="K19" s="4">
        <f>SUM(sumar!$L$5:$L$9)</f>
        <v>65.250474771277283</v>
      </c>
      <c r="L19">
        <v>0</v>
      </c>
      <c r="N19">
        <v>2036</v>
      </c>
      <c r="O19">
        <v>0</v>
      </c>
      <c r="P19" s="4">
        <f>sumar!$L$3</f>
        <v>14.719350000000002</v>
      </c>
      <c r="Q19" s="4">
        <f>SUM(sumar!$L$5:$L$9)</f>
        <v>65.250474771277283</v>
      </c>
      <c r="R19">
        <v>0</v>
      </c>
    </row>
    <row r="20" spans="2:18" x14ac:dyDescent="0.25">
      <c r="B20">
        <v>2037</v>
      </c>
      <c r="C20">
        <v>0</v>
      </c>
      <c r="D20" s="9">
        <f>sumar!$L$3</f>
        <v>14.719350000000002</v>
      </c>
      <c r="E20" s="4">
        <f>SUM(sumar!$L$5:$L$9)</f>
        <v>65.250474771277283</v>
      </c>
      <c r="F20">
        <v>0</v>
      </c>
      <c r="H20">
        <v>2037</v>
      </c>
      <c r="I20">
        <v>0</v>
      </c>
      <c r="J20" s="9">
        <f>sumar!$L$3</f>
        <v>14.719350000000002</v>
      </c>
      <c r="K20" s="4">
        <f>SUM(sumar!$L$5:$L$9)</f>
        <v>65.250474771277283</v>
      </c>
      <c r="L20">
        <v>0</v>
      </c>
      <c r="N20">
        <v>2037</v>
      </c>
      <c r="O20">
        <v>0</v>
      </c>
      <c r="P20" s="4">
        <f>sumar!$L$3</f>
        <v>14.719350000000002</v>
      </c>
      <c r="Q20" s="4">
        <f>SUM(sumar!$L$5:$L$9)</f>
        <v>65.250474771277283</v>
      </c>
      <c r="R20">
        <v>0</v>
      </c>
    </row>
    <row r="21" spans="2:18" x14ac:dyDescent="0.25">
      <c r="B21">
        <v>2038</v>
      </c>
      <c r="C21">
        <v>0</v>
      </c>
      <c r="D21" s="9">
        <f>sumar!$L$3</f>
        <v>14.719350000000002</v>
      </c>
      <c r="E21" s="4">
        <f>SUM(sumar!$L$5:$L$9)</f>
        <v>65.250474771277283</v>
      </c>
      <c r="F21">
        <v>0</v>
      </c>
      <c r="H21">
        <v>2038</v>
      </c>
      <c r="I21">
        <v>0</v>
      </c>
      <c r="J21" s="9">
        <f>sumar!$L$3</f>
        <v>14.719350000000002</v>
      </c>
      <c r="K21" s="4">
        <f>SUM(sumar!$L$5:$L$9)</f>
        <v>65.250474771277283</v>
      </c>
      <c r="L21">
        <v>0</v>
      </c>
      <c r="N21">
        <v>2038</v>
      </c>
      <c r="O21">
        <v>0</v>
      </c>
      <c r="P21" s="4">
        <f>sumar!$L$3</f>
        <v>14.719350000000002</v>
      </c>
      <c r="Q21" s="4">
        <f>SUM(sumar!$L$5:$L$9)</f>
        <v>65.250474771277283</v>
      </c>
      <c r="R21">
        <v>0</v>
      </c>
    </row>
    <row r="22" spans="2:18" x14ac:dyDescent="0.25">
      <c r="B22">
        <v>2039</v>
      </c>
      <c r="C22">
        <v>0</v>
      </c>
      <c r="D22" s="9">
        <f>sumar!$L$3</f>
        <v>14.719350000000002</v>
      </c>
      <c r="E22" s="4">
        <f>SUM(sumar!$L$5:$L$9)</f>
        <v>65.250474771277283</v>
      </c>
      <c r="F22">
        <v>0</v>
      </c>
      <c r="H22">
        <v>2039</v>
      </c>
      <c r="I22">
        <v>0</v>
      </c>
      <c r="J22" s="9">
        <f>sumar!$L$3</f>
        <v>14.719350000000002</v>
      </c>
      <c r="K22" s="4">
        <f>SUM(sumar!$L$5:$L$9)</f>
        <v>65.250474771277283</v>
      </c>
      <c r="L22">
        <v>0</v>
      </c>
      <c r="N22">
        <v>2039</v>
      </c>
      <c r="O22">
        <v>0</v>
      </c>
      <c r="P22" s="4">
        <f>sumar!$L$3</f>
        <v>14.719350000000002</v>
      </c>
      <c r="Q22" s="4">
        <f>SUM(sumar!$L$5:$L$9)</f>
        <v>65.250474771277283</v>
      </c>
      <c r="R22">
        <v>0</v>
      </c>
    </row>
    <row r="23" spans="2:18" x14ac:dyDescent="0.25">
      <c r="B23">
        <v>2040</v>
      </c>
      <c r="C23">
        <v>0</v>
      </c>
      <c r="D23" s="9">
        <f>sumar!$L$3</f>
        <v>14.719350000000002</v>
      </c>
      <c r="E23" s="4">
        <f>SUM(sumar!$L$5:$L$9)</f>
        <v>65.250474771277283</v>
      </c>
      <c r="F23">
        <v>0</v>
      </c>
      <c r="H23">
        <v>2040</v>
      </c>
      <c r="I23">
        <v>0</v>
      </c>
      <c r="J23" s="9">
        <f>sumar!$L$3</f>
        <v>14.719350000000002</v>
      </c>
      <c r="K23" s="4">
        <f>SUM(sumar!$L$5:$L$9)</f>
        <v>65.250474771277283</v>
      </c>
      <c r="L23">
        <v>0</v>
      </c>
      <c r="N23">
        <v>2040</v>
      </c>
      <c r="O23">
        <v>0</v>
      </c>
      <c r="P23" s="4">
        <f>sumar!$L$3</f>
        <v>14.719350000000002</v>
      </c>
      <c r="Q23" s="4">
        <f>SUM(sumar!$L$5:$L$9)</f>
        <v>65.250474771277283</v>
      </c>
      <c r="R23">
        <v>0</v>
      </c>
    </row>
    <row r="24" spans="2:18" x14ac:dyDescent="0.25">
      <c r="B24">
        <v>2041</v>
      </c>
      <c r="C24">
        <v>0</v>
      </c>
      <c r="D24" s="9">
        <f>sumar!$L$3</f>
        <v>14.719350000000002</v>
      </c>
      <c r="E24" s="4">
        <f>SUM(sumar!$L$5:$L$9)</f>
        <v>65.250474771277283</v>
      </c>
      <c r="F24">
        <v>0</v>
      </c>
      <c r="H24">
        <v>2041</v>
      </c>
      <c r="I24">
        <v>0</v>
      </c>
      <c r="J24" s="9">
        <f>sumar!$L$3</f>
        <v>14.719350000000002</v>
      </c>
      <c r="K24" s="4">
        <f>SUM(sumar!$L$5:$L$9)</f>
        <v>65.250474771277283</v>
      </c>
      <c r="L24">
        <v>0</v>
      </c>
      <c r="N24">
        <v>2041</v>
      </c>
      <c r="O24">
        <v>0</v>
      </c>
      <c r="P24" s="4">
        <f>sumar!$L$3</f>
        <v>14.719350000000002</v>
      </c>
      <c r="Q24" s="4">
        <f>SUM(sumar!$L$5:$L$9)</f>
        <v>65.250474771277283</v>
      </c>
      <c r="R24">
        <v>0</v>
      </c>
    </row>
    <row r="25" spans="2:18" x14ac:dyDescent="0.25">
      <c r="B25">
        <v>2042</v>
      </c>
      <c r="C25">
        <v>0</v>
      </c>
      <c r="D25" s="9">
        <f>sumar!$L$3</f>
        <v>14.719350000000002</v>
      </c>
      <c r="E25" s="4">
        <f>SUM(sumar!$L$5:$L$9)</f>
        <v>65.250474771277283</v>
      </c>
      <c r="F25">
        <v>0</v>
      </c>
      <c r="H25">
        <v>2042</v>
      </c>
      <c r="I25">
        <v>0</v>
      </c>
      <c r="J25" s="9">
        <f>sumar!$L$3</f>
        <v>14.719350000000002</v>
      </c>
      <c r="K25" s="4">
        <f>SUM(sumar!$L$5:$L$9)</f>
        <v>65.250474771277283</v>
      </c>
      <c r="L25">
        <v>0</v>
      </c>
      <c r="N25">
        <v>2042</v>
      </c>
      <c r="O25">
        <v>0</v>
      </c>
      <c r="P25" s="4">
        <f>sumar!$L$3</f>
        <v>14.719350000000002</v>
      </c>
      <c r="Q25" s="4">
        <f>SUM(sumar!$L$5:$L$9)</f>
        <v>65.250474771277283</v>
      </c>
      <c r="R25">
        <v>0</v>
      </c>
    </row>
    <row r="26" spans="2:18" x14ac:dyDescent="0.25">
      <c r="B26">
        <v>2043</v>
      </c>
      <c r="C26">
        <v>0</v>
      </c>
      <c r="D26" s="9">
        <f>sumar!$L$3</f>
        <v>14.719350000000002</v>
      </c>
      <c r="E26" s="4">
        <f>SUM(sumar!$L$5:$L$9)</f>
        <v>65.250474771277283</v>
      </c>
      <c r="F26">
        <v>0</v>
      </c>
      <c r="H26">
        <v>2043</v>
      </c>
      <c r="I26">
        <v>0</v>
      </c>
      <c r="J26" s="9">
        <f>sumar!$L$3</f>
        <v>14.719350000000002</v>
      </c>
      <c r="K26" s="4">
        <f>SUM(sumar!$L$5:$L$9)</f>
        <v>65.250474771277283</v>
      </c>
      <c r="L26">
        <v>0</v>
      </c>
      <c r="N26">
        <v>2043</v>
      </c>
      <c r="O26">
        <v>0</v>
      </c>
      <c r="P26" s="4">
        <f>sumar!$L$3</f>
        <v>14.719350000000002</v>
      </c>
      <c r="Q26" s="4">
        <f>SUM(sumar!$L$5:$L$9)</f>
        <v>65.250474771277283</v>
      </c>
      <c r="R26">
        <v>0</v>
      </c>
    </row>
    <row r="27" spans="2:18" x14ac:dyDescent="0.25">
      <c r="B27">
        <v>2044</v>
      </c>
      <c r="C27">
        <v>0</v>
      </c>
      <c r="D27" s="9">
        <f>sumar!$L$3</f>
        <v>14.719350000000002</v>
      </c>
      <c r="E27" s="4">
        <f>SUM(sumar!$L$5:$L$9)</f>
        <v>65.250474771277283</v>
      </c>
      <c r="F27">
        <v>0</v>
      </c>
      <c r="H27">
        <v>2044</v>
      </c>
      <c r="I27">
        <v>0</v>
      </c>
      <c r="J27" s="9">
        <f>sumar!$L$3</f>
        <v>14.719350000000002</v>
      </c>
      <c r="K27" s="4">
        <f>SUM(sumar!$L$5:$L$9)</f>
        <v>65.250474771277283</v>
      </c>
      <c r="L27">
        <v>0</v>
      </c>
      <c r="N27">
        <v>2044</v>
      </c>
      <c r="O27">
        <v>0</v>
      </c>
      <c r="P27" s="4">
        <f>sumar!$L$3</f>
        <v>14.719350000000002</v>
      </c>
      <c r="Q27" s="4">
        <f>SUM(sumar!$L$5:$L$9)</f>
        <v>65.250474771277283</v>
      </c>
      <c r="R27">
        <v>0</v>
      </c>
    </row>
    <row r="28" spans="2:18" x14ac:dyDescent="0.25">
      <c r="B28">
        <v>2045</v>
      </c>
      <c r="C28">
        <v>0</v>
      </c>
      <c r="D28" s="9">
        <f>sumar!$L$3</f>
        <v>14.719350000000002</v>
      </c>
      <c r="E28" s="4">
        <f>SUM(sumar!$L$5:$L$9)</f>
        <v>65.250474771277283</v>
      </c>
      <c r="F28">
        <v>0</v>
      </c>
      <c r="H28">
        <v>2045</v>
      </c>
      <c r="I28">
        <v>0</v>
      </c>
      <c r="J28" s="9">
        <f>sumar!$L$3</f>
        <v>14.719350000000002</v>
      </c>
      <c r="K28" s="4">
        <f>SUM(sumar!$L$5:$L$9)</f>
        <v>65.250474771277283</v>
      </c>
      <c r="L28">
        <v>0</v>
      </c>
      <c r="N28">
        <v>2045</v>
      </c>
      <c r="O28">
        <v>0</v>
      </c>
      <c r="P28" s="4">
        <f>sumar!$L$3</f>
        <v>14.719350000000002</v>
      </c>
      <c r="Q28" s="4">
        <f>SUM(sumar!$L$5:$L$9)</f>
        <v>65.250474771277283</v>
      </c>
      <c r="R28">
        <v>0</v>
      </c>
    </row>
    <row r="29" spans="2:18" x14ac:dyDescent="0.25">
      <c r="B29">
        <v>2046</v>
      </c>
      <c r="C29">
        <v>0</v>
      </c>
      <c r="D29" s="9">
        <f>sumar!$L$3</f>
        <v>14.719350000000002</v>
      </c>
      <c r="E29" s="4">
        <f>SUM(sumar!$L$5:$L$9)</f>
        <v>65.250474771277283</v>
      </c>
      <c r="F29">
        <v>0</v>
      </c>
      <c r="H29">
        <v>2046</v>
      </c>
      <c r="I29">
        <v>0</v>
      </c>
      <c r="J29" s="9">
        <f>sumar!$L$3</f>
        <v>14.719350000000002</v>
      </c>
      <c r="K29" s="4">
        <f>SUM(sumar!$L$5:$L$9)</f>
        <v>65.250474771277283</v>
      </c>
      <c r="L29">
        <v>0</v>
      </c>
      <c r="N29">
        <v>2046</v>
      </c>
      <c r="O29">
        <v>0</v>
      </c>
      <c r="P29" s="4">
        <f>sumar!$L$3</f>
        <v>14.719350000000002</v>
      </c>
      <c r="Q29" s="4">
        <f>SUM(sumar!$L$5:$L$9)</f>
        <v>65.250474771277283</v>
      </c>
      <c r="R29">
        <v>0</v>
      </c>
    </row>
    <row r="30" spans="2:18" x14ac:dyDescent="0.25">
      <c r="B30">
        <v>2047</v>
      </c>
      <c r="C30">
        <v>0</v>
      </c>
      <c r="D30" s="9">
        <f>sumar!$L$3</f>
        <v>14.719350000000002</v>
      </c>
      <c r="E30" s="4">
        <f>SUM(sumar!$L$5:$L$9)</f>
        <v>65.250474771277283</v>
      </c>
      <c r="F30">
        <v>0</v>
      </c>
      <c r="H30">
        <v>2047</v>
      </c>
      <c r="I30">
        <v>0</v>
      </c>
      <c r="J30" s="9">
        <f>sumar!$L$3</f>
        <v>14.719350000000002</v>
      </c>
      <c r="K30" s="4">
        <f>SUM(sumar!$L$5:$L$9)</f>
        <v>65.250474771277283</v>
      </c>
      <c r="L30">
        <v>0</v>
      </c>
      <c r="N30">
        <v>2047</v>
      </c>
      <c r="O30">
        <v>0</v>
      </c>
      <c r="P30" s="4">
        <f>sumar!$L$3</f>
        <v>14.719350000000002</v>
      </c>
      <c r="Q30" s="4">
        <f>SUM(sumar!$L$5:$L$9)</f>
        <v>65.250474771277283</v>
      </c>
      <c r="R30">
        <v>0</v>
      </c>
    </row>
    <row r="31" spans="2:18" x14ac:dyDescent="0.25">
      <c r="B31">
        <v>2048</v>
      </c>
      <c r="C31">
        <v>0</v>
      </c>
      <c r="D31" s="9">
        <f>sumar!$L$3</f>
        <v>14.719350000000002</v>
      </c>
      <c r="E31" s="4">
        <f>SUM(sumar!$L$5:$L$9)</f>
        <v>65.250474771277283</v>
      </c>
      <c r="F31">
        <v>0</v>
      </c>
      <c r="H31">
        <v>2048</v>
      </c>
      <c r="I31">
        <v>0</v>
      </c>
      <c r="J31" s="9">
        <f>sumar!$L$3</f>
        <v>14.719350000000002</v>
      </c>
      <c r="K31" s="4">
        <f>SUM(sumar!$L$5:$L$9)</f>
        <v>65.250474771277283</v>
      </c>
      <c r="L31">
        <v>0</v>
      </c>
      <c r="N31">
        <v>2048</v>
      </c>
      <c r="O31">
        <v>0</v>
      </c>
      <c r="P31" s="4">
        <f>sumar!$L$3</f>
        <v>14.719350000000002</v>
      </c>
      <c r="Q31" s="4">
        <f>SUM(sumar!$L$5:$L$9)</f>
        <v>65.250474771277283</v>
      </c>
      <c r="R31">
        <v>0</v>
      </c>
    </row>
    <row r="32" spans="2:18" x14ac:dyDescent="0.25">
      <c r="B32">
        <v>2049</v>
      </c>
      <c r="C32">
        <v>0</v>
      </c>
      <c r="D32" s="9">
        <f>sumar!$L$3</f>
        <v>14.719350000000002</v>
      </c>
      <c r="E32" s="4">
        <f>SUM(sumar!$L$5:$L$9)</f>
        <v>65.250474771277283</v>
      </c>
      <c r="F32" s="4">
        <f>sumar!$C$9*sumar!$C$11*(sumar!$C$12-sumar!$C$16+B1)/sumar!$C$12</f>
        <v>260.0625</v>
      </c>
      <c r="H32">
        <v>2049</v>
      </c>
      <c r="I32">
        <v>0</v>
      </c>
      <c r="J32" s="9">
        <f>sumar!$L$3</f>
        <v>14.719350000000002</v>
      </c>
      <c r="K32" s="4">
        <f>SUM(sumar!$L$5:$L$9)</f>
        <v>65.250474771277283</v>
      </c>
      <c r="L32" s="4">
        <f>sumar!$C$9*sumar!$C$11*(sumar!$C$12-sumar!$C$16+H1)/sumar!$C$12</f>
        <v>263.625</v>
      </c>
      <c r="N32">
        <v>2049</v>
      </c>
      <c r="O32">
        <v>0</v>
      </c>
      <c r="P32" s="4">
        <f>sumar!$L$3</f>
        <v>14.719350000000002</v>
      </c>
      <c r="Q32" s="4">
        <f>SUM(sumar!$L$5:$L$9)</f>
        <v>65.250474771277283</v>
      </c>
      <c r="R32" s="4">
        <f>sumar!$C$9*sumar!$C$11*(sumar!$C$12-sumar!$C$16+N1)/sumar!$C$12</f>
        <v>267.1875</v>
      </c>
    </row>
    <row r="33" spans="2:18" x14ac:dyDescent="0.25">
      <c r="B33" s="13" t="s">
        <v>158</v>
      </c>
      <c r="C33" s="14">
        <f>C3+NPV(sumar!$C$15,C4:C32)</f>
        <v>407.46598639455783</v>
      </c>
      <c r="D33" s="14">
        <f>D3+NPV(sumar!$C$15,D4:D32)</f>
        <v>195.49744844850517</v>
      </c>
      <c r="E33" s="14">
        <f>E3+NPV(sumar!$C$15,E4:E32)</f>
        <v>866.63482611924212</v>
      </c>
      <c r="F33" s="14">
        <f>F3+NPV(sumar!$C$15,F4:F32)</f>
        <v>63.181227628117242</v>
      </c>
      <c r="H33" s="13" t="s">
        <v>158</v>
      </c>
      <c r="I33" s="14">
        <f>I3+NPV(sumar!$C$15,I4:I32)</f>
        <v>397.92213313896985</v>
      </c>
      <c r="J33" s="14">
        <f>J3+NPV(sumar!$C$15,J4:J32)</f>
        <v>182.78232049256087</v>
      </c>
      <c r="K33" s="14">
        <f>K3+NPV(sumar!$C$15,K4:K32)</f>
        <v>810.26901268978304</v>
      </c>
      <c r="L33" s="14">
        <f>L3+NPV(sumar!$C$15,L4:L32)</f>
        <v>64.046723896995559</v>
      </c>
      <c r="N33" s="13" t="s">
        <v>158</v>
      </c>
      <c r="O33" s="14">
        <f>O3+NPV(sumar!$C$15,O4:O32)</f>
        <v>388.67876810588177</v>
      </c>
      <c r="P33" s="14">
        <f>P3+NPV(sumar!$C$15,P4:P32)</f>
        <v>170.67267482023297</v>
      </c>
      <c r="Q33" s="14">
        <f>Q3+NPV(sumar!$C$15,Q4:Q32)</f>
        <v>756.58728561410805</v>
      </c>
      <c r="R33" s="14">
        <f>R3+NPV(sumar!$C$15,R4:R32)</f>
        <v>64.912220165873876</v>
      </c>
    </row>
    <row r="34" spans="2:18" x14ac:dyDescent="0.25">
      <c r="B34" s="11" t="s">
        <v>147</v>
      </c>
      <c r="C34" s="16">
        <f>E33+F33-D33-C33</f>
        <v>326.85261890429638</v>
      </c>
      <c r="H34" s="11" t="s">
        <v>147</v>
      </c>
      <c r="I34" s="16">
        <f>K33+L33-J33-I33</f>
        <v>293.61128295524787</v>
      </c>
      <c r="N34" s="11" t="s">
        <v>147</v>
      </c>
      <c r="O34" s="16">
        <f>Q33+R33-P33-O33</f>
        <v>262.14806285386726</v>
      </c>
    </row>
    <row r="35" spans="2:18" x14ac:dyDescent="0.25">
      <c r="B35" s="11" t="s">
        <v>149</v>
      </c>
      <c r="C35" s="15">
        <f>(E33+F33)/(C33+D33)</f>
        <v>1.5420770149841148</v>
      </c>
      <c r="H35" s="11" t="s">
        <v>149</v>
      </c>
      <c r="I35" s="15">
        <f>(K33+L33)/(I33+J33)</f>
        <v>1.5056122458147196</v>
      </c>
      <c r="N35" s="11" t="s">
        <v>149</v>
      </c>
      <c r="O35" s="15">
        <f>(Q33+R33)/(O33+P33)</f>
        <v>1.4686643185945882</v>
      </c>
    </row>
    <row r="36" spans="2:18" x14ac:dyDescent="0.25">
      <c r="I36" s="3">
        <f>I34-C34</f>
        <v>-33.241335949048505</v>
      </c>
      <c r="O36" s="3">
        <f>O34-I34</f>
        <v>-31.463220101380614</v>
      </c>
    </row>
    <row r="39" spans="2:18" x14ac:dyDescent="0.25">
      <c r="I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4" sqref="C14"/>
    </sheetView>
  </sheetViews>
  <sheetFormatPr defaultRowHeight="15" x14ac:dyDescent="0.25"/>
  <cols>
    <col min="1" max="1" width="21.140625" bestFit="1" customWidth="1"/>
    <col min="2" max="2" width="5.7109375" bestFit="1" customWidth="1"/>
  </cols>
  <sheetData>
    <row r="1" spans="1:6" x14ac:dyDescent="0.25">
      <c r="A1" s="1"/>
      <c r="B1" s="1"/>
      <c r="C1" s="1" t="s">
        <v>183</v>
      </c>
      <c r="D1" s="1" t="s">
        <v>184</v>
      </c>
    </row>
    <row r="2" spans="1:6" x14ac:dyDescent="0.25">
      <c r="A2" t="s">
        <v>10</v>
      </c>
      <c r="B2" t="s">
        <v>11</v>
      </c>
      <c r="C2" s="4">
        <f>sumar!C2</f>
        <v>21</v>
      </c>
      <c r="D2">
        <f>sumar!C3</f>
        <v>13.5</v>
      </c>
    </row>
    <row r="3" spans="1:6" x14ac:dyDescent="0.25">
      <c r="A3" t="s">
        <v>26</v>
      </c>
      <c r="B3" t="s">
        <v>12</v>
      </c>
      <c r="C3" s="5">
        <f>F16</f>
        <v>63.691507798960131</v>
      </c>
      <c r="D3" s="5">
        <f>F24</f>
        <v>109.75609756097562</v>
      </c>
    </row>
    <row r="4" spans="1:6" x14ac:dyDescent="0.25">
      <c r="A4" t="s">
        <v>27</v>
      </c>
      <c r="B4" t="s">
        <v>12</v>
      </c>
      <c r="C4" s="5">
        <f>F19</f>
        <v>60.505319148936174</v>
      </c>
      <c r="D4" s="5">
        <f>F27</f>
        <v>90</v>
      </c>
    </row>
    <row r="5" spans="1:6" x14ac:dyDescent="0.25">
      <c r="A5" t="s">
        <v>32</v>
      </c>
      <c r="B5" t="s">
        <v>33</v>
      </c>
      <c r="C5" s="3">
        <f>C2/C3</f>
        <v>0.32971428571428574</v>
      </c>
      <c r="D5" s="3">
        <f>D2/D3</f>
        <v>0.12299999999999998</v>
      </c>
    </row>
    <row r="6" spans="1:6" x14ac:dyDescent="0.25">
      <c r="A6" t="s">
        <v>34</v>
      </c>
      <c r="B6" t="s">
        <v>33</v>
      </c>
      <c r="C6" s="3">
        <f>C2/C4</f>
        <v>0.34707692307692306</v>
      </c>
      <c r="D6" s="3">
        <f>D2/D4</f>
        <v>0.15</v>
      </c>
    </row>
    <row r="13" spans="1:6" x14ac:dyDescent="0.25">
      <c r="A13" s="1" t="s">
        <v>180</v>
      </c>
      <c r="C13" s="1" t="s">
        <v>171</v>
      </c>
      <c r="D13" s="1" t="s">
        <v>176</v>
      </c>
      <c r="E13" s="1" t="s">
        <v>130</v>
      </c>
      <c r="F13" s="1" t="s">
        <v>178</v>
      </c>
    </row>
    <row r="14" spans="1:6" x14ac:dyDescent="0.25">
      <c r="A14" t="s">
        <v>179</v>
      </c>
      <c r="C14" t="s">
        <v>186</v>
      </c>
      <c r="D14" t="s">
        <v>177</v>
      </c>
    </row>
    <row r="15" spans="1:6" x14ac:dyDescent="0.25">
      <c r="A15" t="s">
        <v>10</v>
      </c>
      <c r="B15" t="s">
        <v>11</v>
      </c>
      <c r="C15">
        <v>5.2</v>
      </c>
      <c r="D15">
        <v>15.8</v>
      </c>
      <c r="E15" s="4">
        <f>SUM(C15:D15)</f>
        <v>21</v>
      </c>
    </row>
    <row r="16" spans="1:6" x14ac:dyDescent="0.25">
      <c r="A16" t="s">
        <v>172</v>
      </c>
      <c r="B16" t="s">
        <v>12</v>
      </c>
      <c r="C16">
        <v>50</v>
      </c>
      <c r="D16">
        <v>70</v>
      </c>
      <c r="F16" s="5">
        <f>E15/E17</f>
        <v>63.691507798960131</v>
      </c>
    </row>
    <row r="17" spans="1:6" x14ac:dyDescent="0.25">
      <c r="A17" t="s">
        <v>173</v>
      </c>
      <c r="B17" t="s">
        <v>33</v>
      </c>
      <c r="C17" s="3">
        <f>C15/C16</f>
        <v>0.10400000000000001</v>
      </c>
      <c r="D17" s="3">
        <f>D15/D16</f>
        <v>0.22571428571428573</v>
      </c>
      <c r="E17" s="3">
        <f>SUM(C17:D17)</f>
        <v>0.32971428571428574</v>
      </c>
    </row>
    <row r="18" spans="1:6" x14ac:dyDescent="0.25">
      <c r="A18" t="s">
        <v>174</v>
      </c>
      <c r="B18" t="s">
        <v>12</v>
      </c>
      <c r="C18">
        <v>50</v>
      </c>
      <c r="D18">
        <v>65</v>
      </c>
    </row>
    <row r="19" spans="1:6" x14ac:dyDescent="0.25">
      <c r="A19" t="s">
        <v>175</v>
      </c>
      <c r="B19" t="s">
        <v>33</v>
      </c>
      <c r="C19" s="3">
        <f>C15/C18</f>
        <v>0.10400000000000001</v>
      </c>
      <c r="D19" s="3">
        <f>D15/D18</f>
        <v>0.24307692307692308</v>
      </c>
      <c r="E19" s="3">
        <f>SUM(C19:D19)</f>
        <v>0.34707692307692306</v>
      </c>
      <c r="F19" s="5">
        <f>E15/E19</f>
        <v>60.505319148936174</v>
      </c>
    </row>
    <row r="21" spans="1:6" x14ac:dyDescent="0.25">
      <c r="A21" s="1" t="s">
        <v>181</v>
      </c>
      <c r="C21" s="1" t="s">
        <v>171</v>
      </c>
      <c r="D21" s="1" t="s">
        <v>176</v>
      </c>
      <c r="E21" s="1" t="s">
        <v>130</v>
      </c>
      <c r="F21" s="1" t="s">
        <v>178</v>
      </c>
    </row>
    <row r="22" spans="1:6" x14ac:dyDescent="0.25">
      <c r="A22" t="s">
        <v>179</v>
      </c>
      <c r="C22" t="s">
        <v>182</v>
      </c>
      <c r="D22" t="s">
        <v>123</v>
      </c>
    </row>
    <row r="23" spans="1:6" x14ac:dyDescent="0.25">
      <c r="A23" t="s">
        <v>10</v>
      </c>
      <c r="B23" t="s">
        <v>11</v>
      </c>
      <c r="C23">
        <v>6</v>
      </c>
      <c r="D23">
        <v>7.5</v>
      </c>
      <c r="E23" s="4">
        <f>SUM(C23:D23)</f>
        <v>13.5</v>
      </c>
    </row>
    <row r="24" spans="1:6" x14ac:dyDescent="0.25">
      <c r="A24" t="s">
        <v>172</v>
      </c>
      <c r="B24" t="s">
        <v>12</v>
      </c>
      <c r="C24">
        <v>125</v>
      </c>
      <c r="D24">
        <v>100</v>
      </c>
      <c r="F24" s="5">
        <f>E23/E25</f>
        <v>109.75609756097562</v>
      </c>
    </row>
    <row r="25" spans="1:6" x14ac:dyDescent="0.25">
      <c r="A25" t="s">
        <v>173</v>
      </c>
      <c r="B25" t="s">
        <v>33</v>
      </c>
      <c r="C25" s="3">
        <f>C23/C24</f>
        <v>4.8000000000000001E-2</v>
      </c>
      <c r="D25" s="3">
        <f>D23/D24</f>
        <v>7.4999999999999997E-2</v>
      </c>
      <c r="E25" s="3">
        <f>SUM(C25:D25)</f>
        <v>0.123</v>
      </c>
    </row>
    <row r="26" spans="1:6" x14ac:dyDescent="0.25">
      <c r="A26" t="s">
        <v>174</v>
      </c>
      <c r="B26" t="s">
        <v>12</v>
      </c>
      <c r="C26">
        <v>90</v>
      </c>
      <c r="D26">
        <v>90</v>
      </c>
    </row>
    <row r="27" spans="1:6" x14ac:dyDescent="0.25">
      <c r="A27" t="s">
        <v>175</v>
      </c>
      <c r="B27" t="s">
        <v>33</v>
      </c>
      <c r="C27" s="3">
        <f>C23/C26</f>
        <v>6.6666666666666666E-2</v>
      </c>
      <c r="D27" s="3">
        <f>D23/D26</f>
        <v>8.3333333333333329E-2</v>
      </c>
      <c r="E27" s="3">
        <f>SUM(C27:D27)</f>
        <v>0.15</v>
      </c>
      <c r="F27" s="5">
        <f>E23/E27</f>
        <v>90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4" sqref="A4"/>
    </sheetView>
  </sheetViews>
  <sheetFormatPr defaultRowHeight="15" x14ac:dyDescent="0.25"/>
  <cols>
    <col min="1" max="1" width="26.140625" bestFit="1" customWidth="1"/>
    <col min="2" max="2" width="11.7109375" bestFit="1" customWidth="1"/>
    <col min="3" max="3" width="9.85546875" bestFit="1" customWidth="1"/>
    <col min="4" max="4" width="54.85546875" bestFit="1" customWidth="1"/>
    <col min="6" max="6" width="34.7109375" bestFit="1" customWidth="1"/>
    <col min="7" max="7" width="10.28515625" bestFit="1" customWidth="1"/>
    <col min="8" max="8" width="9.28515625" bestFit="1" customWidth="1"/>
    <col min="9" max="10" width="9.85546875" bestFit="1" customWidth="1"/>
  </cols>
  <sheetData>
    <row r="1" spans="1:11" x14ac:dyDescent="0.25">
      <c r="A1" s="1" t="s">
        <v>5</v>
      </c>
      <c r="B1" s="1" t="s">
        <v>6</v>
      </c>
      <c r="C1" s="1" t="s">
        <v>7</v>
      </c>
      <c r="D1" s="1" t="s">
        <v>53</v>
      </c>
      <c r="E1" s="1"/>
      <c r="F1" s="1"/>
      <c r="G1" s="1"/>
      <c r="H1" s="1" t="s">
        <v>8</v>
      </c>
      <c r="I1" s="1" t="s">
        <v>9</v>
      </c>
      <c r="J1" s="1" t="s">
        <v>126</v>
      </c>
      <c r="K1" s="1" t="s">
        <v>25</v>
      </c>
    </row>
    <row r="2" spans="1:11" x14ac:dyDescent="0.25">
      <c r="A2" s="1" t="s">
        <v>119</v>
      </c>
      <c r="F2" t="s">
        <v>124</v>
      </c>
      <c r="G2" t="s">
        <v>28</v>
      </c>
      <c r="H2" s="10">
        <f>C3*C13/1000000</f>
        <v>0.48299999999999998</v>
      </c>
      <c r="I2" s="10">
        <f>(C14*C3+C15*C4)/1000000</f>
        <v>9.6210000000000004</v>
      </c>
      <c r="J2" s="10">
        <f>SUM(H2:I2)</f>
        <v>10.104000000000001</v>
      </c>
      <c r="K2" s="10">
        <f>J2-H2</f>
        <v>9.6210000000000004</v>
      </c>
    </row>
    <row r="3" spans="1:11" x14ac:dyDescent="0.25">
      <c r="A3" t="s">
        <v>211</v>
      </c>
      <c r="B3" t="s">
        <v>118</v>
      </c>
      <c r="C3">
        <v>2</v>
      </c>
      <c r="D3" t="s">
        <v>195</v>
      </c>
      <c r="F3" t="s">
        <v>125</v>
      </c>
      <c r="G3" t="s">
        <v>28</v>
      </c>
      <c r="H3" s="10">
        <f>C13*C6/1000000</f>
        <v>0.40250000000000002</v>
      </c>
      <c r="I3" s="10">
        <f>(C6*C14+C7*C16+C8*C15)/1000000</f>
        <v>6.733833333333334</v>
      </c>
      <c r="J3" s="10">
        <f>SUM(H3:I3)</f>
        <v>7.1363333333333339</v>
      </c>
      <c r="K3" s="10">
        <f>J3-H3</f>
        <v>6.733833333333334</v>
      </c>
    </row>
    <row r="4" spans="1:11" x14ac:dyDescent="0.25">
      <c r="A4" t="s">
        <v>123</v>
      </c>
      <c r="B4" t="s">
        <v>118</v>
      </c>
      <c r="C4">
        <v>75</v>
      </c>
      <c r="D4" t="s">
        <v>195</v>
      </c>
      <c r="F4" s="1" t="s">
        <v>130</v>
      </c>
      <c r="G4" t="s">
        <v>28</v>
      </c>
      <c r="H4" s="10">
        <f>SUM(H2:H3)</f>
        <v>0.88549999999999995</v>
      </c>
      <c r="I4" s="10">
        <f>SUM(I2:I3)</f>
        <v>16.354833333333335</v>
      </c>
      <c r="J4" s="10">
        <f>SUM(J2:J3)</f>
        <v>17.240333333333336</v>
      </c>
      <c r="K4" s="21">
        <f>SUM(K2:K3)</f>
        <v>16.354833333333335</v>
      </c>
    </row>
    <row r="5" spans="1:11" x14ac:dyDescent="0.25">
      <c r="A5" s="1" t="s">
        <v>120</v>
      </c>
      <c r="F5" s="3"/>
      <c r="G5" s="3"/>
      <c r="H5" s="3"/>
    </row>
    <row r="6" spans="1:11" x14ac:dyDescent="0.25">
      <c r="A6" t="s">
        <v>121</v>
      </c>
      <c r="B6" t="s">
        <v>118</v>
      </c>
      <c r="C6" s="4">
        <f>20/12</f>
        <v>1.6666666666666667</v>
      </c>
      <c r="D6" t="s">
        <v>198</v>
      </c>
      <c r="F6" s="2" t="s">
        <v>210</v>
      </c>
      <c r="G6" s="2" t="s">
        <v>28</v>
      </c>
      <c r="H6" s="25"/>
      <c r="I6" s="2"/>
      <c r="J6" s="2"/>
      <c r="K6" s="2">
        <v>8.9</v>
      </c>
    </row>
    <row r="7" spans="1:11" x14ac:dyDescent="0.25">
      <c r="A7" t="s">
        <v>122</v>
      </c>
      <c r="B7" t="s">
        <v>118</v>
      </c>
      <c r="C7" s="4">
        <f>526/15</f>
        <v>35.06666666666667</v>
      </c>
      <c r="D7" t="s">
        <v>208</v>
      </c>
    </row>
    <row r="8" spans="1:11" x14ac:dyDescent="0.25">
      <c r="A8" t="s">
        <v>123</v>
      </c>
      <c r="B8" t="s">
        <v>118</v>
      </c>
      <c r="C8">
        <v>35</v>
      </c>
      <c r="D8" t="s">
        <v>195</v>
      </c>
    </row>
    <row r="9" spans="1:11" x14ac:dyDescent="0.25">
      <c r="A9" s="1" t="s">
        <v>140</v>
      </c>
    </row>
    <row r="10" spans="1:11" x14ac:dyDescent="0.25">
      <c r="A10" t="s">
        <v>123</v>
      </c>
      <c r="B10" t="s">
        <v>11</v>
      </c>
      <c r="C10">
        <v>7.5</v>
      </c>
    </row>
    <row r="11" spans="1:11" x14ac:dyDescent="0.25">
      <c r="A11" t="s">
        <v>127</v>
      </c>
      <c r="B11" t="s">
        <v>11</v>
      </c>
      <c r="C11">
        <v>2.5</v>
      </c>
      <c r="D11" t="s">
        <v>205</v>
      </c>
    </row>
    <row r="12" spans="1:11" x14ac:dyDescent="0.25">
      <c r="A12" s="1" t="s">
        <v>159</v>
      </c>
    </row>
    <row r="13" spans="1:11" x14ac:dyDescent="0.25">
      <c r="A13" t="s">
        <v>139</v>
      </c>
      <c r="B13" t="s">
        <v>116</v>
      </c>
      <c r="C13" s="8">
        <f>11.5*sumar!C2*1000</f>
        <v>241500</v>
      </c>
      <c r="D13" t="s">
        <v>189</v>
      </c>
    </row>
    <row r="14" spans="1:11" x14ac:dyDescent="0.25">
      <c r="A14" t="s">
        <v>117</v>
      </c>
      <c r="B14" t="s">
        <v>116</v>
      </c>
      <c r="C14" s="8">
        <f>2*11.5*sumar!C3*1000</f>
        <v>310500</v>
      </c>
      <c r="D14" t="s">
        <v>190</v>
      </c>
    </row>
    <row r="15" spans="1:11" x14ac:dyDescent="0.25">
      <c r="A15" t="s">
        <v>129</v>
      </c>
      <c r="B15" t="s">
        <v>116</v>
      </c>
      <c r="C15" s="8">
        <f>C10*1000*8*2</f>
        <v>120000</v>
      </c>
      <c r="D15" t="s">
        <v>191</v>
      </c>
    </row>
    <row r="16" spans="1:11" x14ac:dyDescent="0.25">
      <c r="A16" t="s">
        <v>128</v>
      </c>
      <c r="B16" t="s">
        <v>116</v>
      </c>
      <c r="C16" s="8">
        <f>C11*1000*11.5*2</f>
        <v>57500</v>
      </c>
      <c r="D16" t="s">
        <v>190</v>
      </c>
    </row>
    <row r="20" spans="1:3" x14ac:dyDescent="0.25">
      <c r="A20" t="s">
        <v>209</v>
      </c>
      <c r="B20" t="s">
        <v>36</v>
      </c>
      <c r="C20" s="8">
        <f>C15*(C4+C8)/C10</f>
        <v>1760000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10" sqref="D10"/>
    </sheetView>
  </sheetViews>
  <sheetFormatPr defaultRowHeight="15" x14ac:dyDescent="0.25"/>
  <cols>
    <col min="1" max="1" width="30" bestFit="1" customWidth="1"/>
    <col min="2" max="2" width="11" bestFit="1" customWidth="1"/>
    <col min="3" max="3" width="8.85546875" bestFit="1" customWidth="1"/>
    <col min="4" max="4" width="24.85546875" bestFit="1" customWidth="1"/>
    <col min="5" max="5" width="10.7109375" customWidth="1"/>
    <col min="6" max="6" width="25" bestFit="1" customWidth="1"/>
    <col min="7" max="7" width="10.28515625" bestFit="1" customWidth="1"/>
    <col min="8" max="8" width="7" bestFit="1" customWidth="1"/>
    <col min="9" max="9" width="7.85546875" bestFit="1" customWidth="1"/>
    <col min="10" max="10" width="16" bestFit="1" customWidth="1"/>
    <col min="11" max="11" width="5.5703125" bestFit="1" customWidth="1"/>
  </cols>
  <sheetData>
    <row r="1" spans="1:11" s="1" customFormat="1" x14ac:dyDescent="0.25">
      <c r="A1" s="1" t="s">
        <v>5</v>
      </c>
      <c r="B1" s="1" t="s">
        <v>6</v>
      </c>
      <c r="C1" s="1" t="s">
        <v>7</v>
      </c>
      <c r="D1" s="1" t="s">
        <v>194</v>
      </c>
      <c r="H1" s="1" t="s">
        <v>8</v>
      </c>
      <c r="I1" s="1" t="s">
        <v>57</v>
      </c>
      <c r="J1" s="1" t="s">
        <v>58</v>
      </c>
      <c r="K1" s="1" t="s">
        <v>25</v>
      </c>
    </row>
    <row r="2" spans="1:11" x14ac:dyDescent="0.25">
      <c r="A2" t="s">
        <v>162</v>
      </c>
      <c r="B2" t="s">
        <v>3</v>
      </c>
      <c r="C2">
        <v>26800</v>
      </c>
      <c r="D2" t="s">
        <v>197</v>
      </c>
      <c r="F2" t="s">
        <v>30</v>
      </c>
      <c r="G2" t="s">
        <v>31</v>
      </c>
      <c r="H2" s="5">
        <f>$C$12*$C$5*useky!C5+$C$13*$C$6*useky!C6</f>
        <v>149883.03296703298</v>
      </c>
      <c r="I2" s="5">
        <f>$C$12*$C$5*useky!D5+$C$13*$C$6*useky!D6</f>
        <v>60039</v>
      </c>
      <c r="J2" s="5">
        <f>$C$7*I2+(1-$C$7)*H2</f>
        <v>73515.604945054947</v>
      </c>
    </row>
    <row r="3" spans="1:11" x14ac:dyDescent="0.25">
      <c r="A3" t="s">
        <v>161</v>
      </c>
      <c r="B3" t="s">
        <v>3</v>
      </c>
      <c r="C3">
        <v>30000</v>
      </c>
      <c r="D3" t="s">
        <v>160</v>
      </c>
      <c r="F3" t="s">
        <v>29</v>
      </c>
      <c r="G3" t="s">
        <v>28</v>
      </c>
      <c r="H3" s="4">
        <f>H2*365/1000000</f>
        <v>54.707307032967037</v>
      </c>
      <c r="I3" s="4">
        <f>I2*365/1000000</f>
        <v>21.914235000000001</v>
      </c>
      <c r="J3" s="4">
        <f t="shared" ref="J3:J12" si="0">$C$7*I3+(1-$C$7)*H3</f>
        <v>26.833195804945056</v>
      </c>
      <c r="K3" s="4">
        <f>H3-J3</f>
        <v>27.874111228021981</v>
      </c>
    </row>
    <row r="4" spans="1:11" x14ac:dyDescent="0.25">
      <c r="A4" t="s">
        <v>4</v>
      </c>
      <c r="C4">
        <v>0.25</v>
      </c>
      <c r="D4" t="s">
        <v>197</v>
      </c>
      <c r="J4" s="5"/>
    </row>
    <row r="5" spans="1:11" x14ac:dyDescent="0.25">
      <c r="A5" t="s">
        <v>18</v>
      </c>
      <c r="B5" t="s">
        <v>3</v>
      </c>
      <c r="C5" s="2">
        <f>C3*(1-C4)</f>
        <v>22500</v>
      </c>
      <c r="D5" s="2"/>
      <c r="E5" s="3"/>
      <c r="F5" t="s">
        <v>35</v>
      </c>
      <c r="G5" t="s">
        <v>31</v>
      </c>
      <c r="H5" s="5">
        <f>($C$15*$C$5+$C$16*$C$6)*useky!C2</f>
        <v>181449.05624999999</v>
      </c>
      <c r="I5" s="5">
        <f>($C$15*$C$5+$C$16*$C$6)*useky!D2</f>
        <v>116645.82187499999</v>
      </c>
      <c r="J5" s="5">
        <f t="shared" si="0"/>
        <v>126366.30703125001</v>
      </c>
    </row>
    <row r="6" spans="1:11" x14ac:dyDescent="0.25">
      <c r="A6" t="s">
        <v>19</v>
      </c>
      <c r="B6" t="s">
        <v>3</v>
      </c>
      <c r="C6">
        <f>C3*C4</f>
        <v>7500</v>
      </c>
      <c r="E6" s="3"/>
      <c r="F6" t="s">
        <v>39</v>
      </c>
      <c r="G6" t="s">
        <v>28</v>
      </c>
      <c r="H6" s="4">
        <f>H5*365/1000000</f>
        <v>66.228905531250007</v>
      </c>
      <c r="I6" s="4">
        <f>I5*365/1000000</f>
        <v>42.575724984375</v>
      </c>
      <c r="J6" s="4">
        <f t="shared" si="0"/>
        <v>46.123702066406253</v>
      </c>
      <c r="K6" s="4">
        <f>H6-J6</f>
        <v>20.105203464843754</v>
      </c>
    </row>
    <row r="7" spans="1:11" x14ac:dyDescent="0.25">
      <c r="A7" t="s">
        <v>56</v>
      </c>
      <c r="C7">
        <f>sumar!C6</f>
        <v>0.85</v>
      </c>
      <c r="J7" s="5"/>
    </row>
    <row r="8" spans="1:11" x14ac:dyDescent="0.25">
      <c r="F8" t="s">
        <v>40</v>
      </c>
      <c r="G8" t="s">
        <v>31</v>
      </c>
      <c r="H8" s="5">
        <f>($C$18*$C$5+$C$19*$C$6)*useky!C2</f>
        <v>65665.6875</v>
      </c>
      <c r="I8" s="5">
        <f>($C$18*$C$5+$C$19*$C$6)*useky!D2</f>
        <v>42213.65625</v>
      </c>
      <c r="J8" s="5">
        <f t="shared" si="0"/>
        <v>45731.4609375</v>
      </c>
    </row>
    <row r="9" spans="1:11" x14ac:dyDescent="0.25">
      <c r="A9" s="1" t="s">
        <v>42</v>
      </c>
      <c r="F9" t="s">
        <v>55</v>
      </c>
      <c r="G9" t="s">
        <v>28</v>
      </c>
      <c r="H9" s="4">
        <f>H8*365/1000000</f>
        <v>23.9679759375</v>
      </c>
      <c r="I9" s="4">
        <f>I8*365/1000000</f>
        <v>15.407984531249999</v>
      </c>
      <c r="J9" s="4">
        <f t="shared" si="0"/>
        <v>16.691983242187497</v>
      </c>
      <c r="K9" s="4">
        <f>H9-J9</f>
        <v>7.2759926953125031</v>
      </c>
    </row>
    <row r="10" spans="1:11" x14ac:dyDescent="0.25">
      <c r="A10" t="s">
        <v>101</v>
      </c>
      <c r="C10">
        <v>0.5</v>
      </c>
      <c r="J10" s="4"/>
      <c r="K10" s="4"/>
    </row>
    <row r="11" spans="1:11" x14ac:dyDescent="0.25">
      <c r="A11" s="1" t="s">
        <v>142</v>
      </c>
      <c r="D11" s="4"/>
      <c r="F11" t="s">
        <v>113</v>
      </c>
      <c r="G11" t="s">
        <v>31</v>
      </c>
      <c r="H11" s="5">
        <f>$C$21*($C$5+$C$6)*useky!C2</f>
        <v>15530.36058</v>
      </c>
      <c r="I11" s="5">
        <f>$C$21*($C$5+$C$6)*useky!D2</f>
        <v>9983.8032299999995</v>
      </c>
      <c r="J11" s="4">
        <f t="shared" si="0"/>
        <v>10815.7868325</v>
      </c>
      <c r="K11" s="4"/>
    </row>
    <row r="12" spans="1:11" x14ac:dyDescent="0.25">
      <c r="A12" t="s">
        <v>0</v>
      </c>
      <c r="B12" t="s">
        <v>137</v>
      </c>
      <c r="C12">
        <f>'1_cas'!C9</f>
        <v>10.8</v>
      </c>
      <c r="F12" t="s">
        <v>114</v>
      </c>
      <c r="G12" t="s">
        <v>28</v>
      </c>
      <c r="H12" s="4">
        <f>H11*365/1000000</f>
        <v>5.6685816117000005</v>
      </c>
      <c r="I12" s="4">
        <f>I11*365/1000000</f>
        <v>3.6440881789499997</v>
      </c>
      <c r="J12" s="4">
        <f t="shared" si="0"/>
        <v>3.9477621938624998</v>
      </c>
      <c r="K12" s="4">
        <f>H12-J12</f>
        <v>1.7208194178375007</v>
      </c>
    </row>
    <row r="13" spans="1:11" x14ac:dyDescent="0.25">
      <c r="A13" t="s">
        <v>0</v>
      </c>
      <c r="B13" t="s">
        <v>137</v>
      </c>
      <c r="C13">
        <f>'1_cas'!C10</f>
        <v>26.8</v>
      </c>
      <c r="D13" s="4"/>
      <c r="J13" s="4"/>
      <c r="K13" s="4"/>
    </row>
    <row r="14" spans="1:11" x14ac:dyDescent="0.25">
      <c r="A14" s="1" t="s">
        <v>143</v>
      </c>
      <c r="F14" t="s">
        <v>76</v>
      </c>
      <c r="G14" t="s">
        <v>31</v>
      </c>
      <c r="H14" s="5">
        <f>($C$24*$C$5+$C$25*$C$6)*useky!C2</f>
        <v>74675.823699378947</v>
      </c>
      <c r="I14" s="5">
        <f>($C$24*$C$5+$C$25*$C$6)*useky!D2</f>
        <v>48005.886663886464</v>
      </c>
      <c r="J14" s="4">
        <f>$C$7*I14+(1-$C$7)*H14</f>
        <v>52006.377219210335</v>
      </c>
      <c r="K14" s="4"/>
    </row>
    <row r="15" spans="1:11" x14ac:dyDescent="0.25">
      <c r="A15" t="s">
        <v>38</v>
      </c>
      <c r="B15" t="s">
        <v>64</v>
      </c>
      <c r="C15" s="6">
        <v>0.14435249999999997</v>
      </c>
      <c r="F15" t="s">
        <v>77</v>
      </c>
      <c r="G15" t="s">
        <v>28</v>
      </c>
      <c r="H15" s="4">
        <f>H14*365/1000000</f>
        <v>27.256675650273316</v>
      </c>
      <c r="I15" s="4">
        <f>I14*365/1000000</f>
        <v>17.522148632318562</v>
      </c>
      <c r="J15" s="4">
        <f>$C$7*I15+(1-$C$7)*H15</f>
        <v>18.982327685011775</v>
      </c>
      <c r="K15" s="4">
        <f>H15-J15</f>
        <v>8.2743479652615406</v>
      </c>
    </row>
    <row r="16" spans="1:11" x14ac:dyDescent="0.25">
      <c r="A16" t="s">
        <v>37</v>
      </c>
      <c r="B16" t="s">
        <v>64</v>
      </c>
      <c r="C16" s="6">
        <v>0.71899999999999997</v>
      </c>
      <c r="D16" t="s">
        <v>138</v>
      </c>
    </row>
    <row r="17" spans="1:6" x14ac:dyDescent="0.25">
      <c r="A17" s="1" t="s">
        <v>144</v>
      </c>
    </row>
    <row r="18" spans="1:6" x14ac:dyDescent="0.25">
      <c r="A18" t="s">
        <v>51</v>
      </c>
      <c r="B18" t="s">
        <v>64</v>
      </c>
      <c r="C18" s="3">
        <f>'3_spotreba'!C11</f>
        <v>4.8974999999999998E-2</v>
      </c>
    </row>
    <row r="19" spans="1:6" x14ac:dyDescent="0.25">
      <c r="A19" t="s">
        <v>52</v>
      </c>
      <c r="B19" t="s">
        <v>64</v>
      </c>
      <c r="C19" s="3">
        <f>'3_spotreba'!C12</f>
        <v>0.27</v>
      </c>
    </row>
    <row r="20" spans="1:6" x14ac:dyDescent="0.25">
      <c r="A20" s="1" t="s">
        <v>145</v>
      </c>
    </row>
    <row r="21" spans="1:6" x14ac:dyDescent="0.25">
      <c r="A21" t="s">
        <v>65</v>
      </c>
      <c r="B21" t="s">
        <v>64</v>
      </c>
      <c r="C21" s="7">
        <f>'4_nehodovost'!C14</f>
        <v>2.4651366000000001E-2</v>
      </c>
    </row>
    <row r="22" spans="1:6" x14ac:dyDescent="0.25">
      <c r="A22" t="s">
        <v>63</v>
      </c>
      <c r="B22" t="s">
        <v>64</v>
      </c>
      <c r="C22" s="7">
        <f>'4_nehodovost'!C15</f>
        <v>6.9438078000000014E-2</v>
      </c>
      <c r="E22" s="4"/>
      <c r="F22" s="4"/>
    </row>
    <row r="23" spans="1:6" x14ac:dyDescent="0.25">
      <c r="A23" s="1" t="s">
        <v>146</v>
      </c>
      <c r="F23" s="4"/>
    </row>
    <row r="24" spans="1:6" x14ac:dyDescent="0.25">
      <c r="A24" t="s">
        <v>111</v>
      </c>
      <c r="B24" t="s">
        <v>64</v>
      </c>
      <c r="C24" s="6">
        <f>'5_externality'!C30</f>
        <v>2.4691455853975596E-2</v>
      </c>
    </row>
    <row r="25" spans="1:6" x14ac:dyDescent="0.25">
      <c r="A25" t="s">
        <v>112</v>
      </c>
      <c r="B25" t="s">
        <v>64</v>
      </c>
      <c r="C25" s="6">
        <f>'5_externality'!C31</f>
        <v>0.40005784640238401</v>
      </c>
    </row>
    <row r="31" spans="1:6" x14ac:dyDescent="0.25">
      <c r="D31" s="6"/>
    </row>
    <row r="32" spans="1:6" x14ac:dyDescent="0.25">
      <c r="D32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cols>
    <col min="1" max="1" width="22.7109375" bestFit="1" customWidth="1"/>
    <col min="2" max="2" width="9.28515625" bestFit="1" customWidth="1"/>
    <col min="3" max="3" width="8.5703125" bestFit="1" customWidth="1"/>
    <col min="4" max="4" width="14.5703125" bestFit="1" customWidth="1"/>
  </cols>
  <sheetData>
    <row r="1" spans="1:4" s="1" customFormat="1" x14ac:dyDescent="0.25">
      <c r="A1" s="1" t="s">
        <v>135</v>
      </c>
      <c r="B1" s="1" t="s">
        <v>136</v>
      </c>
      <c r="C1" s="1" t="s">
        <v>7</v>
      </c>
      <c r="D1" s="1" t="s">
        <v>194</v>
      </c>
    </row>
    <row r="2" spans="1:4" x14ac:dyDescent="0.25">
      <c r="A2" t="s">
        <v>0</v>
      </c>
      <c r="B2" t="s">
        <v>2</v>
      </c>
      <c r="C2">
        <v>6</v>
      </c>
      <c r="D2" s="4" t="s">
        <v>195</v>
      </c>
    </row>
    <row r="3" spans="1:4" x14ac:dyDescent="0.25">
      <c r="A3" t="s">
        <v>20</v>
      </c>
      <c r="B3" t="s">
        <v>2</v>
      </c>
      <c r="C3">
        <v>16</v>
      </c>
      <c r="D3" s="4" t="s">
        <v>195</v>
      </c>
    </row>
    <row r="4" spans="1:4" x14ac:dyDescent="0.25">
      <c r="A4" t="s">
        <v>13</v>
      </c>
      <c r="B4" t="s">
        <v>14</v>
      </c>
      <c r="C4">
        <v>1.8</v>
      </c>
      <c r="D4" s="4" t="s">
        <v>195</v>
      </c>
    </row>
    <row r="5" spans="1:4" x14ac:dyDescent="0.25">
      <c r="A5" t="s">
        <v>15</v>
      </c>
      <c r="B5" t="s">
        <v>14</v>
      </c>
      <c r="C5">
        <v>1.2</v>
      </c>
      <c r="D5" s="4" t="s">
        <v>195</v>
      </c>
    </row>
    <row r="6" spans="1:4" x14ac:dyDescent="0.25">
      <c r="A6" t="s">
        <v>16</v>
      </c>
      <c r="B6" t="s">
        <v>1</v>
      </c>
      <c r="C6">
        <v>0.4</v>
      </c>
      <c r="D6" t="s">
        <v>196</v>
      </c>
    </row>
    <row r="7" spans="1:4" x14ac:dyDescent="0.25">
      <c r="A7" t="s">
        <v>43</v>
      </c>
      <c r="B7" t="s">
        <v>17</v>
      </c>
      <c r="C7">
        <v>19</v>
      </c>
      <c r="D7" t="s">
        <v>196</v>
      </c>
    </row>
    <row r="9" spans="1:4" x14ac:dyDescent="0.25">
      <c r="A9" t="s">
        <v>0</v>
      </c>
      <c r="B9" t="s">
        <v>137</v>
      </c>
      <c r="C9">
        <f>C2*C4</f>
        <v>10.8</v>
      </c>
    </row>
    <row r="10" spans="1:4" x14ac:dyDescent="0.25">
      <c r="A10" t="s">
        <v>20</v>
      </c>
      <c r="B10" t="s">
        <v>137</v>
      </c>
      <c r="C10">
        <f>C3*C5+C6*C7</f>
        <v>26.8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5" sqref="C5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8.5703125" bestFit="1" customWidth="1"/>
    <col min="4" max="4" width="24.7109375" bestFit="1" customWidth="1"/>
  </cols>
  <sheetData>
    <row r="1" spans="1:4" x14ac:dyDescent="0.25">
      <c r="A1" s="1" t="s">
        <v>135</v>
      </c>
      <c r="B1" s="1" t="s">
        <v>136</v>
      </c>
      <c r="C1" s="1" t="s">
        <v>7</v>
      </c>
      <c r="D1" s="1" t="s">
        <v>194</v>
      </c>
    </row>
    <row r="2" spans="1:4" x14ac:dyDescent="0.25">
      <c r="A2" t="s">
        <v>192</v>
      </c>
      <c r="B2" t="s">
        <v>45</v>
      </c>
      <c r="C2">
        <v>0.09</v>
      </c>
      <c r="D2" t="s">
        <v>195</v>
      </c>
    </row>
    <row r="3" spans="1:4" x14ac:dyDescent="0.25">
      <c r="A3" t="s">
        <v>193</v>
      </c>
      <c r="B3" t="s">
        <v>45</v>
      </c>
      <c r="C3">
        <v>0.06</v>
      </c>
    </row>
    <row r="4" spans="1:4" x14ac:dyDescent="0.25">
      <c r="A4" t="s">
        <v>46</v>
      </c>
      <c r="B4" t="s">
        <v>45</v>
      </c>
      <c r="C4">
        <v>0.4</v>
      </c>
      <c r="D4" t="s">
        <v>195</v>
      </c>
    </row>
    <row r="5" spans="1:4" x14ac:dyDescent="0.25">
      <c r="A5" t="s">
        <v>101</v>
      </c>
      <c r="C5">
        <f>prinosy!C10</f>
        <v>0.5</v>
      </c>
    </row>
    <row r="6" spans="1:4" x14ac:dyDescent="0.25">
      <c r="A6" t="s">
        <v>50</v>
      </c>
      <c r="B6" t="s">
        <v>49</v>
      </c>
      <c r="C6">
        <v>1.35</v>
      </c>
      <c r="D6" t="s">
        <v>54</v>
      </c>
    </row>
    <row r="7" spans="1:4" x14ac:dyDescent="0.25">
      <c r="A7" t="s">
        <v>48</v>
      </c>
      <c r="B7" t="s">
        <v>49</v>
      </c>
      <c r="C7">
        <v>1.24</v>
      </c>
      <c r="D7" t="s">
        <v>54</v>
      </c>
    </row>
    <row r="8" spans="1:4" x14ac:dyDescent="0.25">
      <c r="A8" t="s">
        <v>47</v>
      </c>
      <c r="C8">
        <v>0.5</v>
      </c>
      <c r="D8" s="3"/>
    </row>
    <row r="9" spans="1:4" x14ac:dyDescent="0.25">
      <c r="D9" s="3"/>
    </row>
    <row r="10" spans="1:4" x14ac:dyDescent="0.25">
      <c r="A10" s="1" t="s">
        <v>203</v>
      </c>
    </row>
    <row r="11" spans="1:4" x14ac:dyDescent="0.25">
      <c r="A11" t="s">
        <v>51</v>
      </c>
      <c r="B11" t="s">
        <v>36</v>
      </c>
      <c r="C11" s="6">
        <f>((1-C5)*C2*C6+C5*C3*C7)*C8</f>
        <v>4.8974999999999998E-2</v>
      </c>
    </row>
    <row r="12" spans="1:4" x14ac:dyDescent="0.25">
      <c r="A12" t="s">
        <v>52</v>
      </c>
      <c r="B12" t="s">
        <v>36</v>
      </c>
      <c r="C12" s="6">
        <f>C4*C6*C8</f>
        <v>0.27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3" sqref="A13"/>
    </sheetView>
  </sheetViews>
  <sheetFormatPr defaultRowHeight="15" x14ac:dyDescent="0.25"/>
  <cols>
    <col min="1" max="1" width="29.28515625" bestFit="1" customWidth="1"/>
    <col min="2" max="2" width="14.7109375" bestFit="1" customWidth="1"/>
    <col min="3" max="6" width="11.7109375" customWidth="1"/>
    <col min="7" max="7" width="13.7109375" bestFit="1" customWidth="1"/>
  </cols>
  <sheetData>
    <row r="1" spans="1:7" s="1" customFormat="1" x14ac:dyDescent="0.25">
      <c r="A1" s="1" t="s">
        <v>74</v>
      </c>
      <c r="C1" s="1" t="s">
        <v>59</v>
      </c>
      <c r="D1" s="1" t="s">
        <v>66</v>
      </c>
      <c r="E1" s="1" t="s">
        <v>67</v>
      </c>
      <c r="F1" s="1" t="s">
        <v>68</v>
      </c>
      <c r="G1" s="1" t="s">
        <v>194</v>
      </c>
    </row>
    <row r="2" spans="1:7" x14ac:dyDescent="0.25">
      <c r="A2" t="s">
        <v>69</v>
      </c>
      <c r="B2" t="s">
        <v>60</v>
      </c>
      <c r="C2" s="8">
        <v>2000000</v>
      </c>
      <c r="D2" s="8">
        <v>300000</v>
      </c>
      <c r="E2" s="8">
        <v>20000</v>
      </c>
      <c r="F2" s="8">
        <v>3500</v>
      </c>
      <c r="G2" t="s">
        <v>195</v>
      </c>
    </row>
    <row r="3" spans="1:7" x14ac:dyDescent="0.25">
      <c r="A3" t="s">
        <v>70</v>
      </c>
      <c r="B3" t="s">
        <v>61</v>
      </c>
      <c r="C3" s="10">
        <v>1.1100000000000001</v>
      </c>
      <c r="D3" s="10">
        <v>1.1200000000000001</v>
      </c>
      <c r="E3" s="10">
        <v>1.32</v>
      </c>
      <c r="F3" s="10">
        <v>1</v>
      </c>
      <c r="G3" t="s">
        <v>195</v>
      </c>
    </row>
    <row r="4" spans="1:7" x14ac:dyDescent="0.25">
      <c r="A4" t="s">
        <v>71</v>
      </c>
      <c r="C4" s="10">
        <v>1.02</v>
      </c>
      <c r="D4" s="10">
        <v>1.5</v>
      </c>
      <c r="E4" s="10">
        <v>3</v>
      </c>
      <c r="F4" s="10">
        <v>6</v>
      </c>
      <c r="G4" t="s">
        <v>195</v>
      </c>
    </row>
    <row r="5" spans="1:7" x14ac:dyDescent="0.25">
      <c r="A5" t="s">
        <v>72</v>
      </c>
      <c r="B5" t="s">
        <v>62</v>
      </c>
      <c r="C5">
        <v>0.40699999999999997</v>
      </c>
      <c r="D5">
        <v>1.131</v>
      </c>
      <c r="E5">
        <v>3.6040000000000001</v>
      </c>
      <c r="F5">
        <v>32.765000000000001</v>
      </c>
      <c r="G5" t="s">
        <v>195</v>
      </c>
    </row>
    <row r="7" spans="1:7" x14ac:dyDescent="0.25">
      <c r="A7" s="1" t="s">
        <v>75</v>
      </c>
      <c r="B7" s="1"/>
      <c r="C7" s="1" t="s">
        <v>59</v>
      </c>
      <c r="D7" s="1" t="s">
        <v>66</v>
      </c>
      <c r="E7" s="1" t="s">
        <v>67</v>
      </c>
      <c r="F7" s="1" t="s">
        <v>68</v>
      </c>
    </row>
    <row r="8" spans="1:7" x14ac:dyDescent="0.25">
      <c r="A8" t="s">
        <v>69</v>
      </c>
      <c r="B8" t="s">
        <v>60</v>
      </c>
      <c r="C8" s="8">
        <v>2000000</v>
      </c>
      <c r="D8" s="8">
        <v>300000</v>
      </c>
      <c r="E8" s="8">
        <v>20000</v>
      </c>
      <c r="F8" s="8">
        <v>3500</v>
      </c>
      <c r="G8" t="s">
        <v>195</v>
      </c>
    </row>
    <row r="9" spans="1:7" x14ac:dyDescent="0.25">
      <c r="A9" t="s">
        <v>70</v>
      </c>
      <c r="B9" t="s">
        <v>61</v>
      </c>
      <c r="C9" s="10">
        <v>1.1100000000000001</v>
      </c>
      <c r="D9" s="10">
        <v>1.1200000000000001</v>
      </c>
      <c r="E9" s="10">
        <v>1.32</v>
      </c>
      <c r="F9" s="10">
        <v>1</v>
      </c>
      <c r="G9" t="s">
        <v>195</v>
      </c>
    </row>
    <row r="10" spans="1:7" x14ac:dyDescent="0.25">
      <c r="A10" t="s">
        <v>71</v>
      </c>
      <c r="C10" s="10">
        <v>1.02</v>
      </c>
      <c r="D10" s="10">
        <v>1.5</v>
      </c>
      <c r="E10" s="10">
        <v>3</v>
      </c>
      <c r="F10" s="10">
        <v>6</v>
      </c>
      <c r="G10" t="s">
        <v>195</v>
      </c>
    </row>
    <row r="11" spans="1:7" x14ac:dyDescent="0.25">
      <c r="A11" t="s">
        <v>73</v>
      </c>
      <c r="B11" t="s">
        <v>62</v>
      </c>
      <c r="C11">
        <v>1.3859999999999999</v>
      </c>
      <c r="D11">
        <v>4.3449999999999998</v>
      </c>
      <c r="E11">
        <v>13.842000000000001</v>
      </c>
      <c r="F11">
        <v>24.722999999999999</v>
      </c>
      <c r="G11" t="s">
        <v>195</v>
      </c>
    </row>
    <row r="13" spans="1:7" x14ac:dyDescent="0.25">
      <c r="A13" s="1" t="s">
        <v>203</v>
      </c>
    </row>
    <row r="14" spans="1:7" x14ac:dyDescent="0.25">
      <c r="A14" t="s">
        <v>65</v>
      </c>
      <c r="B14" t="s">
        <v>64</v>
      </c>
      <c r="C14" s="6">
        <f>SUMPRODUCT(C2:F2,C3:F3,C4:F4,C5:F5)/100000000</f>
        <v>2.4651366000000001E-2</v>
      </c>
    </row>
    <row r="15" spans="1:7" x14ac:dyDescent="0.25">
      <c r="A15" t="s">
        <v>63</v>
      </c>
      <c r="B15" t="s">
        <v>64</v>
      </c>
      <c r="C15" s="6">
        <f>SUMPRODUCT(C8:F8,C9:F9,C10:F10,C11:F11)/100000000</f>
        <v>6.9438078000000014E-2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14" sqref="C14"/>
    </sheetView>
  </sheetViews>
  <sheetFormatPr defaultRowHeight="15" x14ac:dyDescent="0.25"/>
  <cols>
    <col min="1" max="1" width="33.5703125" bestFit="1" customWidth="1"/>
    <col min="2" max="2" width="8" bestFit="1" customWidth="1"/>
    <col min="3" max="3" width="9.85546875" bestFit="1" customWidth="1"/>
    <col min="4" max="4" width="9.28515625" bestFit="1" customWidth="1"/>
    <col min="6" max="6" width="9.7109375" bestFit="1" customWidth="1"/>
    <col min="8" max="12" width="10.7109375" customWidth="1"/>
  </cols>
  <sheetData>
    <row r="1" spans="1:12" s="1" customFormat="1" x14ac:dyDescent="0.25">
      <c r="A1" s="1" t="s">
        <v>141</v>
      </c>
      <c r="C1" s="1" t="s">
        <v>199</v>
      </c>
      <c r="D1" s="1" t="s">
        <v>200</v>
      </c>
      <c r="F1" s="1" t="s">
        <v>104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</row>
    <row r="2" spans="1:12" x14ac:dyDescent="0.25">
      <c r="A2" t="s">
        <v>78</v>
      </c>
      <c r="B2" t="s">
        <v>81</v>
      </c>
      <c r="C2" s="8">
        <v>29149.03</v>
      </c>
      <c r="F2" t="s">
        <v>90</v>
      </c>
      <c r="G2" t="s">
        <v>89</v>
      </c>
      <c r="H2">
        <v>8.73</v>
      </c>
      <c r="I2">
        <v>12.96</v>
      </c>
      <c r="J2">
        <v>14.91</v>
      </c>
      <c r="K2">
        <v>33.369999999999997</v>
      </c>
      <c r="L2">
        <v>33.369999999999997</v>
      </c>
    </row>
    <row r="3" spans="1:12" x14ac:dyDescent="0.25">
      <c r="A3" t="s">
        <v>79</v>
      </c>
      <c r="B3" t="s">
        <v>81</v>
      </c>
      <c r="C3" s="8">
        <v>2317.98</v>
      </c>
      <c r="F3" t="s">
        <v>96</v>
      </c>
      <c r="G3" t="s">
        <v>89</v>
      </c>
      <c r="H3">
        <v>10.050000000000001</v>
      </c>
      <c r="I3">
        <v>0.7</v>
      </c>
      <c r="J3">
        <v>1.54</v>
      </c>
      <c r="K3">
        <v>1.92</v>
      </c>
      <c r="L3">
        <v>1.92</v>
      </c>
    </row>
    <row r="4" spans="1:12" x14ac:dyDescent="0.25">
      <c r="A4" t="s">
        <v>97</v>
      </c>
      <c r="B4" t="s">
        <v>81</v>
      </c>
      <c r="C4" s="8">
        <v>73282.87</v>
      </c>
      <c r="D4" s="8">
        <v>307223.82</v>
      </c>
      <c r="F4" t="s">
        <v>97</v>
      </c>
      <c r="G4" t="s">
        <v>89</v>
      </c>
      <c r="H4">
        <v>0.03</v>
      </c>
      <c r="I4">
        <v>1.1000000000000001</v>
      </c>
      <c r="J4">
        <v>1.52</v>
      </c>
      <c r="K4">
        <v>0.94</v>
      </c>
      <c r="L4">
        <v>0.94</v>
      </c>
    </row>
    <row r="5" spans="1:12" x14ac:dyDescent="0.25">
      <c r="A5" t="s">
        <v>80</v>
      </c>
      <c r="B5" t="s">
        <v>81</v>
      </c>
      <c r="C5" s="8">
        <v>23239.47</v>
      </c>
      <c r="F5" t="s">
        <v>80</v>
      </c>
      <c r="G5" t="s">
        <v>89</v>
      </c>
      <c r="H5">
        <v>0</v>
      </c>
      <c r="I5" s="6">
        <v>5.0000000000000001E-3</v>
      </c>
      <c r="J5" s="6">
        <v>5.0000000000000001E-3</v>
      </c>
      <c r="K5" s="6">
        <v>5.0000000000000001E-3</v>
      </c>
      <c r="L5" s="6">
        <v>5.0000000000000001E-3</v>
      </c>
    </row>
    <row r="6" spans="1:12" x14ac:dyDescent="0.25">
      <c r="A6" t="s">
        <v>82</v>
      </c>
      <c r="B6" t="s">
        <v>81</v>
      </c>
      <c r="C6" s="9">
        <v>40.418699999999994</v>
      </c>
    </row>
    <row r="7" spans="1:12" x14ac:dyDescent="0.25">
      <c r="A7" s="1" t="s">
        <v>201</v>
      </c>
      <c r="F7" t="s">
        <v>83</v>
      </c>
      <c r="G7" t="s">
        <v>89</v>
      </c>
      <c r="H7">
        <v>3160</v>
      </c>
      <c r="I7">
        <v>3170</v>
      </c>
      <c r="J7">
        <v>3170</v>
      </c>
      <c r="K7">
        <v>3170</v>
      </c>
      <c r="L7">
        <v>3170</v>
      </c>
    </row>
    <row r="8" spans="1:12" x14ac:dyDescent="0.25">
      <c r="A8" t="s">
        <v>83</v>
      </c>
      <c r="C8">
        <v>1</v>
      </c>
      <c r="F8" t="s">
        <v>84</v>
      </c>
      <c r="G8" t="s">
        <v>89</v>
      </c>
      <c r="H8">
        <v>1.0900000000000001</v>
      </c>
      <c r="I8">
        <v>0.23</v>
      </c>
      <c r="J8">
        <v>0.16</v>
      </c>
      <c r="K8">
        <v>0.27</v>
      </c>
      <c r="L8">
        <v>0.33</v>
      </c>
    </row>
    <row r="9" spans="1:12" x14ac:dyDescent="0.25">
      <c r="A9" t="s">
        <v>84</v>
      </c>
      <c r="C9">
        <v>25</v>
      </c>
      <c r="F9" t="s">
        <v>85</v>
      </c>
      <c r="G9" t="s">
        <v>89</v>
      </c>
      <c r="H9">
        <v>0.20599999999999999</v>
      </c>
      <c r="I9">
        <v>8.6999999999999994E-2</v>
      </c>
      <c r="J9">
        <v>5.6000000000000001E-2</v>
      </c>
      <c r="K9">
        <v>5.0999999999999997E-2</v>
      </c>
      <c r="L9">
        <v>5.0999999999999997E-2</v>
      </c>
    </row>
    <row r="10" spans="1:12" x14ac:dyDescent="0.25">
      <c r="A10" t="s">
        <v>85</v>
      </c>
      <c r="C10">
        <v>298</v>
      </c>
    </row>
    <row r="11" spans="1:12" x14ac:dyDescent="0.25">
      <c r="F11" t="s">
        <v>105</v>
      </c>
      <c r="G11" t="s">
        <v>45</v>
      </c>
      <c r="H11">
        <v>0.09</v>
      </c>
      <c r="I11">
        <v>0.06</v>
      </c>
      <c r="J11">
        <v>0.15</v>
      </c>
      <c r="K11">
        <v>0.4</v>
      </c>
      <c r="L11">
        <v>0.3</v>
      </c>
    </row>
    <row r="12" spans="1:12" x14ac:dyDescent="0.25">
      <c r="A12" t="s">
        <v>86</v>
      </c>
      <c r="B12" t="s">
        <v>87</v>
      </c>
      <c r="C12">
        <v>0.75</v>
      </c>
    </row>
    <row r="13" spans="1:12" x14ac:dyDescent="0.25">
      <c r="A13" t="s">
        <v>88</v>
      </c>
      <c r="B13" t="s">
        <v>87</v>
      </c>
      <c r="C13">
        <v>0.85</v>
      </c>
    </row>
    <row r="14" spans="1:12" x14ac:dyDescent="0.25">
      <c r="A14" t="s">
        <v>102</v>
      </c>
      <c r="C14">
        <f>prinosy!C10</f>
        <v>0.5</v>
      </c>
    </row>
    <row r="16" spans="1:12" x14ac:dyDescent="0.25">
      <c r="A16" s="1" t="s">
        <v>203</v>
      </c>
    </row>
    <row r="17" spans="1:4" x14ac:dyDescent="0.25">
      <c r="A17" t="s">
        <v>98</v>
      </c>
      <c r="B17" t="s">
        <v>49</v>
      </c>
      <c r="C17" s="3">
        <f>SUMPRODUCT(H2:H5,C2:C5)*C12*(1-C14)/1000000+SUMPRODUCT(I2:I5,C2:C5)*C13*C14/1000000</f>
        <v>0.30053853826374999</v>
      </c>
    </row>
    <row r="18" spans="1:4" x14ac:dyDescent="0.25">
      <c r="A18" t="s">
        <v>99</v>
      </c>
      <c r="B18" t="s">
        <v>49</v>
      </c>
      <c r="C18" s="3">
        <f>SUMPRODUCT(K2:K5,C2:C5)*C13/1000000</f>
        <v>0.88923238567249985</v>
      </c>
      <c r="D18" s="6"/>
    </row>
    <row r="19" spans="1:4" x14ac:dyDescent="0.25">
      <c r="A19" t="s">
        <v>100</v>
      </c>
      <c r="B19" t="s">
        <v>49</v>
      </c>
      <c r="C19" s="3">
        <f>(SUMPRODUCT(H7:H9,C8:C10)*C12*(1-C14)+SUMPRODUCT(I7:I9*C8:C10)*C13*C14)*C6/1000000</f>
        <v>0.10423786901398498</v>
      </c>
      <c r="D19" s="6"/>
    </row>
    <row r="20" spans="1:4" x14ac:dyDescent="0.25">
      <c r="A20" t="s">
        <v>103</v>
      </c>
      <c r="B20" t="s">
        <v>49</v>
      </c>
      <c r="C20" s="3">
        <f>SUMPRODUCT(K7:K9,C8:C10)*C6*C13/1000000</f>
        <v>0.10966223033345997</v>
      </c>
    </row>
    <row r="22" spans="1:4" x14ac:dyDescent="0.25">
      <c r="A22" t="s">
        <v>98</v>
      </c>
      <c r="B22" t="s">
        <v>36</v>
      </c>
      <c r="C22" s="7">
        <f>SUMPRODUCT(H2:H5,C2:C5)*C12*(1-C14)*H11/1000000+SUMPRODUCT(I2:I5,C2:C5)*C13*C14*I11/1000000</f>
        <v>2.1181920987074998E-2</v>
      </c>
    </row>
    <row r="23" spans="1:4" x14ac:dyDescent="0.25">
      <c r="A23" t="s">
        <v>99</v>
      </c>
      <c r="B23" t="s">
        <v>36</v>
      </c>
      <c r="C23" s="7">
        <f>SUMPRODUCT(K2:K5,C2:C5)*C13*K11/1000000</f>
        <v>0.35569295426899999</v>
      </c>
    </row>
    <row r="24" spans="1:4" x14ac:dyDescent="0.25">
      <c r="A24" t="s">
        <v>100</v>
      </c>
      <c r="B24" t="s">
        <v>36</v>
      </c>
      <c r="C24" s="7">
        <f>SUMPRODUCT(H7:H9,C8:C10)*C12*(1-C14)*H11/1000000+SUMPRODUCT(I7:I9*C8:C10)*C13*C14*C6*I11/1000000</f>
        <v>3.4095348669005991E-3</v>
      </c>
    </row>
    <row r="25" spans="1:4" x14ac:dyDescent="0.25">
      <c r="A25" t="s">
        <v>103</v>
      </c>
      <c r="B25" t="s">
        <v>36</v>
      </c>
      <c r="C25" s="7">
        <f>SUMPRODUCT(K7:K9,C8:C10)*C6*C13*K11/1000000</f>
        <v>4.3864892133383987E-2</v>
      </c>
    </row>
    <row r="27" spans="1:4" x14ac:dyDescent="0.25">
      <c r="A27" t="s">
        <v>107</v>
      </c>
      <c r="B27" t="s">
        <v>36</v>
      </c>
      <c r="C27">
        <f>0.0001</f>
        <v>1E-4</v>
      </c>
    </row>
    <row r="28" spans="1:4" x14ac:dyDescent="0.25">
      <c r="A28" t="s">
        <v>108</v>
      </c>
      <c r="B28" t="s">
        <v>36</v>
      </c>
      <c r="C28" s="7">
        <v>5.0000000000000001E-4</v>
      </c>
    </row>
    <row r="30" spans="1:4" x14ac:dyDescent="0.25">
      <c r="A30" t="s">
        <v>109</v>
      </c>
      <c r="B30" t="s">
        <v>36</v>
      </c>
      <c r="C30" s="7">
        <f>C22+C24+C27</f>
        <v>2.4691455853975596E-2</v>
      </c>
    </row>
    <row r="31" spans="1:4" x14ac:dyDescent="0.25">
      <c r="A31" t="s">
        <v>110</v>
      </c>
      <c r="B31" t="s">
        <v>36</v>
      </c>
      <c r="C31" s="7">
        <f>C23+C25+C28</f>
        <v>0.40005784640238401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sumar</vt:lpstr>
      <vt:lpstr>scenare</vt:lpstr>
      <vt:lpstr>useky</vt:lpstr>
      <vt:lpstr>opex</vt:lpstr>
      <vt:lpstr>prinosy</vt:lpstr>
      <vt:lpstr>1_cas</vt:lpstr>
      <vt:lpstr>3_spotreba</vt:lpstr>
      <vt:lpstr>4_nehodovost</vt:lpstr>
      <vt:lpstr>5_externality</vt:lpstr>
    </vt:vector>
  </TitlesOfParts>
  <Company>Ministerstvo financií 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 Peter</dc:creator>
  <cp:lastModifiedBy>Vanya Peter</cp:lastModifiedBy>
  <dcterms:created xsi:type="dcterms:W3CDTF">2019-09-11T13:35:45Z</dcterms:created>
  <dcterms:modified xsi:type="dcterms:W3CDTF">2020-02-10T09:26:21Z</dcterms:modified>
</cp:coreProperties>
</file>